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6월1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I6693" i="6" l="1"/>
  <c r="Q6693" i="6"/>
  <c r="H2985" i="17"/>
  <c r="G2985" i="17"/>
  <c r="F2985" i="17"/>
  <c r="E2985" i="17"/>
  <c r="Q6692" i="6"/>
  <c r="X6693" i="6"/>
  <c r="W6693" i="6"/>
  <c r="O6693" i="6"/>
  <c r="N6693" i="6"/>
  <c r="M6693" i="6"/>
  <c r="F2984" i="17" l="1"/>
  <c r="E2984" i="17"/>
  <c r="X6692" i="6"/>
  <c r="W6692" i="6"/>
  <c r="M6692" i="6"/>
  <c r="I6692" i="6"/>
  <c r="Q6691" i="6" l="1"/>
  <c r="F2983" i="17" l="1"/>
  <c r="E2983" i="17"/>
  <c r="X6691" i="6"/>
  <c r="W6691" i="6"/>
  <c r="M6691" i="6"/>
  <c r="I6691" i="6"/>
  <c r="Q6690" i="6" l="1"/>
  <c r="F2982" i="17" l="1"/>
  <c r="E2982" i="17"/>
  <c r="X6690" i="6"/>
  <c r="W6690" i="6"/>
  <c r="M6690" i="6"/>
  <c r="I6690" i="6"/>
  <c r="Q6689" i="6" l="1"/>
  <c r="W6689" i="6" s="1"/>
  <c r="F2981" i="17"/>
  <c r="E2981" i="17"/>
  <c r="X6689" i="6"/>
  <c r="M6689" i="6"/>
  <c r="I6689" i="6"/>
  <c r="F2980" i="17" l="1"/>
  <c r="E2980" i="17"/>
  <c r="W6688" i="6"/>
  <c r="X6688" i="6"/>
  <c r="M6688" i="6"/>
  <c r="I6688" i="6"/>
  <c r="Q6688" i="6"/>
  <c r="Q6687" i="6" l="1"/>
  <c r="X6687" i="6" l="1"/>
  <c r="W6687" i="6"/>
  <c r="M6687" i="6"/>
  <c r="I6687" i="6"/>
  <c r="F2979" i="17"/>
  <c r="E2979" i="17"/>
  <c r="F2978" i="17" l="1"/>
  <c r="E2978" i="17"/>
  <c r="Q6686" i="6"/>
  <c r="W6686" i="6" s="1"/>
  <c r="X6686" i="6"/>
  <c r="M6686" i="6"/>
  <c r="I6686" i="6"/>
  <c r="W6685" i="6" l="1"/>
  <c r="Q6685" i="6"/>
  <c r="F2977" i="17"/>
  <c r="E2977" i="17"/>
  <c r="X6685" i="6"/>
  <c r="I6685" i="6"/>
  <c r="M6685" i="6"/>
  <c r="N83" i="10" l="1"/>
  <c r="N34" i="10" l="1"/>
  <c r="N33" i="10"/>
  <c r="N32" i="10"/>
  <c r="W6684" i="6" l="1"/>
  <c r="Q6684" i="6"/>
  <c r="I6684" i="6"/>
  <c r="X6684" i="6"/>
  <c r="F2976" i="17"/>
  <c r="E2976" i="17"/>
  <c r="M6684" i="6"/>
  <c r="Q6683" i="6" l="1"/>
  <c r="Q6681" i="6"/>
  <c r="W6681" i="6" s="1"/>
  <c r="F2975" i="17"/>
  <c r="E2975" i="17"/>
  <c r="I6683" i="6"/>
  <c r="M6683" i="6"/>
  <c r="M6682" i="6"/>
  <c r="I6682" i="6"/>
  <c r="E2974" i="17"/>
  <c r="F2974" i="17"/>
  <c r="F2973" i="17"/>
  <c r="E2973" i="17"/>
  <c r="X6683" i="6"/>
  <c r="W6683" i="6"/>
  <c r="X6682" i="6"/>
  <c r="W6682" i="6"/>
  <c r="X6681" i="6"/>
  <c r="N6678" i="6"/>
  <c r="M6681" i="6"/>
  <c r="I6681" i="6"/>
  <c r="Q6680" i="6" l="1"/>
  <c r="F2972" i="17" l="1"/>
  <c r="E2972" i="17"/>
  <c r="X6680" i="6"/>
  <c r="W6680" i="6"/>
  <c r="M6680" i="6"/>
  <c r="I6680" i="6"/>
  <c r="F94" i="10" l="1"/>
  <c r="F84" i="10"/>
  <c r="F61" i="10"/>
  <c r="E38" i="10"/>
  <c r="D38" i="10"/>
  <c r="C38" i="10"/>
  <c r="V6655" i="6"/>
  <c r="E4121" i="13"/>
  <c r="F133" i="10" s="1"/>
  <c r="Q6678" i="6" l="1"/>
  <c r="H2971" i="17" l="1"/>
  <c r="G2971" i="17"/>
  <c r="F112" i="10" s="1"/>
  <c r="F2971" i="17"/>
  <c r="E2971" i="17"/>
  <c r="X6678" i="6"/>
  <c r="W6678" i="6"/>
  <c r="O6678" i="6"/>
  <c r="F38" i="10"/>
  <c r="M6678" i="6"/>
  <c r="I6678" i="6"/>
  <c r="F2970" i="17" l="1"/>
  <c r="E2970" i="17"/>
  <c r="X6676" i="6"/>
  <c r="Q6677" i="6"/>
  <c r="Q6676" i="6"/>
  <c r="W6677" i="6"/>
  <c r="X6677" i="6"/>
  <c r="M6677" i="6"/>
  <c r="I6677" i="6"/>
  <c r="F2968" i="17" l="1"/>
  <c r="E2968" i="17"/>
  <c r="W6676" i="6"/>
  <c r="Q6675" i="6"/>
  <c r="W6675" i="6" s="1"/>
  <c r="X6675" i="6"/>
  <c r="I6675" i="6"/>
  <c r="M6675" i="6"/>
  <c r="Q6674" i="6" l="1"/>
  <c r="W6674" i="6" s="1"/>
  <c r="F2967" i="17"/>
  <c r="E2967" i="17"/>
  <c r="X6674" i="6"/>
  <c r="M6674" i="6"/>
  <c r="I6674" i="6"/>
  <c r="Q6673" i="6" l="1"/>
  <c r="W6673" i="6" s="1"/>
  <c r="F2966" i="17"/>
  <c r="E2966" i="17"/>
  <c r="X6673" i="6"/>
  <c r="M6673" i="6"/>
  <c r="I6673" i="6"/>
  <c r="X6672" i="6" l="1"/>
  <c r="Q6672" i="6"/>
  <c r="W6672" i="6" s="1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Q6669" i="6" l="1"/>
  <c r="W6669" i="6" s="1"/>
  <c r="F2962" i="17" l="1"/>
  <c r="E2962" i="17"/>
  <c r="X6669" i="6"/>
  <c r="I6669" i="6"/>
  <c r="M6669" i="6"/>
  <c r="W6668" i="6" l="1"/>
  <c r="Q6668" i="6"/>
  <c r="F2961" i="17" l="1"/>
  <c r="E2961" i="17"/>
  <c r="X6668" i="6"/>
  <c r="I6668" i="6"/>
  <c r="M6668" i="6"/>
  <c r="W6667" i="6" l="1"/>
  <c r="Q6667" i="6"/>
  <c r="F2960" i="17" l="1"/>
  <c r="E2960" i="17"/>
  <c r="X6667" i="6"/>
  <c r="I6667" i="6"/>
  <c r="M6667" i="6"/>
  <c r="W6666" i="6" l="1"/>
  <c r="Q6666" i="6"/>
  <c r="F2959" i="17" l="1"/>
  <c r="E2959" i="17"/>
  <c r="X6666" i="6"/>
  <c r="I6666" i="6"/>
  <c r="M6666" i="6"/>
  <c r="Q6665" i="6" l="1"/>
  <c r="W6665" i="6" s="1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60" i="6"/>
  <c r="W6660" i="6"/>
  <c r="M6660" i="6"/>
  <c r="I6660" i="6"/>
  <c r="M6659" i="6"/>
  <c r="I6659" i="6"/>
  <c r="X6659" i="6" l="1"/>
  <c r="V6679" i="6"/>
  <c r="X6679" i="6" s="1"/>
  <c r="W6659" i="6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60" i="10"/>
  <c r="X6655" i="6"/>
  <c r="N37" i="10"/>
  <c r="D4112" i="13"/>
  <c r="D4111" i="13"/>
  <c r="D4110" i="13"/>
  <c r="D4109" i="13"/>
  <c r="D4108" i="13"/>
  <c r="D4107" i="13"/>
  <c r="D4106" i="13"/>
  <c r="D4105" i="13"/>
  <c r="E4112" i="13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E112" i="10" s="1"/>
  <c r="N111" i="10" l="1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21" i="13" l="1"/>
  <c r="F4112" i="13"/>
  <c r="F4104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N35" i="10" s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3993" i="6" l="1"/>
  <c r="W4077" i="6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S4019" i="6" s="1"/>
  <c r="T4019" i="6" s="1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3989" i="6" l="1"/>
  <c r="T4026" i="6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7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현충일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<sst xmlns="http://schemas.openxmlformats.org/spreadsheetml/2006/main" count="703" uniqueCount="207">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</sst>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41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8" fontId="35" fillId="0" borderId="10" xfId="4" applyNumberFormat="1" applyFont="1" applyFill="1" applyBorder="1" applyAlignment="1">
      <alignment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3" fontId="35" fillId="18" borderId="7" xfId="3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4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1"/>
  <sheetViews>
    <sheetView tabSelected="1" zoomScaleNormal="100" workbookViewId="0">
      <pane ySplit="2" topLeftCell="A6666" activePane="bottomLeft" state="frozen"/>
      <selection pane="bottomLeft" activeCell="K6693" sqref="K6693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2" bestFit="1" customWidth="1"/>
    <col min="25" max="252" width="8.8984375" style="7" customWidth="1"/>
    <col min="253" max="16384" width="8.8984375" style="7"/>
  </cols>
  <sheetData>
    <row r="1" spans="1:24" ht="15" customHeight="1">
      <c r="A1" s="731" t="s">
        <v>0</v>
      </c>
      <c r="B1" s="733"/>
      <c r="C1" s="733"/>
      <c r="D1" s="733"/>
      <c r="E1" s="733"/>
      <c r="F1" s="737" t="s">
        <v>1</v>
      </c>
      <c r="G1" s="737"/>
      <c r="H1" s="734" t="s">
        <v>2</v>
      </c>
      <c r="I1" s="734"/>
      <c r="J1" s="399" t="s">
        <v>3</v>
      </c>
      <c r="K1" s="748" t="s">
        <v>4</v>
      </c>
      <c r="L1" s="742" t="s">
        <v>5</v>
      </c>
      <c r="M1" s="744" t="s">
        <v>6</v>
      </c>
      <c r="N1" s="746" t="s">
        <v>7</v>
      </c>
      <c r="O1" s="738" t="s">
        <v>8</v>
      </c>
      <c r="P1" s="756" t="s">
        <v>9</v>
      </c>
      <c r="Q1" s="756"/>
      <c r="R1" s="756"/>
      <c r="S1" s="756"/>
      <c r="T1" s="756"/>
      <c r="U1" s="756"/>
      <c r="V1" s="752" t="s">
        <v>7</v>
      </c>
      <c r="W1" s="750" t="s">
        <v>10</v>
      </c>
      <c r="X1" s="721" t="s">
        <v>11</v>
      </c>
    </row>
    <row r="2" spans="1:24" ht="13.5" customHeight="1" thickBot="1">
      <c r="A2" s="732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49"/>
      <c r="L2" s="743"/>
      <c r="M2" s="745"/>
      <c r="N2" s="747"/>
      <c r="O2" s="739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753"/>
      <c r="W2" s="751"/>
      <c r="X2" s="722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41" t="s">
        <v>23</v>
      </c>
      <c r="R2310" s="741"/>
      <c r="S2310" s="741"/>
      <c r="T2310" s="741"/>
      <c r="U2310" s="741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41"/>
      <c r="R2311" s="741"/>
      <c r="S2311" s="741"/>
      <c r="T2311" s="741"/>
      <c r="U2311" s="741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41"/>
      <c r="R2312" s="741"/>
      <c r="S2312" s="741"/>
      <c r="T2312" s="741"/>
      <c r="U2312" s="741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41"/>
      <c r="R2313" s="741"/>
      <c r="S2313" s="741"/>
      <c r="T2313" s="741"/>
      <c r="U2313" s="741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41"/>
      <c r="R2314" s="741"/>
      <c r="S2314" s="741"/>
      <c r="T2314" s="741"/>
      <c r="U2314" s="741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41"/>
      <c r="R2315" s="741"/>
      <c r="S2315" s="741"/>
      <c r="T2315" s="741"/>
      <c r="U2315" s="741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41" t="s">
        <v>24</v>
      </c>
      <c r="G2345" s="741"/>
      <c r="H2345" s="741"/>
      <c r="I2345" s="741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41"/>
      <c r="G2346" s="741"/>
      <c r="H2346" s="741"/>
      <c r="I2346" s="741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24" t="s">
        <v>23</v>
      </c>
      <c r="R2362" s="724"/>
      <c r="S2362" s="724"/>
      <c r="T2362" s="724"/>
      <c r="U2362" s="724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25"/>
      <c r="R2363" s="725"/>
      <c r="S2363" s="725"/>
      <c r="T2363" s="725"/>
      <c r="U2363" s="725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25"/>
      <c r="R2364" s="725"/>
      <c r="S2364" s="725"/>
      <c r="T2364" s="725"/>
      <c r="U2364" s="725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25"/>
      <c r="R2365" s="725"/>
      <c r="S2365" s="725"/>
      <c r="T2365" s="725"/>
      <c r="U2365" s="725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31" t="s">
        <v>25</v>
      </c>
      <c r="G2380" s="731"/>
      <c r="H2380" s="731"/>
      <c r="I2380" s="731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24" t="s">
        <v>23</v>
      </c>
      <c r="R2469" s="724"/>
      <c r="S2469" s="724"/>
      <c r="T2469" s="724"/>
      <c r="U2469" s="724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25"/>
      <c r="R2470" s="725"/>
      <c r="S2470" s="725"/>
      <c r="T2470" s="725"/>
      <c r="U2470" s="725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25"/>
      <c r="R2471" s="725"/>
      <c r="S2471" s="725"/>
      <c r="T2471" s="725"/>
      <c r="U2471" s="725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25"/>
      <c r="R2472" s="725"/>
      <c r="S2472" s="725"/>
      <c r="T2472" s="725"/>
      <c r="U2472" s="725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25"/>
      <c r="R2473" s="725"/>
      <c r="S2473" s="725"/>
      <c r="T2473" s="725"/>
      <c r="U2473" s="725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40" t="s">
        <v>23</v>
      </c>
      <c r="G2529" s="740"/>
      <c r="H2529" s="740"/>
      <c r="I2529" s="740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40"/>
      <c r="G2530" s="740"/>
      <c r="H2530" s="740"/>
      <c r="I2530" s="740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40"/>
      <c r="G2531" s="740"/>
      <c r="H2531" s="740"/>
      <c r="I2531" s="740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26" t="s">
        <v>23</v>
      </c>
      <c r="R2534" s="727"/>
      <c r="S2534" s="727"/>
      <c r="T2534" s="727"/>
      <c r="U2534" s="727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25" t="s">
        <v>23</v>
      </c>
      <c r="R2559" s="725"/>
      <c r="S2559" s="725"/>
      <c r="T2559" s="725"/>
      <c r="U2559" s="725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25"/>
      <c r="R2560" s="725"/>
      <c r="S2560" s="725"/>
      <c r="T2560" s="725"/>
      <c r="U2560" s="725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25"/>
      <c r="R2561" s="725"/>
      <c r="S2561" s="725"/>
      <c r="T2561" s="725"/>
      <c r="U2561" s="725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25"/>
      <c r="R2562" s="725"/>
      <c r="S2562" s="725"/>
      <c r="T2562" s="725"/>
      <c r="U2562" s="725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25"/>
      <c r="R2563" s="725"/>
      <c r="S2563" s="725"/>
      <c r="T2563" s="725"/>
      <c r="U2563" s="725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25"/>
      <c r="R2564" s="725"/>
      <c r="S2564" s="725"/>
      <c r="T2564" s="725"/>
      <c r="U2564" s="725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96" t="s">
        <v>27</v>
      </c>
      <c r="G2592" s="696"/>
      <c r="H2592" s="696"/>
      <c r="I2592" s="696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96"/>
      <c r="G2593" s="696"/>
      <c r="H2593" s="696"/>
      <c r="I2593" s="696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25" t="s">
        <v>28</v>
      </c>
      <c r="R2602" s="725"/>
      <c r="S2602" s="725"/>
      <c r="T2602" s="725"/>
      <c r="U2602" s="725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24" t="s">
        <v>23</v>
      </c>
      <c r="R2621" s="724"/>
      <c r="S2621" s="724"/>
      <c r="T2621" s="724"/>
      <c r="U2621" s="724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25"/>
      <c r="R2622" s="725"/>
      <c r="S2622" s="725"/>
      <c r="T2622" s="725"/>
      <c r="U2622" s="725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96" t="s">
        <v>23</v>
      </c>
      <c r="G2623" s="696"/>
      <c r="H2623" s="696"/>
      <c r="I2623" s="696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96" t="s">
        <v>29</v>
      </c>
      <c r="G2638" s="696"/>
      <c r="H2638" s="696"/>
      <c r="I2638" s="696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25" t="s">
        <v>23</v>
      </c>
      <c r="R2648" s="725"/>
      <c r="S2648" s="725"/>
      <c r="T2648" s="725"/>
      <c r="U2648" s="725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96" t="s">
        <v>30</v>
      </c>
      <c r="G2703" s="696"/>
      <c r="H2703" s="696"/>
      <c r="I2703" s="696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54" t="s">
        <v>31</v>
      </c>
      <c r="R2718" s="754"/>
      <c r="S2718" s="754"/>
      <c r="T2718" s="754"/>
      <c r="U2718" s="754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54" t="s">
        <v>32</v>
      </c>
      <c r="R2728" s="754"/>
      <c r="S2728" s="754"/>
      <c r="T2728" s="754"/>
      <c r="U2728" s="754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54"/>
      <c r="R2729" s="754"/>
      <c r="S2729" s="754"/>
      <c r="T2729" s="754"/>
      <c r="U2729" s="754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54"/>
      <c r="R2730" s="754"/>
      <c r="S2730" s="754"/>
      <c r="T2730" s="754"/>
      <c r="U2730" s="754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54"/>
      <c r="R2731" s="754"/>
      <c r="S2731" s="754"/>
      <c r="T2731" s="754"/>
      <c r="U2731" s="754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54"/>
      <c r="R2732" s="754"/>
      <c r="S2732" s="754"/>
      <c r="T2732" s="754"/>
      <c r="U2732" s="754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96" t="s">
        <v>33</v>
      </c>
      <c r="G2791" s="696"/>
      <c r="H2791" s="696"/>
      <c r="I2791" s="696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96"/>
      <c r="G2792" s="696"/>
      <c r="H2792" s="696"/>
      <c r="I2792" s="696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55" t="s">
        <v>23</v>
      </c>
      <c r="R2796" s="755"/>
      <c r="S2796" s="755"/>
      <c r="T2796" s="755"/>
      <c r="U2796" s="755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25" t="s">
        <v>23</v>
      </c>
      <c r="R2812" s="725"/>
      <c r="S2812" s="725"/>
      <c r="T2812" s="725"/>
      <c r="U2812" s="725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25"/>
      <c r="R2813" s="725"/>
      <c r="S2813" s="725"/>
      <c r="T2813" s="725"/>
      <c r="U2813" s="725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25"/>
      <c r="R2814" s="725"/>
      <c r="S2814" s="725"/>
      <c r="T2814" s="725"/>
      <c r="U2814" s="725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25"/>
      <c r="R2815" s="725"/>
      <c r="S2815" s="725"/>
      <c r="T2815" s="725"/>
      <c r="U2815" s="725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27"/>
      <c r="R2816" s="727"/>
      <c r="S2816" s="727"/>
      <c r="T2816" s="727"/>
      <c r="U2816" s="727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25" t="s">
        <v>23</v>
      </c>
      <c r="R2862" s="725"/>
      <c r="S2862" s="725"/>
      <c r="T2862" s="725"/>
      <c r="U2862" s="725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96" t="s">
        <v>27</v>
      </c>
      <c r="G2866" s="696"/>
      <c r="H2866" s="696"/>
      <c r="I2866" s="696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96"/>
      <c r="G2867" s="696"/>
      <c r="H2867" s="696"/>
      <c r="I2867" s="696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24" t="s">
        <v>23</v>
      </c>
      <c r="R2881" s="724"/>
      <c r="S2881" s="724"/>
      <c r="T2881" s="724"/>
      <c r="U2881" s="724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96" t="s">
        <v>23</v>
      </c>
      <c r="G2882" s="696"/>
      <c r="H2882" s="696"/>
      <c r="I2882" s="696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96" t="s">
        <v>34</v>
      </c>
      <c r="G2897" s="696"/>
      <c r="H2897" s="696"/>
      <c r="I2897" s="696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25" t="s">
        <v>23</v>
      </c>
      <c r="R2900" s="725"/>
      <c r="S2900" s="725"/>
      <c r="T2900" s="725"/>
      <c r="U2900" s="725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27"/>
      <c r="R2901" s="727"/>
      <c r="S2901" s="727"/>
      <c r="T2901" s="727"/>
      <c r="U2901" s="727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57" t="s">
        <v>23</v>
      </c>
      <c r="R2989" s="757"/>
      <c r="S2989" s="757"/>
      <c r="T2989" s="757"/>
      <c r="U2989" s="757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58"/>
      <c r="R2990" s="758"/>
      <c r="S2990" s="758"/>
      <c r="T2990" s="758"/>
      <c r="U2990" s="758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58"/>
      <c r="R2991" s="758"/>
      <c r="S2991" s="758"/>
      <c r="T2991" s="758"/>
      <c r="U2991" s="758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58"/>
      <c r="R2992" s="758"/>
      <c r="S2992" s="758"/>
      <c r="T2992" s="758"/>
      <c r="U2992" s="758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58"/>
      <c r="R2993" s="758"/>
      <c r="S2993" s="758"/>
      <c r="T2993" s="758"/>
      <c r="U2993" s="758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58"/>
      <c r="R2994" s="758"/>
      <c r="S2994" s="758"/>
      <c r="T2994" s="758"/>
      <c r="U2994" s="758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96" t="s">
        <v>35</v>
      </c>
      <c r="G3050" s="696"/>
      <c r="H3050" s="696"/>
      <c r="I3050" s="696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96"/>
      <c r="G3051" s="696"/>
      <c r="H3051" s="696"/>
      <c r="I3051" s="696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25" t="s">
        <v>36</v>
      </c>
      <c r="R3085" s="725"/>
      <c r="S3085" s="725"/>
      <c r="T3085" s="725"/>
      <c r="U3085" s="725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25"/>
      <c r="R3086" s="725"/>
      <c r="S3086" s="725"/>
      <c r="T3086" s="725"/>
      <c r="U3086" s="725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25"/>
      <c r="R3087" s="725"/>
      <c r="S3087" s="725"/>
      <c r="T3087" s="725"/>
      <c r="U3087" s="725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25"/>
      <c r="R3088" s="725"/>
      <c r="S3088" s="725"/>
      <c r="T3088" s="725"/>
      <c r="U3088" s="725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25"/>
      <c r="R3089" s="725"/>
      <c r="S3089" s="725"/>
      <c r="T3089" s="725"/>
      <c r="U3089" s="725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96" t="s">
        <v>35</v>
      </c>
      <c r="G3119" s="696"/>
      <c r="H3119" s="696"/>
      <c r="I3119" s="696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96"/>
      <c r="G3120" s="696"/>
      <c r="H3120" s="696"/>
      <c r="I3120" s="696"/>
      <c r="J3120" s="65"/>
      <c r="K3120" s="213"/>
      <c r="L3120" s="213"/>
      <c r="M3120" s="213"/>
      <c r="N3120" s="18"/>
      <c r="O3120" s="147"/>
      <c r="P3120" s="215"/>
      <c r="Q3120" s="725" t="s">
        <v>23</v>
      </c>
      <c r="R3120" s="725"/>
      <c r="S3120" s="725"/>
      <c r="T3120" s="725"/>
      <c r="U3120" s="725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23" t="s">
        <v>35</v>
      </c>
      <c r="G3140" s="723"/>
      <c r="H3140" s="723"/>
      <c r="I3140" s="723"/>
      <c r="J3140" s="393"/>
      <c r="K3140" s="219"/>
      <c r="L3140" s="219"/>
      <c r="M3140" s="219"/>
      <c r="N3140" s="20"/>
      <c r="O3140" s="150"/>
      <c r="P3140" s="207"/>
      <c r="Q3140" s="724" t="s">
        <v>23</v>
      </c>
      <c r="R3140" s="724"/>
      <c r="S3140" s="724"/>
      <c r="T3140" s="724"/>
      <c r="U3140" s="724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35" t="s">
        <v>35</v>
      </c>
      <c r="G3160" s="735"/>
      <c r="H3160" s="735"/>
      <c r="I3160" s="735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05" t="s">
        <v>37</v>
      </c>
      <c r="R3162" s="705"/>
      <c r="S3162" s="705"/>
      <c r="T3162" s="705"/>
      <c r="U3162" s="705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05" t="s">
        <v>37</v>
      </c>
      <c r="R3170" s="705"/>
      <c r="S3170" s="705"/>
      <c r="T3170" s="705"/>
      <c r="U3170" s="705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05"/>
      <c r="R3171" s="705"/>
      <c r="S3171" s="705"/>
      <c r="T3171" s="705"/>
      <c r="U3171" s="705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05"/>
      <c r="R3172" s="705"/>
      <c r="S3172" s="705"/>
      <c r="T3172" s="705"/>
      <c r="U3172" s="705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36" t="s">
        <v>38</v>
      </c>
      <c r="G3225" s="736"/>
      <c r="H3225" s="736"/>
      <c r="I3225" s="736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05" t="s">
        <v>37</v>
      </c>
      <c r="R3241" s="705"/>
      <c r="S3241" s="705"/>
      <c r="T3241" s="705"/>
      <c r="U3241" s="705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05"/>
      <c r="R3242" s="705"/>
      <c r="S3242" s="705"/>
      <c r="T3242" s="705"/>
      <c r="U3242" s="705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05"/>
      <c r="R3243" s="705"/>
      <c r="S3243" s="705"/>
      <c r="T3243" s="705"/>
      <c r="U3243" s="705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05"/>
      <c r="R3244" s="705"/>
      <c r="S3244" s="705"/>
      <c r="T3244" s="705"/>
      <c r="U3244" s="705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69" t="s">
        <v>37</v>
      </c>
      <c r="R3249" s="769"/>
      <c r="S3249" s="769"/>
      <c r="T3249" s="769"/>
      <c r="U3249" s="769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05"/>
      <c r="R3250" s="705"/>
      <c r="S3250" s="705"/>
      <c r="T3250" s="705"/>
      <c r="U3250" s="705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05"/>
      <c r="R3251" s="705"/>
      <c r="S3251" s="705"/>
      <c r="T3251" s="705"/>
      <c r="U3251" s="705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05"/>
      <c r="R3252" s="705"/>
      <c r="S3252" s="705"/>
      <c r="T3252" s="705"/>
      <c r="U3252" s="705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05"/>
      <c r="R3253" s="705"/>
      <c r="S3253" s="705"/>
      <c r="T3253" s="705"/>
      <c r="U3253" s="705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85" t="s">
        <v>39</v>
      </c>
      <c r="G3310" s="685"/>
      <c r="H3310" s="685"/>
      <c r="I3310" s="685"/>
      <c r="J3310" s="5"/>
      <c r="K3310" s="24"/>
      <c r="L3310" s="24"/>
      <c r="M3310" s="24"/>
      <c r="N3310" s="18"/>
      <c r="O3310" s="147"/>
      <c r="P3310" s="227"/>
      <c r="Q3310" s="768" t="s">
        <v>40</v>
      </c>
      <c r="R3310" s="768"/>
      <c r="S3310" s="768"/>
      <c r="T3310" s="768"/>
      <c r="U3310" s="768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85"/>
      <c r="G3311" s="685"/>
      <c r="H3311" s="685"/>
      <c r="I3311" s="685"/>
      <c r="J3311" s="5"/>
      <c r="K3311" s="24"/>
      <c r="L3311" s="24"/>
      <c r="M3311" s="24"/>
      <c r="N3311" s="18"/>
      <c r="O3311" s="147"/>
      <c r="P3311" s="227"/>
      <c r="Q3311" s="768"/>
      <c r="R3311" s="768"/>
      <c r="S3311" s="768"/>
      <c r="T3311" s="768"/>
      <c r="U3311" s="768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25" t="s">
        <v>41</v>
      </c>
      <c r="R3336" s="725"/>
      <c r="S3336" s="725"/>
      <c r="T3336" s="725"/>
      <c r="U3336" s="725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25"/>
      <c r="R3337" s="725"/>
      <c r="S3337" s="725"/>
      <c r="T3337" s="725"/>
      <c r="U3337" s="725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25"/>
      <c r="R3338" s="725"/>
      <c r="S3338" s="725"/>
      <c r="T3338" s="725"/>
      <c r="U3338" s="725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25"/>
      <c r="R3339" s="725"/>
      <c r="S3339" s="725"/>
      <c r="T3339" s="725"/>
      <c r="U3339" s="725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25"/>
      <c r="R3340" s="725"/>
      <c r="S3340" s="725"/>
      <c r="T3340" s="725"/>
      <c r="U3340" s="725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25" t="s">
        <v>41</v>
      </c>
      <c r="R3379" s="725"/>
      <c r="S3379" s="725"/>
      <c r="T3379" s="725"/>
      <c r="U3379" s="725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25"/>
      <c r="R3380" s="725"/>
      <c r="S3380" s="725"/>
      <c r="T3380" s="725"/>
      <c r="U3380" s="725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85" t="s">
        <v>39</v>
      </c>
      <c r="G3393" s="685"/>
      <c r="H3393" s="685"/>
      <c r="I3393" s="685"/>
      <c r="J3393" s="5"/>
      <c r="K3393" s="24"/>
      <c r="L3393" s="24"/>
      <c r="M3393" s="24"/>
      <c r="N3393" s="18"/>
      <c r="O3393" s="147"/>
      <c r="P3393" s="193"/>
      <c r="Q3393" s="725" t="s">
        <v>36</v>
      </c>
      <c r="R3393" s="725"/>
      <c r="S3393" s="725"/>
      <c r="T3393" s="725"/>
      <c r="U3393" s="725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85"/>
      <c r="G3394" s="685"/>
      <c r="H3394" s="685"/>
      <c r="I3394" s="685"/>
      <c r="J3394" s="5"/>
      <c r="K3394" s="24"/>
      <c r="L3394" s="24"/>
      <c r="M3394" s="24"/>
      <c r="N3394" s="18"/>
      <c r="O3394" s="147"/>
      <c r="P3394" s="227"/>
      <c r="Q3394" s="725"/>
      <c r="R3394" s="725"/>
      <c r="S3394" s="725"/>
      <c r="T3394" s="725"/>
      <c r="U3394" s="725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70" t="s">
        <v>38</v>
      </c>
      <c r="G3398" s="770"/>
      <c r="H3398" s="770"/>
      <c r="I3398" s="770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88" t="s">
        <v>38</v>
      </c>
      <c r="G3399" s="688"/>
      <c r="H3399" s="688"/>
      <c r="I3399" s="688"/>
      <c r="J3399" s="31"/>
      <c r="K3399" s="230"/>
      <c r="L3399" s="230"/>
      <c r="M3399" s="230"/>
      <c r="N3399" s="102"/>
      <c r="O3399" s="152"/>
      <c r="P3399" s="231"/>
      <c r="Q3399" s="757" t="s">
        <v>41</v>
      </c>
      <c r="R3399" s="757"/>
      <c r="S3399" s="757"/>
      <c r="T3399" s="757"/>
      <c r="U3399" s="757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85" t="s">
        <v>38</v>
      </c>
      <c r="G3419" s="685"/>
      <c r="H3419" s="685"/>
      <c r="I3419" s="685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25" t="s">
        <v>41</v>
      </c>
      <c r="R3424" s="725"/>
      <c r="S3424" s="725"/>
      <c r="T3424" s="725"/>
      <c r="U3424" s="725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85" t="s">
        <v>38</v>
      </c>
      <c r="G3484" s="685"/>
      <c r="H3484" s="685"/>
      <c r="I3484" s="685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24" t="s">
        <v>41</v>
      </c>
      <c r="R3509" s="724"/>
      <c r="S3509" s="724"/>
      <c r="T3509" s="724"/>
      <c r="U3509" s="724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25"/>
      <c r="R3510" s="725"/>
      <c r="S3510" s="725"/>
      <c r="T3510" s="725"/>
      <c r="U3510" s="725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25"/>
      <c r="R3511" s="725"/>
      <c r="S3511" s="725"/>
      <c r="T3511" s="725"/>
      <c r="U3511" s="725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25"/>
      <c r="R3512" s="725"/>
      <c r="S3512" s="725"/>
      <c r="T3512" s="725"/>
      <c r="U3512" s="725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25"/>
      <c r="R3513" s="725"/>
      <c r="S3513" s="725"/>
      <c r="T3513" s="725"/>
      <c r="U3513" s="725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85" t="s">
        <v>38</v>
      </c>
      <c r="G3569" s="685"/>
      <c r="H3569" s="685"/>
      <c r="I3569" s="685"/>
      <c r="J3569" s="5"/>
      <c r="K3569" s="24"/>
      <c r="L3569" s="24"/>
      <c r="M3569" s="24"/>
      <c r="N3569" s="18"/>
      <c r="O3569" s="147"/>
      <c r="P3569" s="227"/>
      <c r="Q3569" s="725" t="s">
        <v>41</v>
      </c>
      <c r="R3569" s="725"/>
      <c r="S3569" s="725"/>
      <c r="T3569" s="725"/>
      <c r="U3569" s="725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85"/>
      <c r="G3570" s="685"/>
      <c r="H3570" s="685"/>
      <c r="I3570" s="685"/>
      <c r="J3570" s="5"/>
      <c r="K3570" s="24"/>
      <c r="L3570" s="24"/>
      <c r="M3570" s="24"/>
      <c r="N3570" s="18"/>
      <c r="O3570" s="147"/>
      <c r="P3570" s="227"/>
      <c r="Q3570" s="725"/>
      <c r="R3570" s="725"/>
      <c r="S3570" s="725"/>
      <c r="T3570" s="725"/>
      <c r="U3570" s="725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88" t="s">
        <v>38</v>
      </c>
      <c r="G3574" s="688"/>
      <c r="H3574" s="688"/>
      <c r="I3574" s="688"/>
      <c r="J3574" s="31"/>
      <c r="K3574" s="230"/>
      <c r="L3574" s="230"/>
      <c r="M3574" s="230"/>
      <c r="N3574" s="20"/>
      <c r="P3574" s="228"/>
      <c r="Q3574" s="724" t="s">
        <v>41</v>
      </c>
      <c r="R3574" s="724"/>
      <c r="S3574" s="724"/>
      <c r="T3574" s="724"/>
      <c r="U3574" s="724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25"/>
      <c r="R3575" s="725"/>
      <c r="S3575" s="725"/>
      <c r="T3575" s="725"/>
      <c r="U3575" s="725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25" t="s">
        <v>41</v>
      </c>
      <c r="R3589" s="725"/>
      <c r="S3589" s="725"/>
      <c r="T3589" s="725"/>
      <c r="U3589" s="725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25"/>
      <c r="R3590" s="725"/>
      <c r="S3590" s="725"/>
      <c r="T3590" s="725"/>
      <c r="U3590" s="725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25"/>
      <c r="R3591" s="725"/>
      <c r="S3591" s="725"/>
      <c r="T3591" s="725"/>
      <c r="U3591" s="725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25"/>
      <c r="R3592" s="725"/>
      <c r="S3592" s="725"/>
      <c r="T3592" s="725"/>
      <c r="U3592" s="725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25"/>
      <c r="R3593" s="725"/>
      <c r="S3593" s="725"/>
      <c r="T3593" s="725"/>
      <c r="U3593" s="725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63"/>
      <c r="C3596" s="763"/>
      <c r="D3596" s="763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28"/>
      <c r="C3618" s="728"/>
      <c r="D3618" s="728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3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28"/>
      <c r="C3641" s="728"/>
      <c r="D3641" s="728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3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24" t="s">
        <v>41</v>
      </c>
      <c r="R3642" s="724"/>
      <c r="S3642" s="724"/>
      <c r="T3642" s="724"/>
      <c r="U3642" s="724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25"/>
      <c r="R3643" s="725"/>
      <c r="S3643" s="725"/>
      <c r="T3643" s="725"/>
      <c r="U3643" s="725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25"/>
      <c r="R3644" s="725"/>
      <c r="S3644" s="725"/>
      <c r="T3644" s="725"/>
      <c r="U3644" s="725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85" t="s">
        <v>38</v>
      </c>
      <c r="G3646" s="685"/>
      <c r="H3646" s="685"/>
      <c r="I3646" s="685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85"/>
      <c r="G3647" s="685"/>
      <c r="H3647" s="685"/>
      <c r="I3647" s="685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25" t="s">
        <v>41</v>
      </c>
      <c r="R3662" s="725"/>
      <c r="S3662" s="725"/>
      <c r="T3662" s="725"/>
      <c r="U3662" s="725"/>
      <c r="W3662" s="343"/>
    </row>
    <row r="3663" spans="1:24" s="125" customFormat="1" ht="15" customHeight="1" thickBot="1">
      <c r="A3663" s="235"/>
      <c r="B3663" s="728"/>
      <c r="C3663" s="728"/>
      <c r="D3663" s="728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3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24" t="s">
        <v>41</v>
      </c>
      <c r="R3664" s="724"/>
      <c r="S3664" s="724"/>
      <c r="T3664" s="724"/>
      <c r="U3664" s="724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85" t="s">
        <v>39</v>
      </c>
      <c r="G3668" s="685"/>
      <c r="H3668" s="685"/>
      <c r="I3668" s="685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28"/>
      <c r="C3687" s="728"/>
      <c r="D3687" s="728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3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85" t="s">
        <v>38</v>
      </c>
      <c r="G3689" s="685"/>
      <c r="H3689" s="685"/>
      <c r="I3689" s="685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85"/>
      <c r="G3690" s="685"/>
      <c r="H3690" s="685"/>
      <c r="I3690" s="685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25" t="s">
        <v>41</v>
      </c>
      <c r="R3703" s="725"/>
      <c r="S3703" s="725"/>
      <c r="T3703" s="725"/>
      <c r="U3703" s="725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28"/>
      <c r="C3709" s="728"/>
      <c r="D3709" s="728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3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28"/>
      <c r="C3732" s="728"/>
      <c r="D3732" s="728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3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85" t="s">
        <v>38</v>
      </c>
      <c r="G3751" s="685"/>
      <c r="H3751" s="685"/>
      <c r="I3751" s="685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3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28"/>
      <c r="C3777" s="728"/>
      <c r="D3777" s="728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3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23" t="s">
        <v>41</v>
      </c>
      <c r="R3778" s="723"/>
      <c r="S3778" s="723"/>
      <c r="T3778" s="723"/>
      <c r="U3778" s="723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96"/>
      <c r="R3779" s="696"/>
      <c r="S3779" s="696"/>
      <c r="T3779" s="696"/>
      <c r="U3779" s="696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96"/>
      <c r="R3780" s="696"/>
      <c r="S3780" s="696"/>
      <c r="T3780" s="696"/>
      <c r="U3780" s="696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96"/>
      <c r="R3781" s="696"/>
      <c r="S3781" s="696"/>
      <c r="T3781" s="696"/>
      <c r="U3781" s="696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96"/>
      <c r="R3782" s="696"/>
      <c r="S3782" s="696"/>
      <c r="T3782" s="696"/>
      <c r="U3782" s="696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28"/>
      <c r="C3801" s="728"/>
      <c r="D3801" s="728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3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28"/>
      <c r="C3824" s="728"/>
      <c r="D3824" s="728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3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85" t="s">
        <v>38</v>
      </c>
      <c r="G3841" s="685"/>
      <c r="H3841" s="685"/>
      <c r="I3841" s="685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85"/>
      <c r="G3842" s="685"/>
      <c r="H3842" s="685"/>
      <c r="I3842" s="685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93"/>
      <c r="C3846" s="693"/>
      <c r="D3846" s="693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88" t="s">
        <v>38</v>
      </c>
      <c r="G3847" s="688"/>
      <c r="H3847" s="688"/>
      <c r="I3847" s="688"/>
      <c r="J3847" s="31"/>
      <c r="K3847" s="230"/>
      <c r="L3847" s="230"/>
      <c r="M3847" s="230"/>
      <c r="O3847" s="169"/>
      <c r="P3847" s="228"/>
      <c r="Q3847" s="724" t="s">
        <v>43</v>
      </c>
      <c r="R3847" s="724"/>
      <c r="S3847" s="724"/>
      <c r="T3847" s="724"/>
      <c r="U3847" s="724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25"/>
      <c r="R3848" s="725"/>
      <c r="S3848" s="725"/>
      <c r="T3848" s="725"/>
      <c r="U3848" s="725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25"/>
      <c r="R3849" s="725"/>
      <c r="S3849" s="725"/>
      <c r="T3849" s="725"/>
      <c r="U3849" s="725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93"/>
      <c r="C3870" s="693"/>
      <c r="D3870" s="693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60" t="s">
        <v>43</v>
      </c>
      <c r="R3877" s="760"/>
      <c r="S3877" s="760"/>
      <c r="T3877" s="760"/>
      <c r="U3877" s="760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60"/>
      <c r="R3878" s="760"/>
      <c r="S3878" s="760"/>
      <c r="T3878" s="760"/>
      <c r="U3878" s="760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60"/>
      <c r="R3879" s="760"/>
      <c r="S3879" s="760"/>
      <c r="T3879" s="760"/>
      <c r="U3879" s="760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60"/>
      <c r="R3880" s="760"/>
      <c r="S3880" s="760"/>
      <c r="T3880" s="760"/>
      <c r="U3880" s="760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60"/>
      <c r="R3881" s="760"/>
      <c r="S3881" s="760"/>
      <c r="T3881" s="760"/>
      <c r="U3881" s="760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93"/>
      <c r="C3891" s="693"/>
      <c r="D3891" s="693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93"/>
      <c r="C3913" s="693"/>
      <c r="D3913" s="693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60" t="s">
        <v>43</v>
      </c>
      <c r="R3917" s="760"/>
      <c r="S3917" s="760"/>
      <c r="T3917" s="760"/>
      <c r="U3917" s="760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60"/>
      <c r="R3918" s="760"/>
      <c r="S3918" s="760"/>
      <c r="T3918" s="760"/>
      <c r="U3918" s="760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2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2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2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60" t="s">
        <v>35</v>
      </c>
      <c r="R3934" s="760"/>
      <c r="S3934" s="760"/>
      <c r="T3934" s="760"/>
      <c r="U3934" s="760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60"/>
      <c r="R3935" s="760"/>
      <c r="S3935" s="760"/>
      <c r="T3935" s="760"/>
      <c r="U3935" s="760"/>
    </row>
    <row r="3936" spans="1:24" ht="15" customHeight="1" thickBot="1">
      <c r="A3936" s="236"/>
      <c r="B3936" s="693"/>
      <c r="C3936" s="693"/>
      <c r="D3936" s="693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05" t="s">
        <v>44</v>
      </c>
      <c r="R3937" s="705"/>
      <c r="S3937" s="705"/>
      <c r="T3937" s="705"/>
      <c r="U3937" s="705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92" t="s">
        <v>45</v>
      </c>
      <c r="R3948" s="692"/>
      <c r="S3948" s="692"/>
      <c r="T3948" s="692"/>
      <c r="U3948" s="692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93"/>
      <c r="C3960" s="693"/>
      <c r="D3960" s="693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92" t="s">
        <v>45</v>
      </c>
      <c r="R3963" s="692"/>
      <c r="S3963" s="692"/>
      <c r="T3963" s="692"/>
      <c r="U3963" s="692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92" t="s">
        <v>45</v>
      </c>
      <c r="R3966" s="692"/>
      <c r="S3966" s="692"/>
      <c r="T3966" s="692"/>
      <c r="U3966" s="692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92"/>
      <c r="R3967" s="692"/>
      <c r="S3967" s="692"/>
      <c r="T3967" s="692"/>
      <c r="U3967" s="692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92"/>
      <c r="R3968" s="692"/>
      <c r="S3968" s="692"/>
      <c r="T3968" s="692"/>
      <c r="U3968" s="692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93"/>
      <c r="C3981" s="693"/>
      <c r="D3981" s="693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93"/>
      <c r="C4005" s="693"/>
      <c r="D4005" s="693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93"/>
      <c r="C4028" s="693"/>
      <c r="D4028" s="693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30"/>
      <c r="Z4042" s="730"/>
      <c r="AA4042" s="730"/>
      <c r="AB4042" s="730"/>
      <c r="AC4042" s="730"/>
      <c r="AD4042" s="730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30"/>
      <c r="Z4043" s="730"/>
      <c r="AA4043" s="730"/>
      <c r="AB4043" s="730"/>
      <c r="AC4043" s="730"/>
      <c r="AD4043" s="730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93"/>
      <c r="C4050" s="693"/>
      <c r="D4050" s="693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23" t="s">
        <v>41</v>
      </c>
      <c r="Z4051" s="723"/>
      <c r="AA4051" s="723"/>
      <c r="AB4051" s="723"/>
      <c r="AC4051" s="723"/>
      <c r="AD4051" s="723"/>
      <c r="AE4051" s="723"/>
      <c r="AF4051" s="723"/>
      <c r="AG4051" s="723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96"/>
      <c r="Z4052" s="696"/>
      <c r="AA4052" s="696"/>
      <c r="AB4052" s="696"/>
      <c r="AC4052" s="696"/>
      <c r="AD4052" s="696"/>
      <c r="AE4052" s="696"/>
      <c r="AF4052" s="696"/>
      <c r="AG4052" s="696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96"/>
      <c r="Z4053" s="696"/>
      <c r="AA4053" s="696"/>
      <c r="AB4053" s="696"/>
      <c r="AC4053" s="696"/>
      <c r="AD4053" s="696"/>
      <c r="AE4053" s="696"/>
      <c r="AF4053" s="696"/>
      <c r="AG4053" s="696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96"/>
      <c r="Z4054" s="696"/>
      <c r="AA4054" s="696"/>
      <c r="AB4054" s="696"/>
      <c r="AC4054" s="696"/>
      <c r="AD4054" s="696"/>
      <c r="AE4054" s="696"/>
      <c r="AF4054" s="696"/>
      <c r="AG4054" s="696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96"/>
      <c r="Z4055" s="696"/>
      <c r="AA4055" s="696"/>
      <c r="AB4055" s="696"/>
      <c r="AC4055" s="696"/>
      <c r="AD4055" s="696"/>
      <c r="AE4055" s="696"/>
      <c r="AF4055" s="696"/>
      <c r="AG4055" s="696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93"/>
      <c r="C4074" s="693"/>
      <c r="D4074" s="693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93"/>
      <c r="C4096" s="693"/>
      <c r="D4096" s="693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85" t="s">
        <v>38</v>
      </c>
      <c r="G4114" s="685"/>
      <c r="H4114" s="685"/>
      <c r="I4114" s="685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85"/>
      <c r="G4115" s="685"/>
      <c r="H4115" s="685"/>
      <c r="I4115" s="685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93"/>
      <c r="C4119" s="693"/>
      <c r="D4119" s="693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61" t="s">
        <v>46</v>
      </c>
      <c r="Q4141" s="762"/>
      <c r="R4141" s="762"/>
      <c r="S4141" s="762"/>
      <c r="T4141" s="762"/>
      <c r="U4141" s="762"/>
      <c r="V4141" s="762"/>
      <c r="W4141" s="762"/>
    </row>
    <row r="4142" spans="1:23" ht="15" customHeight="1" thickBot="1">
      <c r="A4142" s="236"/>
      <c r="B4142" s="693"/>
      <c r="C4142" s="693"/>
      <c r="D4142" s="693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64" t="s">
        <v>46</v>
      </c>
      <c r="Q4143" s="765"/>
      <c r="R4143" s="765"/>
      <c r="S4143" s="765"/>
      <c r="T4143" s="765"/>
      <c r="U4143" s="765"/>
      <c r="V4143" s="765"/>
      <c r="W4143" s="765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66"/>
      <c r="Q4144" s="767"/>
      <c r="R4144" s="767"/>
      <c r="S4144" s="767"/>
      <c r="T4144" s="767"/>
      <c r="U4144" s="767"/>
      <c r="V4144" s="767"/>
      <c r="W4144" s="767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66"/>
      <c r="Q4145" s="767"/>
      <c r="R4145" s="767"/>
      <c r="S4145" s="767"/>
      <c r="T4145" s="767"/>
      <c r="U4145" s="767"/>
      <c r="V4145" s="767"/>
      <c r="W4145" s="767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66"/>
      <c r="Q4146" s="767"/>
      <c r="R4146" s="767"/>
      <c r="S4146" s="767"/>
      <c r="T4146" s="767"/>
      <c r="U4146" s="767"/>
      <c r="V4146" s="767"/>
      <c r="W4146" s="767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93"/>
      <c r="C4163" s="693"/>
      <c r="D4163" s="693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93"/>
      <c r="C4185" s="693"/>
      <c r="D4185" s="693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59" t="s">
        <v>47</v>
      </c>
      <c r="G4199" s="759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59"/>
      <c r="G4200" s="759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93"/>
      <c r="C4208" s="693"/>
      <c r="D4208" s="693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05" t="s">
        <v>44</v>
      </c>
      <c r="R4209" s="705"/>
      <c r="S4209" s="705"/>
      <c r="T4209" s="705"/>
      <c r="U4209" s="705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05" t="s">
        <v>44</v>
      </c>
      <c r="R4210" s="705"/>
      <c r="S4210" s="705"/>
      <c r="T4210" s="705"/>
      <c r="U4210" s="705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93"/>
      <c r="C4231" s="693"/>
      <c r="D4231" s="693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05" t="s">
        <v>44</v>
      </c>
      <c r="R4232" s="705"/>
      <c r="S4232" s="705"/>
      <c r="T4232" s="705"/>
      <c r="U4232" s="705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93"/>
      <c r="C4253" s="693"/>
      <c r="D4253" s="693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93"/>
      <c r="C4277" s="693"/>
      <c r="D4277" s="693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85" t="s">
        <v>48</v>
      </c>
      <c r="G4294" s="685"/>
      <c r="H4294" s="685"/>
      <c r="I4294" s="685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93"/>
      <c r="C4299" s="693"/>
      <c r="D4299" s="693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16" t="s">
        <v>50</v>
      </c>
      <c r="Q4305" s="716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93"/>
      <c r="C4322" s="693"/>
      <c r="D4322" s="693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17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18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18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18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18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18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93"/>
      <c r="C4346" s="693"/>
      <c r="D4346" s="693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93"/>
      <c r="C4367" s="693"/>
      <c r="D4367" s="693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85" t="s">
        <v>51</v>
      </c>
      <c r="G4386" s="685"/>
      <c r="H4386" s="685"/>
      <c r="I4386" s="685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85"/>
      <c r="G4387" s="685"/>
      <c r="H4387" s="685"/>
      <c r="I4387" s="685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93"/>
      <c r="C4391" s="693"/>
      <c r="D4391" s="693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93"/>
      <c r="C4413" s="693"/>
      <c r="D4413" s="693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04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04" t="s">
        <v>50</v>
      </c>
      <c r="Q4426" s="704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04"/>
      <c r="Q4427" s="704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04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04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04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93"/>
      <c r="C4434" s="693"/>
      <c r="D4434" s="693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93"/>
      <c r="C4457" s="693"/>
      <c r="D4457" s="693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85" t="s">
        <v>51</v>
      </c>
      <c r="G4460" s="685"/>
      <c r="H4460" s="685"/>
      <c r="I4460" s="685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85"/>
      <c r="G4461" s="685"/>
      <c r="H4461" s="685"/>
      <c r="I4461" s="685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19" t="s">
        <v>50</v>
      </c>
      <c r="Q4479" s="720"/>
      <c r="U4479" s="462">
        <v>0.1</v>
      </c>
    </row>
    <row r="4480" spans="1:23" ht="15" customHeight="1" thickBot="1">
      <c r="A4480" s="236"/>
      <c r="B4480" s="693"/>
      <c r="C4480" s="693"/>
      <c r="D4480" s="693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29" t="s">
        <v>50</v>
      </c>
      <c r="Q4481" s="729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85" t="s">
        <v>51</v>
      </c>
      <c r="G4482" s="685"/>
      <c r="H4482" s="685"/>
      <c r="I4482" s="685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85" t="s">
        <v>51</v>
      </c>
      <c r="G4497" s="685"/>
      <c r="H4497" s="685"/>
      <c r="I4497" s="685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93"/>
      <c r="C4502" s="693"/>
      <c r="D4502" s="693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93"/>
      <c r="C4525" s="693"/>
      <c r="D4525" s="693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93"/>
      <c r="C4549" s="693"/>
      <c r="D4549" s="693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85" t="s">
        <v>51</v>
      </c>
      <c r="G4570" s="685"/>
      <c r="H4570" s="685"/>
      <c r="I4570" s="685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93"/>
      <c r="C4571" s="693"/>
      <c r="D4571" s="693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12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12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92" t="s">
        <v>48</v>
      </c>
      <c r="Q4590" s="692" t="s">
        <v>48</v>
      </c>
      <c r="U4590" s="462">
        <v>0.1</v>
      </c>
      <c r="W4590" s="703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92"/>
      <c r="Q4591" s="692"/>
      <c r="U4591" s="462">
        <v>0.1</v>
      </c>
      <c r="W4591" s="703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93"/>
      <c r="C4594" s="693"/>
      <c r="D4594" s="693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91" t="s">
        <v>48</v>
      </c>
      <c r="Q4595" s="25">
        <f>184.92/1177</f>
        <v>0.15711129991503822</v>
      </c>
      <c r="U4595" s="462">
        <v>0.1</v>
      </c>
      <c r="W4595" s="702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92"/>
      <c r="Q4596" s="25">
        <f>185.5/1183</f>
        <v>0.15680473372781065</v>
      </c>
      <c r="U4596" s="462">
        <v>0.1</v>
      </c>
      <c r="W4596" s="703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92"/>
      <c r="Q4597" s="25">
        <f>183.64/1168</f>
        <v>0.15722602739726027</v>
      </c>
      <c r="U4597" s="462">
        <v>0.1</v>
      </c>
      <c r="W4597" s="703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92"/>
      <c r="Q4598" s="25">
        <f>183.6/1167</f>
        <v>0.15732647814910025</v>
      </c>
      <c r="U4598" s="462">
        <v>0.1</v>
      </c>
      <c r="W4598" s="703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92"/>
      <c r="Q4599" s="25">
        <f>182.52/1157</f>
        <v>0.15775280898876406</v>
      </c>
      <c r="U4599" s="462">
        <v>0.1</v>
      </c>
      <c r="W4599" s="703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92"/>
      <c r="Q4600" s="25">
        <f>182.82/1161.5</f>
        <v>0.15739991390443392</v>
      </c>
      <c r="U4600" s="462">
        <v>0.1</v>
      </c>
      <c r="W4600" s="703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93"/>
      <c r="C4617" s="693"/>
      <c r="D4617" s="693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93"/>
      <c r="C4639" s="693"/>
      <c r="D4639" s="693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94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94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94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85" t="s">
        <v>51</v>
      </c>
      <c r="G4658" s="685"/>
      <c r="H4658" s="685"/>
      <c r="I4658" s="685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93"/>
      <c r="C4662" s="693"/>
      <c r="D4662" s="693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4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5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5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5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5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5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5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5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5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5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5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5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5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5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5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5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5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5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5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5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5">
        <f t="shared" si="277"/>
        <v>7.8936605316973418</v>
      </c>
    </row>
    <row r="4683" spans="1:24" ht="15" customHeight="1" thickBot="1">
      <c r="A4683" s="236"/>
      <c r="B4683" s="693"/>
      <c r="C4683" s="693"/>
      <c r="D4683" s="693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6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5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5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5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5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92" t="s">
        <v>48</v>
      </c>
      <c r="Q4688" s="25">
        <f>181.83/1202.7</f>
        <v>0.15118483412322276</v>
      </c>
      <c r="U4688" s="458">
        <v>0.1</v>
      </c>
      <c r="W4688" s="706" t="s">
        <v>48</v>
      </c>
      <c r="X4688" s="535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92"/>
      <c r="Q4689" s="692" t="s">
        <v>48</v>
      </c>
      <c r="U4689" s="458">
        <v>0.1</v>
      </c>
      <c r="W4689" s="706"/>
      <c r="X4689" s="535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92"/>
      <c r="Q4690" s="692"/>
      <c r="U4690" s="458">
        <v>0.1</v>
      </c>
      <c r="W4690" s="706"/>
      <c r="X4690" s="535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92"/>
      <c r="Q4691" s="692"/>
      <c r="U4691" s="458">
        <v>0.1</v>
      </c>
      <c r="W4691" s="706"/>
      <c r="X4691" s="535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92"/>
      <c r="Q4692" s="25">
        <f>183.28/1198.36</f>
        <v>0.15294235455122002</v>
      </c>
      <c r="U4692" s="458">
        <v>0.1</v>
      </c>
      <c r="W4692" s="706"/>
      <c r="X4692" s="535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92"/>
      <c r="Q4693" s="25">
        <f>182.78/1197</f>
        <v>0.15269841269841269</v>
      </c>
      <c r="U4693" s="458">
        <v>0.1</v>
      </c>
      <c r="W4693" s="706"/>
      <c r="X4693" s="535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5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5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5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5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5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5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5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5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5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5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5">
        <f t="shared" si="277"/>
        <v>7.7974683544303796</v>
      </c>
    </row>
    <row r="4705" spans="1:24" ht="15" customHeight="1" thickBot="1">
      <c r="A4705" s="236"/>
      <c r="B4705" s="693"/>
      <c r="C4705" s="693"/>
      <c r="D4705" s="693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6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5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5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5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5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5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5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5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5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5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5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5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5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5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5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5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5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5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5">
        <f t="shared" si="277"/>
        <v>7.7150997150997149</v>
      </c>
    </row>
    <row r="4724" spans="1:24" ht="15" customHeight="1">
      <c r="A4724" s="3">
        <v>42454</v>
      </c>
      <c r="B4724" s="685"/>
      <c r="C4724" s="685"/>
      <c r="D4724" s="685"/>
      <c r="E4724" s="685"/>
      <c r="F4724" s="685"/>
      <c r="G4724" s="685"/>
      <c r="H4724" s="685"/>
      <c r="I4724" s="685"/>
      <c r="J4724" s="685"/>
      <c r="K4724" s="685"/>
      <c r="L4724" s="685"/>
      <c r="M4724" s="685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5"/>
    </row>
    <row r="4725" spans="1:24" ht="15" customHeight="1">
      <c r="A4725" s="3">
        <v>42457</v>
      </c>
      <c r="B4725" s="685"/>
      <c r="C4725" s="685"/>
      <c r="D4725" s="685"/>
      <c r="E4725" s="685"/>
      <c r="F4725" s="685"/>
      <c r="G4725" s="685"/>
      <c r="H4725" s="685"/>
      <c r="I4725" s="685"/>
      <c r="J4725" s="685"/>
      <c r="K4725" s="685"/>
      <c r="L4725" s="685"/>
      <c r="M4725" s="685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5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5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5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5">
        <f t="shared" si="283"/>
        <v>7.8498093282487531</v>
      </c>
    </row>
    <row r="4729" spans="1:24" ht="15" customHeight="1" thickBot="1">
      <c r="A4729" s="236"/>
      <c r="B4729" s="693"/>
      <c r="C4729" s="693"/>
      <c r="D4729" s="693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6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5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5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5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5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5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5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5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5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5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5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5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5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5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5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5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5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5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5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5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5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5">
        <f t="shared" si="283"/>
        <v>7.3350041771094405</v>
      </c>
    </row>
    <row r="4751" spans="1:24" ht="15" customHeight="1" thickBot="1">
      <c r="A4751" s="236"/>
      <c r="B4751" s="693"/>
      <c r="C4751" s="693"/>
      <c r="D4751" s="693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6">
        <f>AVERAGE(X4730:X4750)</f>
        <v>7.7045869246504779</v>
      </c>
    </row>
    <row r="4752" spans="1:24" ht="15" customHeight="1">
      <c r="A4752" s="3">
        <v>42492</v>
      </c>
      <c r="B4752" s="688"/>
      <c r="C4752" s="688"/>
      <c r="D4752" s="688"/>
      <c r="E4752" s="688"/>
      <c r="F4752" s="688"/>
      <c r="G4752" s="688"/>
      <c r="H4752" s="688"/>
      <c r="I4752" s="688"/>
      <c r="J4752" s="688"/>
      <c r="K4752" s="688"/>
      <c r="L4752" s="688"/>
      <c r="M4752" s="688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5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5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5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5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5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5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5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5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5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5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5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5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5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5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5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5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5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5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5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5">
        <f t="shared" si="283"/>
        <v>7.5383707201889019</v>
      </c>
    </row>
    <row r="4772" spans="1:24" ht="15" customHeight="1">
      <c r="A4772" s="3">
        <v>42520</v>
      </c>
      <c r="B4772" s="685"/>
      <c r="C4772" s="685"/>
      <c r="D4772" s="685"/>
      <c r="E4772" s="685"/>
      <c r="F4772" s="685"/>
      <c r="G4772" s="685"/>
      <c r="H4772" s="685"/>
      <c r="I4772" s="685"/>
      <c r="J4772" s="685"/>
      <c r="K4772" s="685"/>
      <c r="L4772" s="685"/>
      <c r="M4772" s="685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5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5">
        <f t="shared" si="283"/>
        <v>7.5376884422110555</v>
      </c>
    </row>
    <row r="4774" spans="1:24" ht="15" customHeight="1" thickBot="1">
      <c r="A4774" s="236"/>
      <c r="B4774" s="693"/>
      <c r="C4774" s="693"/>
      <c r="D4774" s="693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6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5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5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5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5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5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5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12" t="s">
        <v>55</v>
      </c>
      <c r="Q4781" s="25">
        <f>175.94/1156.5</f>
        <v>0.15213143104193688</v>
      </c>
      <c r="U4781" s="458">
        <v>0.1</v>
      </c>
      <c r="W4781" s="703" t="s">
        <v>55</v>
      </c>
      <c r="X4781" s="535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12"/>
      <c r="Q4782" s="25">
        <f>175.94/1155.8</f>
        <v>0.15222356809136528</v>
      </c>
      <c r="U4782" s="458">
        <v>0.1</v>
      </c>
      <c r="W4782" s="703"/>
      <c r="X4782" s="535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5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5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5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5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5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5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5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5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5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5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5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5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5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5">
        <f t="shared" si="292"/>
        <v>7.1853932584269664</v>
      </c>
    </row>
    <row r="4797" spans="1:24" ht="15" customHeight="1" thickBot="1">
      <c r="A4797" s="236"/>
      <c r="B4797" s="693"/>
      <c r="C4797" s="693"/>
      <c r="D4797" s="693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6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5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5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5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5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5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5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5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5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5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5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5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5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5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5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5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5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5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5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5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5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5">
        <f t="shared" si="292"/>
        <v>7.5728699551569507</v>
      </c>
    </row>
    <row r="4819" spans="1:24" ht="15" customHeight="1" thickBot="1">
      <c r="A4819" s="236"/>
      <c r="B4819" s="693"/>
      <c r="C4819" s="693"/>
      <c r="D4819" s="693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6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5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5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5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5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5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5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5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5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5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5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5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5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5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5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5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5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5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5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5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5">
        <f t="shared" si="292"/>
        <v>7.4174653887113955</v>
      </c>
    </row>
    <row r="4840" spans="1:24" ht="15" customHeight="1">
      <c r="A4840" s="3">
        <v>42611</v>
      </c>
      <c r="B4840" s="685"/>
      <c r="C4840" s="685"/>
      <c r="D4840" s="685"/>
      <c r="E4840" s="685"/>
      <c r="F4840" s="685"/>
      <c r="G4840" s="685"/>
      <c r="H4840" s="685"/>
      <c r="I4840" s="685"/>
      <c r="J4840" s="685"/>
      <c r="K4840" s="685"/>
      <c r="L4840" s="685"/>
      <c r="M4840" s="685"/>
      <c r="X4840" s="535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5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5">
        <f t="shared" si="292"/>
        <v>7.4080000000000004</v>
      </c>
    </row>
    <row r="4843" spans="1:24" ht="15" customHeight="1" thickBot="1">
      <c r="A4843" s="236"/>
      <c r="B4843" s="693"/>
      <c r="C4843" s="693"/>
      <c r="D4843" s="693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6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5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5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5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5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5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5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5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5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72" t="s">
        <v>50</v>
      </c>
      <c r="U4852" s="458">
        <v>0.1</v>
      </c>
      <c r="W4852" s="703" t="s">
        <v>48</v>
      </c>
      <c r="X4852" s="535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72"/>
      <c r="U4853" s="458">
        <v>0.1</v>
      </c>
      <c r="W4853" s="703"/>
      <c r="X4853" s="535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04" t="s">
        <v>50</v>
      </c>
      <c r="Q4854" s="772"/>
      <c r="U4854" s="458">
        <v>0.1</v>
      </c>
      <c r="W4854" s="703"/>
      <c r="X4854" s="535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04"/>
      <c r="Q4855" s="25">
        <f>166.02/1112.3</f>
        <v>0.14925829362582038</v>
      </c>
      <c r="U4855" s="458">
        <v>0.1</v>
      </c>
      <c r="W4855" s="703"/>
      <c r="X4855" s="535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5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5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5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5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5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5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5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5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5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5">
        <f t="shared" si="298"/>
        <v>7.1859415815720729</v>
      </c>
    </row>
    <row r="4866" spans="1:24" ht="15" customHeight="1" thickBot="1">
      <c r="A4866" s="236"/>
      <c r="B4866" s="693"/>
      <c r="C4866" s="693"/>
      <c r="D4866" s="693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6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71" t="s">
        <v>50</v>
      </c>
      <c r="Q4867" s="376" t="s">
        <v>50</v>
      </c>
      <c r="U4867" s="458">
        <v>0.1</v>
      </c>
      <c r="W4867" s="702" t="s">
        <v>48</v>
      </c>
      <c r="X4867" s="535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04"/>
      <c r="Q4868" s="25">
        <f>165.28/1105.1</f>
        <v>0.14956112568998281</v>
      </c>
      <c r="U4868" s="458">
        <v>0.1</v>
      </c>
      <c r="W4868" s="703"/>
      <c r="X4868" s="535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04"/>
      <c r="Q4869" s="25">
        <f>165.28/1105.1</f>
        <v>0.14956112568998281</v>
      </c>
      <c r="U4869" s="458">
        <v>0.1</v>
      </c>
      <c r="W4869" s="703"/>
      <c r="X4869" s="535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04"/>
      <c r="Q4870" s="25">
        <f>165.28/1105.1</f>
        <v>0.14956112568998281</v>
      </c>
      <c r="U4870" s="458">
        <v>0.1</v>
      </c>
      <c r="W4870" s="703"/>
      <c r="X4870" s="535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04"/>
      <c r="Q4871" s="25">
        <f>165.94/1111.3</f>
        <v>0.14932061549536579</v>
      </c>
      <c r="U4871" s="458">
        <v>0.1</v>
      </c>
      <c r="W4871" s="703"/>
      <c r="X4871" s="535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5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5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5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5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5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5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5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5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5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5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5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5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5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5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5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5">
        <f t="shared" si="298"/>
        <v>7.8625030259017183</v>
      </c>
    </row>
    <row r="4888" spans="1:24" ht="15" customHeight="1" thickBot="1">
      <c r="A4888" s="236"/>
      <c r="B4888" s="693"/>
      <c r="C4888" s="693"/>
      <c r="D4888" s="693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6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5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5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5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5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5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5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5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5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5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5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5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5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5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5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5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5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5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5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5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5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5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5">
        <f t="shared" si="298"/>
        <v>9.1845493562231759</v>
      </c>
    </row>
    <row r="4911" spans="1:24" ht="15" customHeight="1" thickBot="1">
      <c r="A4911" s="236"/>
      <c r="B4911" s="693"/>
      <c r="C4911" s="693"/>
      <c r="D4911" s="693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6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5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5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5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5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5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5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5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5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5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5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5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5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5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5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5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5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5">
        <f t="shared" si="307"/>
        <v>8.8212745567800663</v>
      </c>
    </row>
    <row r="4929" spans="1:24" ht="15" customHeight="1">
      <c r="A4929" s="3">
        <v>42730</v>
      </c>
      <c r="B4929" s="685"/>
      <c r="C4929" s="685"/>
      <c r="D4929" s="685"/>
      <c r="E4929" s="685"/>
      <c r="F4929" s="685"/>
      <c r="G4929" s="685"/>
      <c r="H4929" s="685"/>
      <c r="I4929" s="685"/>
      <c r="J4929" s="685"/>
      <c r="K4929" s="685"/>
      <c r="L4929" s="685"/>
      <c r="M4929" s="685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5"/>
    </row>
    <row r="4930" spans="1:24" ht="15" customHeight="1">
      <c r="A4930" s="3">
        <v>42731</v>
      </c>
      <c r="B4930" s="685"/>
      <c r="C4930" s="685"/>
      <c r="D4930" s="685"/>
      <c r="E4930" s="685"/>
      <c r="F4930" s="685"/>
      <c r="G4930" s="685"/>
      <c r="H4930" s="685"/>
      <c r="I4930" s="685"/>
      <c r="J4930" s="685"/>
      <c r="K4930" s="685"/>
      <c r="L4930" s="685"/>
      <c r="M4930" s="685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5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5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5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5">
        <f t="shared" si="307"/>
        <v>8.9471032745591934</v>
      </c>
    </row>
    <row r="4934" spans="1:24" ht="15" customHeight="1" thickBot="1">
      <c r="A4934" s="236"/>
      <c r="B4934" s="693"/>
      <c r="C4934" s="693"/>
      <c r="D4934" s="693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6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5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5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5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5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5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5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5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5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5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5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5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5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5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5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5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5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5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5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04" t="s">
        <v>50</v>
      </c>
      <c r="Q4953" s="704" t="s">
        <v>50</v>
      </c>
      <c r="W4953" s="709" t="s">
        <v>50</v>
      </c>
      <c r="X4953" s="535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04"/>
      <c r="Q4954" s="704"/>
      <c r="W4954" s="709"/>
      <c r="X4954" s="535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04"/>
      <c r="Q4955" s="704"/>
      <c r="W4955" s="709"/>
      <c r="X4955" s="535"/>
    </row>
    <row r="4956" spans="1:24" ht="15" customHeight="1" thickBot="1">
      <c r="A4956" s="236"/>
      <c r="B4956" s="693"/>
      <c r="C4956" s="693"/>
      <c r="D4956" s="693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6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10" t="s">
        <v>50</v>
      </c>
      <c r="Q4957" s="25">
        <f>169.01/1155.5</f>
        <v>0.14626568585028127</v>
      </c>
      <c r="W4957" s="707" t="s">
        <v>50</v>
      </c>
      <c r="X4957" s="535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11"/>
      <c r="Q4958" s="25">
        <f>168.97/1155.2</f>
        <v>0.14626904432132964</v>
      </c>
      <c r="W4958" s="708"/>
      <c r="X4958" s="535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5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5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5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5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5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5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5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5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5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5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5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5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5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5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5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5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5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5">
        <f t="shared" si="307"/>
        <v>8.1866197183098599</v>
      </c>
    </row>
    <row r="4977" spans="1:24" ht="15" customHeight="1" thickBot="1">
      <c r="A4977" s="236"/>
      <c r="B4977" s="693"/>
      <c r="C4977" s="693"/>
      <c r="D4977" s="693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6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5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5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5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5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5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5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5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5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5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5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5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5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5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5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5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5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5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5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5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5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5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5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5">
        <f t="shared" si="317"/>
        <v>7.5411255411255409</v>
      </c>
    </row>
    <row r="5001" spans="1:24" ht="15" customHeight="1" thickBot="1">
      <c r="A5001" s="236"/>
      <c r="B5001" s="693"/>
      <c r="C5001" s="693"/>
      <c r="D5001" s="693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6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15" t="s">
        <v>56</v>
      </c>
      <c r="Q5002" s="25">
        <f>162.01/1113.8</f>
        <v>0.1454569940743401</v>
      </c>
      <c r="W5002" s="713" t="s">
        <v>57</v>
      </c>
      <c r="X5002" s="535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94"/>
      <c r="Q5003" s="25">
        <f>162.67/1118.9</f>
        <v>0.14538385914737686</v>
      </c>
      <c r="W5003" s="714"/>
      <c r="X5003" s="535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5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5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5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5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5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5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5">
        <f t="shared" si="318"/>
        <v>7.3670212765957448</v>
      </c>
    </row>
    <row r="5011" spans="1:24" ht="15" customHeight="1">
      <c r="A5011" s="3">
        <v>42839</v>
      </c>
      <c r="B5011" s="685"/>
      <c r="C5011" s="685"/>
      <c r="D5011" s="685"/>
      <c r="E5011" s="685"/>
      <c r="F5011" s="685"/>
      <c r="G5011" s="685"/>
      <c r="H5011" s="685"/>
      <c r="I5011" s="685"/>
      <c r="J5011" s="685"/>
      <c r="K5011" s="685"/>
      <c r="L5011" s="685"/>
      <c r="M5011" s="685"/>
      <c r="Q5011" s="25">
        <f>165.47/1138.8</f>
        <v>0.14530207235686687</v>
      </c>
      <c r="X5011" s="535"/>
    </row>
    <row r="5012" spans="1:24" ht="15" customHeight="1">
      <c r="A5012" s="3">
        <v>42842</v>
      </c>
      <c r="B5012" s="685"/>
      <c r="C5012" s="685"/>
      <c r="D5012" s="685"/>
      <c r="E5012" s="685"/>
      <c r="F5012" s="685"/>
      <c r="G5012" s="685"/>
      <c r="H5012" s="685"/>
      <c r="I5012" s="685"/>
      <c r="J5012" s="685"/>
      <c r="K5012" s="685"/>
      <c r="L5012" s="685"/>
      <c r="M5012" s="685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5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5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5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5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5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5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5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5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5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5">
        <f t="shared" si="322"/>
        <v>7.1052631578947372</v>
      </c>
    </row>
    <row r="5022" spans="1:24" ht="15" customHeight="1" thickBot="1">
      <c r="A5022" s="236"/>
      <c r="B5022" s="693"/>
      <c r="C5022" s="693"/>
      <c r="D5022" s="693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6">
        <f>AVERAGE(X5002:X5021)</f>
        <v>6.9846440041454994</v>
      </c>
    </row>
    <row r="5023" spans="1:24" ht="15" customHeight="1">
      <c r="A5023" s="3">
        <v>42856</v>
      </c>
      <c r="B5023" s="688"/>
      <c r="C5023" s="688"/>
      <c r="D5023" s="688"/>
      <c r="E5023" s="688"/>
      <c r="F5023" s="688"/>
      <c r="G5023" s="688"/>
      <c r="H5023" s="688"/>
      <c r="I5023" s="688"/>
      <c r="J5023" s="688"/>
      <c r="K5023" s="688"/>
      <c r="L5023" s="688"/>
      <c r="M5023" s="688"/>
      <c r="P5023" s="451" t="s">
        <v>56</v>
      </c>
      <c r="Q5023" s="691" t="s">
        <v>48</v>
      </c>
      <c r="W5023" s="453" t="s">
        <v>56</v>
      </c>
      <c r="X5023" s="535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92"/>
      <c r="X5024" s="535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92"/>
      <c r="X5025" s="535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92"/>
      <c r="X5026" s="535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5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5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5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5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5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5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5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5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5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5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5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5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5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5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5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5">
        <f t="shared" si="325"/>
        <v>7.6028708133971294</v>
      </c>
    </row>
    <row r="5043" spans="1:24" ht="15" customHeight="1">
      <c r="A5043" s="3">
        <v>42884</v>
      </c>
      <c r="B5043" s="685"/>
      <c r="C5043" s="685"/>
      <c r="D5043" s="685"/>
      <c r="E5043" s="685"/>
      <c r="F5043" s="685"/>
      <c r="G5043" s="685"/>
      <c r="H5043" s="685"/>
      <c r="I5043" s="685"/>
      <c r="J5043" s="685"/>
      <c r="K5043" s="685"/>
      <c r="L5043" s="685"/>
      <c r="M5043" s="685"/>
      <c r="X5043" s="535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5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5">
        <f>P5045/K5045</f>
        <v>7.6963855421686747</v>
      </c>
    </row>
    <row r="5046" spans="1:24" ht="15" customHeight="1" thickBot="1">
      <c r="A5046" s="236"/>
      <c r="B5046" s="693"/>
      <c r="C5046" s="693"/>
      <c r="D5046" s="693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6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5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5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5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5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5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5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5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5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5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5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5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5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5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5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5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5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5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5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5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5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5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5">
        <f t="shared" ref="X5068:X5078" si="332">P5068/K5068</f>
        <v>7.7836411609498679</v>
      </c>
    </row>
    <row r="5069" spans="1:24" ht="15" customHeight="1" thickBot="1">
      <c r="A5069" s="236"/>
      <c r="B5069" s="693"/>
      <c r="C5069" s="693"/>
      <c r="D5069" s="693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6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5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5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5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5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5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5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5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5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5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5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5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5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5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5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5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5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5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5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5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5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5">
        <f t="shared" ref="X5090" si="352">P5090/K5090</f>
        <v>7.8589965397923871</v>
      </c>
    </row>
    <row r="5091" spans="1:24" ht="15" customHeight="1" thickBot="1">
      <c r="A5091" s="236"/>
      <c r="B5091" s="693"/>
      <c r="C5091" s="693"/>
      <c r="D5091" s="693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6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5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5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5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5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5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5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5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5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5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5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5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5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5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5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5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5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5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5">
        <f t="shared" si="380"/>
        <v>8.3176771989752343</v>
      </c>
    </row>
    <row r="5111" spans="1:24" ht="15" customHeight="1">
      <c r="A5111" s="3">
        <v>42975</v>
      </c>
      <c r="B5111" s="685"/>
      <c r="C5111" s="685"/>
      <c r="D5111" s="685"/>
      <c r="E5111" s="685"/>
      <c r="F5111" s="685"/>
      <c r="G5111" s="685"/>
      <c r="H5111" s="685"/>
      <c r="I5111" s="685"/>
      <c r="J5111" s="685"/>
      <c r="K5111" s="685"/>
      <c r="L5111" s="685"/>
      <c r="M5111" s="685"/>
      <c r="X5111" s="535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5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5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5">
        <f t="shared" ref="X5114" si="384">P5114/K5114</f>
        <v>8.2722292456805739</v>
      </c>
    </row>
    <row r="5115" spans="1:24" ht="15" customHeight="1" thickBot="1">
      <c r="A5115" s="236"/>
      <c r="B5115" s="693"/>
      <c r="C5115" s="693"/>
      <c r="D5115" s="693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6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5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5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5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5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5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5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5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5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5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5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5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5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5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5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5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5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5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5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5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5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5">
        <f t="shared" ref="X5136" si="409">P5136/K5136</f>
        <v>8.5589519650655017</v>
      </c>
    </row>
    <row r="5137" spans="1:24" ht="15" customHeight="1" thickBot="1">
      <c r="A5137" s="236"/>
      <c r="B5137" s="693"/>
      <c r="C5137" s="693"/>
      <c r="D5137" s="693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6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5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5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5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5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5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5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5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5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5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5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5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5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5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5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5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5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5">
        <f t="shared" ref="X5159" si="430">P5159/K5159</f>
        <v>7.7034283353985957</v>
      </c>
    </row>
    <row r="5160" spans="1:24" ht="15" customHeight="1" thickBot="1">
      <c r="A5160" s="236"/>
      <c r="B5160" s="693"/>
      <c r="C5160" s="693"/>
      <c r="D5160" s="693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6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5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5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5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5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5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5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5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5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5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5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5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5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5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5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5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5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5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5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5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5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5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5">
        <f t="shared" si="460"/>
        <v>7.3686337914308808</v>
      </c>
    </row>
    <row r="5183" spans="1:24" ht="15" customHeight="1" thickBot="1">
      <c r="A5183" s="236"/>
      <c r="B5183" s="693"/>
      <c r="C5183" s="693"/>
      <c r="D5183" s="693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6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5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5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5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5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5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5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5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5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5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5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5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5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5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5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5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5">
        <f t="shared" ref="X5199" si="483">P5199/K5199</f>
        <v>7.7031945006065508</v>
      </c>
    </row>
    <row r="5200" spans="1:24" ht="15" customHeight="1">
      <c r="A5200" s="3">
        <v>43094</v>
      </c>
      <c r="B5200" s="685"/>
      <c r="C5200" s="685"/>
      <c r="D5200" s="685"/>
      <c r="E5200" s="685"/>
      <c r="F5200" s="685"/>
      <c r="G5200" s="685"/>
      <c r="H5200" s="685"/>
      <c r="I5200" s="685"/>
      <c r="J5200" s="685"/>
      <c r="K5200" s="685"/>
      <c r="L5200" s="685"/>
      <c r="M5200" s="685"/>
      <c r="P5200" s="278"/>
      <c r="X5200" s="535"/>
    </row>
    <row r="5201" spans="1:24" ht="15" customHeight="1">
      <c r="A5201" s="3">
        <v>43095</v>
      </c>
      <c r="B5201" s="685"/>
      <c r="C5201" s="685"/>
      <c r="D5201" s="685"/>
      <c r="E5201" s="685"/>
      <c r="F5201" s="685"/>
      <c r="G5201" s="685"/>
      <c r="H5201" s="685"/>
      <c r="I5201" s="685"/>
      <c r="J5201" s="685"/>
      <c r="K5201" s="685"/>
      <c r="L5201" s="685"/>
      <c r="M5201" s="685"/>
      <c r="X5201" s="535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5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5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5">
        <f t="shared" ref="X5204" si="491">P5204/K5204</f>
        <v>7.6573146292585168</v>
      </c>
    </row>
    <row r="5205" spans="1:24" ht="15" customHeight="1" thickBot="1">
      <c r="A5205" s="236"/>
      <c r="B5205" s="693"/>
      <c r="C5205" s="693"/>
      <c r="D5205" s="693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6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5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5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5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5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5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5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5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5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5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5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5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5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5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5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5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5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5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5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5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5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5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5">
        <f t="shared" ref="X5227" si="521">P5227/K5227</f>
        <v>7.4161585365853657</v>
      </c>
    </row>
    <row r="5228" spans="1:24" ht="15" customHeight="1" thickBot="1">
      <c r="A5228" s="236"/>
      <c r="B5228" s="693"/>
      <c r="C5228" s="693"/>
      <c r="D5228" s="693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6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5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5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5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5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5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5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5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5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5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5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00" t="s">
        <v>50</v>
      </c>
      <c r="Q5239" s="700"/>
      <c r="X5239" s="535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00"/>
      <c r="Q5240" s="700"/>
      <c r="X5240" s="535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00"/>
      <c r="Q5241" s="700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00"/>
      <c r="Q5242" s="700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00"/>
      <c r="Q5243" s="700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5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5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5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5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5">
        <f>P5248/K5248</f>
        <v>0</v>
      </c>
    </row>
    <row r="5249" spans="1:24" ht="15" customHeight="1" thickBot="1">
      <c r="A5249" s="236"/>
      <c r="B5249" s="693"/>
      <c r="C5249" s="693"/>
      <c r="D5249" s="693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6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5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5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5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5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5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5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5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5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5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5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5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5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5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5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5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5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5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5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5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5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5">
        <f t="shared" ref="X5270" si="549">P5270/K5270</f>
        <v>7.7975943591870589</v>
      </c>
    </row>
    <row r="5271" spans="1:24" ht="15" customHeight="1">
      <c r="A5271" s="3">
        <v>43189</v>
      </c>
      <c r="B5271" s="685"/>
      <c r="C5271" s="685"/>
      <c r="D5271" s="685"/>
      <c r="E5271" s="685"/>
      <c r="F5271" s="685"/>
      <c r="G5271" s="685"/>
      <c r="H5271" s="685"/>
      <c r="I5271" s="685"/>
      <c r="J5271" s="685"/>
      <c r="K5271" s="685"/>
      <c r="L5271" s="685"/>
      <c r="M5271" s="685"/>
      <c r="N5271" s="455">
        <f>AVERAGE(K5250:K5270)</f>
        <v>2397</v>
      </c>
      <c r="O5271" s="250">
        <f>AVERAGE(K5206:K5270)</f>
        <v>2522.6746031746034</v>
      </c>
      <c r="X5271" s="535"/>
    </row>
    <row r="5272" spans="1:24" ht="15" customHeight="1" thickBot="1">
      <c r="A5272" s="236"/>
      <c r="B5272" s="693"/>
      <c r="C5272" s="693"/>
      <c r="D5272" s="693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6">
        <f>AVERAGE(X5252:X5271)</f>
        <v>7.7932066644375153</v>
      </c>
    </row>
    <row r="5273" spans="1:24" ht="15" customHeight="1">
      <c r="A5273" s="3">
        <v>43192</v>
      </c>
      <c r="B5273" s="685"/>
      <c r="C5273" s="685"/>
      <c r="D5273" s="685"/>
      <c r="E5273" s="685"/>
      <c r="F5273" s="685"/>
      <c r="G5273" s="685"/>
      <c r="H5273" s="685"/>
      <c r="I5273" s="685"/>
      <c r="J5273" s="685"/>
      <c r="K5273" s="685"/>
      <c r="L5273" s="685"/>
      <c r="M5273" s="685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5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5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94" t="s">
        <v>58</v>
      </c>
      <c r="Q5276" s="25">
        <f>168.56/1059.5</f>
        <v>0.15909391222274658</v>
      </c>
      <c r="X5276" s="535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94"/>
      <c r="Q5277" s="25">
        <f>169.02/1066</f>
        <v>0.15855534709193247</v>
      </c>
      <c r="X5277" s="535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5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5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5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5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5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5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5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5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5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5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5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5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5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5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5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93"/>
      <c r="C5294" s="693"/>
      <c r="D5294" s="693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6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5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5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5">
        <f>P5298/K5298</f>
        <v>8.3333333333333339</v>
      </c>
    </row>
    <row r="5299" spans="1:24" ht="15" customHeight="1">
      <c r="A5299" s="3">
        <v>43227</v>
      </c>
      <c r="B5299" s="685"/>
      <c r="C5299" s="685"/>
      <c r="D5299" s="685"/>
      <c r="E5299" s="685"/>
      <c r="F5299" s="685"/>
      <c r="G5299" s="685"/>
      <c r="H5299" s="685"/>
      <c r="I5299" s="685"/>
      <c r="J5299" s="685"/>
      <c r="K5299" s="685"/>
      <c r="L5299" s="685"/>
      <c r="M5299" s="685"/>
      <c r="P5299" s="278"/>
      <c r="X5299" s="535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5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5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5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5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5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5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5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5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5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5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5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5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5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5">
        <f t="shared" ref="X5313:X5315" si="600">P5313/K5313</f>
        <v>8.3042596348884388</v>
      </c>
    </row>
    <row r="5314" spans="1:24" ht="15" customHeight="1">
      <c r="A5314" s="3">
        <v>43248</v>
      </c>
      <c r="B5314" s="685"/>
      <c r="C5314" s="685"/>
      <c r="D5314" s="685"/>
      <c r="E5314" s="685"/>
      <c r="F5314" s="685"/>
      <c r="G5314" s="685"/>
      <c r="H5314" s="685"/>
      <c r="I5314" s="685"/>
      <c r="J5314" s="685"/>
      <c r="K5314" s="685"/>
      <c r="L5314" s="685"/>
      <c r="M5314" s="685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5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5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5">
        <f t="shared" ref="X5317:X5319" si="604">P5317/K5317</f>
        <v>8.2723369454099362</v>
      </c>
    </row>
    <row r="5318" spans="1:24" ht="15" customHeight="1" thickBot="1">
      <c r="A5318" s="236"/>
      <c r="B5318" s="693"/>
      <c r="C5318" s="693"/>
      <c r="D5318" s="693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6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5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5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5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5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5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5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5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5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5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5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5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5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5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5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5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5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5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5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5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5">
        <f>P5339/K5339</f>
        <v>8.7129934210526319</v>
      </c>
    </row>
    <row r="5340" spans="1:24" ht="15" customHeight="1" thickBot="1">
      <c r="A5340" s="236"/>
      <c r="B5340" s="693"/>
      <c r="C5340" s="693"/>
      <c r="D5340" s="693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6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5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5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5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5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5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5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5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5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5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5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5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5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5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5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5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5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5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5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5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5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5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5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6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5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5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5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5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5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5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5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5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5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5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5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5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5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5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5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5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5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5">
        <f t="shared" si="654"/>
        <v>8.7902837902837909</v>
      </c>
    </row>
    <row r="5382" spans="1:24" ht="15" customHeight="1">
      <c r="A5382" s="3">
        <v>43339</v>
      </c>
      <c r="B5382" s="685"/>
      <c r="C5382" s="685"/>
      <c r="D5382" s="685"/>
      <c r="E5382" s="685"/>
      <c r="F5382" s="685"/>
      <c r="G5382" s="685"/>
      <c r="H5382" s="685"/>
      <c r="I5382" s="685"/>
      <c r="J5382" s="685"/>
      <c r="K5382" s="685"/>
      <c r="L5382" s="685"/>
      <c r="M5382" s="685"/>
      <c r="X5382" s="535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5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5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5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5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6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5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5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5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5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5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5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5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5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5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5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5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5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5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5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5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5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5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5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5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5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6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5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5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5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5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5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5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5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5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5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5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5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5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5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5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5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5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5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5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5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5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5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5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5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6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5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5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5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5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5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5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5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5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5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5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5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5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5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5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5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5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5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5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5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5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5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5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6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5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5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5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5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5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5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5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5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5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5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5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5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5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5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5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5"/>
    </row>
    <row r="5472" spans="1:24" ht="15" customHeight="1">
      <c r="A5472" s="3">
        <v>43459</v>
      </c>
      <c r="B5472" s="685"/>
      <c r="C5472" s="685"/>
      <c r="D5472" s="685"/>
      <c r="E5472" s="685"/>
      <c r="F5472" s="685"/>
      <c r="G5472" s="685"/>
      <c r="H5472" s="685"/>
      <c r="I5472" s="685"/>
      <c r="J5472" s="685"/>
      <c r="K5472" s="685"/>
      <c r="L5472" s="685"/>
      <c r="M5472" s="685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5"/>
    </row>
    <row r="5473" spans="1:24" ht="15" customHeight="1">
      <c r="A5473" s="3">
        <v>43460</v>
      </c>
      <c r="B5473" s="685"/>
      <c r="C5473" s="685"/>
      <c r="D5473" s="685"/>
      <c r="E5473" s="685"/>
      <c r="F5473" s="685"/>
      <c r="G5473" s="685"/>
      <c r="H5473" s="685"/>
      <c r="I5473" s="685"/>
      <c r="J5473" s="685"/>
      <c r="K5473" s="685"/>
      <c r="L5473" s="685"/>
      <c r="M5473" s="685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5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5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5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5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6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5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5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5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5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5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5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5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5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5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5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5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5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5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5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5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5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5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5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5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5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5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5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6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5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5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5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5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5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5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5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5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5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5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5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5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5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5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5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5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5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5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5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5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6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5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5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5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5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5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5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5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5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5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5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5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5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5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5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5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5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5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5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5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5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5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6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5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5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5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5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5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5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5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5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5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5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5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5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5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5">
        <f t="shared" si="709"/>
        <v>8.6268890046899429</v>
      </c>
    </row>
    <row r="5558" spans="1:24" ht="15" customHeight="1">
      <c r="A5558" s="3">
        <v>43574</v>
      </c>
      <c r="B5558" s="685"/>
      <c r="C5558" s="685"/>
      <c r="D5558" s="685"/>
      <c r="E5558" s="685"/>
      <c r="F5558" s="685"/>
      <c r="G5558" s="685"/>
      <c r="H5558" s="685"/>
      <c r="I5558" s="685"/>
      <c r="J5558" s="685"/>
      <c r="K5558" s="685"/>
      <c r="L5558" s="685"/>
      <c r="M5558" s="685"/>
      <c r="P5558" s="278"/>
      <c r="X5558" s="535"/>
    </row>
    <row r="5559" spans="1:24" ht="15" customHeight="1">
      <c r="A5559" s="3">
        <v>43577</v>
      </c>
      <c r="B5559" s="685"/>
      <c r="C5559" s="685"/>
      <c r="D5559" s="685"/>
      <c r="E5559" s="685"/>
      <c r="F5559" s="685"/>
      <c r="G5559" s="685"/>
      <c r="H5559" s="685"/>
      <c r="I5559" s="685"/>
      <c r="J5559" s="685"/>
      <c r="K5559" s="685"/>
      <c r="L5559" s="685"/>
      <c r="M5559" s="685"/>
      <c r="P5559" s="278">
        <v>16525</v>
      </c>
      <c r="X5559" s="535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5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5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5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5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5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5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6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5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85"/>
      <c r="C5570" s="685"/>
      <c r="D5570" s="685"/>
      <c r="E5570" s="685"/>
      <c r="F5570" s="685"/>
      <c r="G5570" s="685"/>
      <c r="H5570" s="685"/>
      <c r="I5570" s="685"/>
      <c r="J5570" s="685"/>
      <c r="K5570" s="685"/>
      <c r="L5570" s="685"/>
      <c r="M5570" s="685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5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5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5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5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5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5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5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5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5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5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5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5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5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5">
        <f t="shared" si="721"/>
        <v>9.0200935865675742</v>
      </c>
    </row>
    <row r="5585" spans="1:24" ht="15" customHeight="1">
      <c r="A5585" s="3">
        <v>43612</v>
      </c>
      <c r="B5585" s="685"/>
      <c r="C5585" s="685"/>
      <c r="D5585" s="685"/>
      <c r="E5585" s="685"/>
      <c r="F5585" s="685"/>
      <c r="G5585" s="685"/>
      <c r="H5585" s="685"/>
      <c r="I5585" s="685"/>
      <c r="J5585" s="685"/>
      <c r="K5585" s="685"/>
      <c r="L5585" s="685"/>
      <c r="M5585" s="685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5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5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5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5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5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6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5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5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5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5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5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5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5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5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5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5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5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5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5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5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5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5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5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5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5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5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6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5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5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5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5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5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5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5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5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5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5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5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5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5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5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5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5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5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5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5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5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5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5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5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6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5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5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5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5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5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5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5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5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5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5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5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5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5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5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5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5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5">
        <f t="shared" si="740"/>
        <v>8.1032412965186076</v>
      </c>
    </row>
    <row r="5653" spans="1:24" ht="15" customHeight="1">
      <c r="A5653" s="3">
        <v>43703</v>
      </c>
      <c r="B5653" s="685"/>
      <c r="C5653" s="685"/>
      <c r="D5653" s="685"/>
      <c r="E5653" s="685"/>
      <c r="F5653" s="685"/>
      <c r="G5653" s="685"/>
      <c r="H5653" s="685"/>
      <c r="I5653" s="685"/>
      <c r="J5653" s="685"/>
      <c r="K5653" s="685"/>
      <c r="L5653" s="685"/>
      <c r="M5653" s="685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5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5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5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5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5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6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5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5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5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5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5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5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5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5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5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5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5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5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5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5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5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5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5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5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5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5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5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6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5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5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5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5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5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5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5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5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5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5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5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5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5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5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5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5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5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5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5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5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5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5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5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6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5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5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5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5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5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5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5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5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5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5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5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5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5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5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5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5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5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5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5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5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5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6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5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5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5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5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5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5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5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5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5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5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5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5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5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5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5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5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5">
        <f t="shared" si="740"/>
        <v>7.9790026246719163</v>
      </c>
    </row>
    <row r="5744" spans="1:24" ht="15" customHeight="1">
      <c r="A5744" s="3">
        <v>43824</v>
      </c>
      <c r="B5744" s="696" t="s">
        <v>60</v>
      </c>
      <c r="C5744" s="685"/>
      <c r="D5744" s="685"/>
      <c r="E5744" s="685"/>
      <c r="F5744" s="685"/>
      <c r="G5744" s="685"/>
      <c r="H5744" s="685"/>
      <c r="I5744" s="685"/>
      <c r="J5744" s="685"/>
      <c r="K5744" s="685"/>
      <c r="L5744" s="685"/>
      <c r="M5744" s="685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5"/>
    </row>
    <row r="5745" spans="1:24" ht="15" customHeight="1">
      <c r="A5745" s="3">
        <v>43825</v>
      </c>
      <c r="B5745" s="685"/>
      <c r="C5745" s="685"/>
      <c r="D5745" s="685"/>
      <c r="E5745" s="685"/>
      <c r="F5745" s="685"/>
      <c r="G5745" s="685"/>
      <c r="H5745" s="685"/>
      <c r="I5745" s="685"/>
      <c r="J5745" s="685"/>
      <c r="K5745" s="685"/>
      <c r="L5745" s="685"/>
      <c r="M5745" s="685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5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5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5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5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6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5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5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5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5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5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5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5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5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5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5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5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5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5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5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5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5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5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5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5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5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5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5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6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5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5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5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5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5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5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5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5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5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5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5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5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5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5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5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5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5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5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5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5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6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5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5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5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5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5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5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5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5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5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5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5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5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5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5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5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5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5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5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5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5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5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5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6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5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5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5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5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5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5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5">
        <f t="shared" si="827"/>
        <v>8.2962303354111011</v>
      </c>
    </row>
    <row r="5824" spans="1:24" ht="15" customHeight="1">
      <c r="A5824" s="3">
        <v>43931</v>
      </c>
      <c r="B5824" s="685" t="s">
        <v>61</v>
      </c>
      <c r="C5824" s="685"/>
      <c r="D5824" s="685"/>
      <c r="E5824" s="685"/>
      <c r="F5824" s="685"/>
      <c r="G5824" s="685"/>
      <c r="H5824" s="685"/>
      <c r="I5824" s="685"/>
      <c r="J5824" s="685"/>
      <c r="K5824" s="685"/>
      <c r="L5824" s="685"/>
      <c r="M5824" s="685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5"/>
    </row>
    <row r="5825" spans="1:24" ht="15" customHeight="1">
      <c r="A5825" s="3">
        <v>43934</v>
      </c>
      <c r="B5825" s="685"/>
      <c r="C5825" s="685"/>
      <c r="D5825" s="685"/>
      <c r="E5825" s="685"/>
      <c r="F5825" s="685"/>
      <c r="G5825" s="685"/>
      <c r="H5825" s="685"/>
      <c r="I5825" s="685"/>
      <c r="J5825" s="685"/>
      <c r="K5825" s="685"/>
      <c r="L5825" s="685"/>
      <c r="M5825" s="685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5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5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5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5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5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5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5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5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5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5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5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5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5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5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6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97"/>
      <c r="Q5840" s="25">
        <f>171.99/1218.5</f>
        <v>0.14114895363151417</v>
      </c>
      <c r="W5840" s="340">
        <f t="shared" ref="W5840:W5858" si="850">(P5840*Q5840)*(1+U5840)</f>
        <v>0</v>
      </c>
      <c r="X5840" s="535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98"/>
      <c r="W5841" s="340">
        <f t="shared" si="850"/>
        <v>0</v>
      </c>
      <c r="X5841" s="535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98"/>
      <c r="Q5842" s="25">
        <f>171.95/1227.8</f>
        <v>0.14004723896400065</v>
      </c>
      <c r="W5842" s="340">
        <f t="shared" si="850"/>
        <v>0</v>
      </c>
      <c r="X5842" s="535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5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5">
        <f t="shared" si="854"/>
        <v>8.7527014510651444</v>
      </c>
    </row>
    <row r="5845" spans="1:24" ht="15" customHeight="1">
      <c r="A5845" s="3">
        <v>43959</v>
      </c>
      <c r="B5845" s="685" t="s">
        <v>61</v>
      </c>
      <c r="C5845" s="685"/>
      <c r="D5845" s="685"/>
      <c r="E5845" s="685"/>
      <c r="F5845" s="685"/>
      <c r="G5845" s="685"/>
      <c r="H5845" s="685"/>
      <c r="I5845" s="685"/>
      <c r="J5845" s="685"/>
      <c r="K5845" s="685"/>
      <c r="L5845" s="685"/>
      <c r="M5845" s="685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5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5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5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5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5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5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5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5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5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5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5">
        <f t="shared" si="854"/>
        <v>8.8244465232304332</v>
      </c>
    </row>
    <row r="5856" spans="1:24" ht="15" customHeight="1">
      <c r="A5856" s="3">
        <v>43976</v>
      </c>
      <c r="B5856" s="685" t="s">
        <v>61</v>
      </c>
      <c r="C5856" s="685"/>
      <c r="D5856" s="685"/>
      <c r="E5856" s="685"/>
      <c r="F5856" s="685"/>
      <c r="G5856" s="685"/>
      <c r="H5856" s="685"/>
      <c r="I5856" s="685"/>
      <c r="J5856" s="685"/>
      <c r="K5856" s="685"/>
      <c r="L5856" s="685"/>
      <c r="M5856" s="685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5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5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5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5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5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6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5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5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5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5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5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5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5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5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5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5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5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5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5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5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5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5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5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5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5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5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5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5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6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5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5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5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5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5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5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5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5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5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5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5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5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5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5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5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5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5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5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5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5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5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5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5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6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5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5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5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5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5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5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5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5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5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5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5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5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5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5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5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5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5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5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5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5">
        <f t="shared" si="946"/>
        <v>7.9686314191753098</v>
      </c>
    </row>
    <row r="5929" spans="1:24" ht="15" customHeight="1">
      <c r="A5929" s="3">
        <v>44074</v>
      </c>
      <c r="B5929" s="685" t="s">
        <v>61</v>
      </c>
      <c r="C5929" s="685"/>
      <c r="D5929" s="685"/>
      <c r="E5929" s="685"/>
      <c r="F5929" s="685"/>
      <c r="G5929" s="685"/>
      <c r="H5929" s="685"/>
      <c r="I5929" s="685"/>
      <c r="J5929" s="685"/>
      <c r="K5929" s="685"/>
      <c r="L5929" s="685"/>
      <c r="M5929" s="685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5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6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5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5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5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5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5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5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5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5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5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5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5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5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5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5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5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5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5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5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5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5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92"/>
      <c r="W5951" s="340">
        <f t="shared" si="981"/>
        <v>0</v>
      </c>
      <c r="X5951" s="535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92"/>
      <c r="W5952" s="340">
        <f t="shared" si="981"/>
        <v>0</v>
      </c>
      <c r="X5952" s="535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6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86"/>
      <c r="W5954" s="340">
        <f t="shared" ref="W5954:W5955" si="986">(P5954*Q5954)*(1+U5954)</f>
        <v>0</v>
      </c>
      <c r="X5954" s="535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87"/>
      <c r="Q5955" s="25">
        <f>171.37/1169.5</f>
        <v>0.14653270628473708</v>
      </c>
      <c r="W5955" s="340">
        <f t="shared" si="986"/>
        <v>0</v>
      </c>
      <c r="X5955" s="535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87"/>
      <c r="Q5956" s="25">
        <f>172.58/1163.4</f>
        <v>0.14834106927969742</v>
      </c>
      <c r="W5956" s="340">
        <f t="shared" ref="W5956" si="988">(P5956*Q5956)*(1+U5956)</f>
        <v>0</v>
      </c>
      <c r="X5956" s="535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87"/>
      <c r="Q5957" s="25">
        <f>172.52/1160</f>
        <v>0.14872413793103448</v>
      </c>
      <c r="W5957" s="340">
        <f t="shared" ref="W5957" si="990">(P5957*Q5957)*(1+U5957)</f>
        <v>0</v>
      </c>
      <c r="X5957" s="535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87"/>
      <c r="Q5958" s="25">
        <f>172.28/1162.5</f>
        <v>0.14819784946236558</v>
      </c>
      <c r="W5958" s="340">
        <f t="shared" ref="W5958" si="992">(P5958*Q5958)*(1+U5958)</f>
        <v>0</v>
      </c>
      <c r="X5958" s="535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87"/>
      <c r="W5959" s="340">
        <f t="shared" ref="W5959" si="994">(P5959*Q5959)*(1+U5959)</f>
        <v>0</v>
      </c>
      <c r="X5959" s="535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5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5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5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5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5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5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5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5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5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5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5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5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5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5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5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5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6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5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5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5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5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5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5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5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5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5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5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5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5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5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5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5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5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5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5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5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5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5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6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5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5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5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5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5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5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5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5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5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5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5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5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5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5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5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5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5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5">
        <f t="shared" si="1074"/>
        <v>7.4623051367237414</v>
      </c>
    </row>
    <row r="6017" spans="1:24" ht="15" customHeight="1">
      <c r="A6017" s="3">
        <v>44190</v>
      </c>
      <c r="B6017" s="685" t="s">
        <v>61</v>
      </c>
      <c r="C6017" s="685"/>
      <c r="D6017" s="685"/>
      <c r="E6017" s="685"/>
      <c r="F6017" s="685"/>
      <c r="G6017" s="685"/>
      <c r="H6017" s="685"/>
      <c r="I6017" s="685"/>
      <c r="J6017" s="685"/>
      <c r="K6017" s="685"/>
      <c r="L6017" s="685"/>
      <c r="M6017" s="685"/>
      <c r="X6017" s="535"/>
    </row>
    <row r="6018" spans="1:24" ht="15" customHeight="1">
      <c r="A6018" s="3">
        <v>44193</v>
      </c>
      <c r="B6018" s="685"/>
      <c r="C6018" s="685"/>
      <c r="D6018" s="685"/>
      <c r="E6018" s="685"/>
      <c r="F6018" s="685"/>
      <c r="G6018" s="685"/>
      <c r="H6018" s="685"/>
      <c r="I6018" s="685"/>
      <c r="J6018" s="685"/>
      <c r="K6018" s="685"/>
      <c r="L6018" s="685"/>
      <c r="M6018" s="685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5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5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5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5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6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5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5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5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5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5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5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5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5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5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5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5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5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5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5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5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5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5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5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5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5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6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5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5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5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5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5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5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5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92"/>
      <c r="X6051" s="535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01"/>
      <c r="Q6052" s="692"/>
      <c r="X6052" s="535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01"/>
      <c r="Q6053" s="25">
        <f>172.78/1110.1</f>
        <v>0.15564363570849474</v>
      </c>
      <c r="X6053" s="535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01"/>
      <c r="Q6054" s="25">
        <f>172.1/1103.1</f>
        <v>0.15601486719245763</v>
      </c>
      <c r="X6054" s="535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01"/>
      <c r="Q6055" s="25">
        <f>171.58/1099.7</f>
        <v>0.15602437028280441</v>
      </c>
      <c r="X6055" s="535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01"/>
      <c r="Q6056" s="25">
        <f>172.1/1107.7</f>
        <v>0.15536697661821791</v>
      </c>
      <c r="X6056" s="535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5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5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5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5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5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5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5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6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5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5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5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5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5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5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5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5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5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5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5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5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5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5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5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5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5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5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5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5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5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5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5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6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5">
        <f t="shared" ref="X6089:X6093" si="1184">P6089/K6089</f>
        <v>7.8249678249678247</v>
      </c>
    </row>
    <row r="6090" spans="1:24" ht="15" customHeight="1">
      <c r="A6090" s="3">
        <v>44288</v>
      </c>
      <c r="B6090" s="685" t="s">
        <v>61</v>
      </c>
      <c r="C6090" s="685"/>
      <c r="D6090" s="685"/>
      <c r="E6090" s="685"/>
      <c r="F6090" s="685"/>
      <c r="G6090" s="685"/>
      <c r="H6090" s="685"/>
      <c r="I6090" s="685"/>
      <c r="J6090" s="685"/>
      <c r="K6090" s="685"/>
      <c r="L6090" s="685"/>
      <c r="M6090" s="685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5"/>
    </row>
    <row r="6091" spans="1:24" ht="15" customHeight="1">
      <c r="A6091" s="3">
        <v>44291</v>
      </c>
      <c r="B6091" s="685"/>
      <c r="C6091" s="685"/>
      <c r="D6091" s="685"/>
      <c r="E6091" s="685"/>
      <c r="F6091" s="685"/>
      <c r="G6091" s="685"/>
      <c r="H6091" s="685"/>
      <c r="I6091" s="685"/>
      <c r="J6091" s="685"/>
      <c r="K6091" s="685"/>
      <c r="L6091" s="685"/>
      <c r="M6091" s="685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5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5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5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5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5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5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5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5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5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5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5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5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5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5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5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5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5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5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5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5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6">
        <f>V6111/N6110</f>
        <v>7.4644618213082943</v>
      </c>
    </row>
    <row r="6112" spans="1:24" ht="15" customHeight="1">
      <c r="A6112" s="3">
        <v>44319</v>
      </c>
      <c r="B6112" s="688" t="s">
        <v>62</v>
      </c>
      <c r="C6112" s="688"/>
      <c r="D6112" s="688"/>
      <c r="E6112" s="688"/>
      <c r="F6112" s="688"/>
      <c r="G6112" s="688"/>
      <c r="H6112" s="688"/>
      <c r="I6112" s="688"/>
      <c r="J6112" s="688"/>
      <c r="K6112" s="688"/>
      <c r="L6112" s="688"/>
      <c r="M6112" s="688"/>
      <c r="N6112" s="688"/>
      <c r="O6112" s="688"/>
      <c r="P6112" s="688"/>
      <c r="Q6112" s="25">
        <f>172.71/1119.3</f>
        <v>0.15430179576521041</v>
      </c>
      <c r="X6112" s="535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99"/>
      <c r="W6113" s="340">
        <f t="shared" ref="W6113" si="1221">(P6113*Q6113)*(1+U6113)</f>
        <v>0</v>
      </c>
      <c r="X6113" s="535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99"/>
      <c r="Q6114" s="25">
        <f>173.21/1121.1</f>
        <v>0.15450004459905453</v>
      </c>
      <c r="W6114" s="340">
        <f t="shared" ref="W6114" si="1223">(P6114*Q6114)*(1+U6114)</f>
        <v>0</v>
      </c>
      <c r="X6114" s="535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5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5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5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5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5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5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5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5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5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5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5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5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5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5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5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5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5">
        <f t="shared" si="1253"/>
        <v>6.9067028985507246</v>
      </c>
    </row>
    <row r="6132" spans="1:24" ht="15" customHeight="1">
      <c r="A6132" s="3">
        <v>44347</v>
      </c>
      <c r="B6132" s="685" t="s">
        <v>61</v>
      </c>
      <c r="C6132" s="685"/>
      <c r="D6132" s="685"/>
      <c r="E6132" s="685"/>
      <c r="F6132" s="685"/>
      <c r="G6132" s="685"/>
      <c r="H6132" s="685"/>
      <c r="I6132" s="685"/>
      <c r="J6132" s="685"/>
      <c r="K6132" s="685"/>
      <c r="L6132" s="685"/>
      <c r="M6132" s="685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5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6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5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5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5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5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5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5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5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5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5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5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5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5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5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5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5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5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5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5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5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5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5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5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6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5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5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5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5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5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5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5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5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5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5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5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5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5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5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5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5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5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5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5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5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5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5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6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5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5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5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5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5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5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5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5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5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5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5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5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5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5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5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5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5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5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5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5">
        <f t="shared" si="1290"/>
        <v>6.2004472453750763</v>
      </c>
    </row>
    <row r="6200" spans="1:24" ht="15" customHeight="1">
      <c r="A6200" s="3">
        <v>44438</v>
      </c>
      <c r="B6200" s="685" t="s">
        <v>61</v>
      </c>
      <c r="C6200" s="695"/>
      <c r="D6200" s="695"/>
      <c r="E6200" s="695"/>
      <c r="F6200" s="695"/>
      <c r="G6200" s="695"/>
      <c r="H6200" s="695"/>
      <c r="I6200" s="695"/>
      <c r="J6200" s="695"/>
      <c r="K6200" s="695"/>
      <c r="L6200" s="695"/>
      <c r="M6200" s="695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5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5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6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5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5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5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5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5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5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5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5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5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5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5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5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5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5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5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5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5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5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5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5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5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5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6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5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5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5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5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5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5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5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5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5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5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5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5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5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5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5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5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5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5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5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5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5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6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5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5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5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5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5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5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5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5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5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5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5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5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5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5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5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5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5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5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5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5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5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5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6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5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5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5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5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5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5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5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5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5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5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5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5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5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5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5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5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5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5">
        <f t="shared" si="1297"/>
        <v>6.604590731918579</v>
      </c>
    </row>
    <row r="6289" spans="1:24" ht="15" customHeight="1">
      <c r="A6289" s="3">
        <v>44557</v>
      </c>
      <c r="B6289" s="685" t="s">
        <v>61</v>
      </c>
      <c r="C6289" s="689"/>
      <c r="D6289" s="689"/>
      <c r="E6289" s="689"/>
      <c r="F6289" s="689"/>
      <c r="G6289" s="689"/>
      <c r="H6289" s="689"/>
      <c r="I6289" s="689"/>
      <c r="J6289" s="689"/>
      <c r="K6289" s="689"/>
      <c r="L6289" s="689"/>
      <c r="M6289" s="689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5"/>
    </row>
    <row r="6290" spans="1:24" ht="15" customHeight="1">
      <c r="A6290" s="3">
        <v>44558</v>
      </c>
      <c r="B6290" s="689"/>
      <c r="C6290" s="689"/>
      <c r="D6290" s="689"/>
      <c r="E6290" s="689"/>
      <c r="F6290" s="689"/>
      <c r="G6290" s="689"/>
      <c r="H6290" s="689"/>
      <c r="I6290" s="689"/>
      <c r="J6290" s="689"/>
      <c r="K6290" s="689"/>
      <c r="L6290" s="689"/>
      <c r="M6290" s="689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5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5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5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5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6">
        <f>V6294/N6293</f>
        <v>6.6223264851288368</v>
      </c>
    </row>
    <row r="6295" spans="1:24" ht="15" customHeight="1">
      <c r="A6295" s="3">
        <v>44564</v>
      </c>
      <c r="B6295" s="688" t="s">
        <v>61</v>
      </c>
      <c r="C6295" s="690"/>
      <c r="D6295" s="690"/>
      <c r="E6295" s="690"/>
      <c r="F6295" s="690"/>
      <c r="G6295" s="690"/>
      <c r="H6295" s="690"/>
      <c r="I6295" s="690"/>
      <c r="J6295" s="690"/>
      <c r="K6295" s="690"/>
      <c r="L6295" s="690"/>
      <c r="M6295" s="690"/>
      <c r="P6295" s="278"/>
      <c r="Q6295" s="25">
        <f>187.36/1190.8</f>
        <v>0.15733960362781324</v>
      </c>
      <c r="W6295" s="340">
        <f t="shared" si="1300"/>
        <v>0</v>
      </c>
      <c r="X6295" s="535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5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5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5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5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5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5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5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5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5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5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5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5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5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5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5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5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5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5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5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5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6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5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5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5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5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5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5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5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5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5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5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5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5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5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5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5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5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5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5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5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5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6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5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5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5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5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5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5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5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5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5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5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5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5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5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5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5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5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5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5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5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5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5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5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5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6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5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5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5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5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5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5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5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5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5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5">
        <f t="shared" si="1316"/>
        <v>6.1817078106029948</v>
      </c>
    </row>
    <row r="6372" spans="1:24" ht="15" customHeight="1">
      <c r="A6372" s="3">
        <v>44666</v>
      </c>
      <c r="B6372" s="685" t="s">
        <v>61</v>
      </c>
      <c r="C6372" s="689"/>
      <c r="D6372" s="689"/>
      <c r="E6372" s="689"/>
      <c r="F6372" s="689"/>
      <c r="G6372" s="689"/>
      <c r="H6372" s="689"/>
      <c r="I6372" s="689"/>
      <c r="J6372" s="689"/>
      <c r="K6372" s="689"/>
      <c r="L6372" s="689"/>
      <c r="M6372" s="689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5" t="e">
        <f t="shared" ref="X6372:X6373" si="1319">P6372/K6372</f>
        <v>#DIV/0!</v>
      </c>
    </row>
    <row r="6373" spans="1:24" ht="15" customHeight="1">
      <c r="A6373" s="3">
        <v>44669</v>
      </c>
      <c r="B6373" s="689"/>
      <c r="C6373" s="689"/>
      <c r="D6373" s="689"/>
      <c r="E6373" s="689"/>
      <c r="F6373" s="689"/>
      <c r="G6373" s="689"/>
      <c r="H6373" s="689"/>
      <c r="I6373" s="689"/>
      <c r="J6373" s="689"/>
      <c r="K6373" s="689"/>
      <c r="L6373" s="689"/>
      <c r="M6373" s="689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5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5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5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5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5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5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5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5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5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5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6">
        <f>V6383/N6382</f>
        <v>6.4352848170758481</v>
      </c>
    </row>
    <row r="6384" spans="1:24" ht="15" customHeight="1">
      <c r="A6384" s="3">
        <v>44683</v>
      </c>
      <c r="B6384" s="688" t="s">
        <v>61</v>
      </c>
      <c r="C6384" s="688"/>
      <c r="D6384" s="688"/>
      <c r="E6384" s="688"/>
      <c r="F6384" s="688"/>
      <c r="G6384" s="688"/>
      <c r="H6384" s="688"/>
      <c r="I6384" s="688"/>
      <c r="J6384" s="688"/>
      <c r="K6384" s="688"/>
      <c r="L6384" s="688"/>
      <c r="M6384" s="688"/>
      <c r="P6384" s="686"/>
      <c r="Q6384" s="25">
        <f>189.55/1265.8</f>
        <v>0.14974719544951812</v>
      </c>
      <c r="W6384" s="340">
        <f t="shared" ref="W6384:W6385" si="1335">(P6384*Q6384)*(1+U6384)</f>
        <v>0</v>
      </c>
      <c r="X6384" s="535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87"/>
      <c r="Q6385" s="25">
        <f>189.51/1265.7</f>
        <v>0.14972742356008531</v>
      </c>
      <c r="W6385" s="340">
        <f t="shared" si="1335"/>
        <v>0</v>
      </c>
      <c r="X6385" s="535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87"/>
      <c r="W6386" s="340">
        <f t="shared" ref="W6386:W6394" si="1340">(P6386*Q6386)*(1+U6386)</f>
        <v>0</v>
      </c>
      <c r="X6386" s="535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5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5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5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5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5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5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5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5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5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5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5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5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5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5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5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5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5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29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5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5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6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5">
        <f t="shared" si="1369"/>
        <v>7.02122696524376</v>
      </c>
    </row>
    <row r="6408" spans="1:24" ht="15" customHeight="1">
      <c r="A6408" s="3">
        <v>44714</v>
      </c>
      <c r="B6408" s="685" t="s">
        <v>61</v>
      </c>
      <c r="C6408" s="685"/>
      <c r="D6408" s="685"/>
      <c r="E6408" s="685"/>
      <c r="F6408" s="685"/>
      <c r="G6408" s="685"/>
      <c r="H6408" s="685"/>
      <c r="I6408" s="685"/>
      <c r="J6408" s="685"/>
      <c r="K6408" s="685"/>
      <c r="L6408" s="685"/>
      <c r="M6408" s="685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5" t="e">
        <f t="shared" ref="X6408" si="1372">P6408/K6408</f>
        <v>#DIV/0!</v>
      </c>
    </row>
    <row r="6409" spans="1:24" ht="15" customHeight="1">
      <c r="A6409" s="3">
        <v>44715</v>
      </c>
      <c r="B6409" s="685"/>
      <c r="C6409" s="685"/>
      <c r="D6409" s="685"/>
      <c r="E6409" s="685"/>
      <c r="F6409" s="685"/>
      <c r="G6409" s="685"/>
      <c r="H6409" s="685"/>
      <c r="I6409" s="685"/>
      <c r="J6409" s="685"/>
      <c r="K6409" s="685"/>
      <c r="L6409" s="685"/>
      <c r="M6409" s="685"/>
      <c r="P6409" s="278">
        <v>14975</v>
      </c>
      <c r="W6409" s="340">
        <f t="shared" ref="W6409:W6419" si="1373">(P6409*Q6409)*(1+U6409)</f>
        <v>0</v>
      </c>
      <c r="X6409" s="535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5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5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5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2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2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2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2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2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2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2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2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2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2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2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2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2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2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2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2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6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2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2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2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2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2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2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2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2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2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2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2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2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2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2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2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2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2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2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2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2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2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6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2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2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2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2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2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2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2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2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2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2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2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2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2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8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2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8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2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8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2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8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2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8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2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2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2">
        <f t="shared" ref="X6471" si="1511">P6471/K6471</f>
        <v>7.509386733416771</v>
      </c>
    </row>
    <row r="6472" spans="1:24" ht="15" customHeight="1">
      <c r="A6472" s="3">
        <v>44802</v>
      </c>
      <c r="B6472" s="685" t="s">
        <v>61</v>
      </c>
      <c r="C6472" s="685"/>
      <c r="D6472" s="685"/>
      <c r="E6472" s="685"/>
      <c r="F6472" s="685"/>
      <c r="G6472" s="685"/>
      <c r="H6472" s="685"/>
      <c r="I6472" s="685"/>
      <c r="J6472" s="685"/>
      <c r="K6472" s="685"/>
      <c r="L6472" s="685"/>
      <c r="M6472" s="685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2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7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2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6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39"/>
      <c r="O6476" s="540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2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8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2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8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2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8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2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2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2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2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2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2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2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8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2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8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2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8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2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8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2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8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2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8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2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8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2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1"/>
      <c r="O6493" s="542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2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8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2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8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2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2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7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2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6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86"/>
      <c r="Q6499" s="25">
        <f>201.26/1432.1</f>
        <v>0.14053487884924237</v>
      </c>
      <c r="W6499" s="340">
        <f>(P6499*Q6499)*(1+U6499)</f>
        <v>0</v>
      </c>
      <c r="X6499" s="532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87"/>
      <c r="Q6500" s="25">
        <f>201.79/1431.2</f>
        <v>0.14099357182783678</v>
      </c>
      <c r="W6500" s="340">
        <f t="shared" ref="W6500" si="1572">(P6500*Q6500)*(1+U6500)</f>
        <v>0</v>
      </c>
      <c r="X6500" s="532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87"/>
      <c r="Q6501" s="25">
        <f>201.52/1419.1</f>
        <v>0.14200549644140653</v>
      </c>
      <c r="W6501" s="340">
        <f>(P6501*Q6501)*(1+U6501)</f>
        <v>0</v>
      </c>
      <c r="X6501" s="532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87"/>
      <c r="Q6502" s="25">
        <f>199.4/1404.2</f>
        <v>0.14200256373735934</v>
      </c>
      <c r="W6502" s="340">
        <f>(P6502*Q6502)*(1+U6502)</f>
        <v>0</v>
      </c>
      <c r="X6502" s="532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87"/>
      <c r="W6503" s="340">
        <f t="shared" ref="W6503:W6504" si="1576">(P6503*Q6503)*(1+U6503)</f>
        <v>0</v>
      </c>
      <c r="X6503" s="532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2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2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2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8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2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8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2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8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2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8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2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8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2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2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2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2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2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2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8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2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8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2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7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2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6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39"/>
      <c r="O6521" s="540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2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8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2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2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2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2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2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2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8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2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4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2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8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2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8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2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8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2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2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2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2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2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2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2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8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2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8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2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8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2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7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2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6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2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2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2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2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2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8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2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8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2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8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2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8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2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8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2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2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2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2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2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2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8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2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8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2">
        <f t="shared" ref="X6560" si="1751">P6560/K6560</f>
        <v>6.875</v>
      </c>
    </row>
    <row r="6561" spans="1:24" ht="15" customHeight="1">
      <c r="A6561" s="3">
        <v>44921</v>
      </c>
      <c r="B6561" s="685" t="s">
        <v>61</v>
      </c>
      <c r="C6561" s="685"/>
      <c r="D6561" s="685"/>
      <c r="E6561" s="685"/>
      <c r="F6561" s="685"/>
      <c r="G6561" s="685"/>
      <c r="H6561" s="685"/>
      <c r="I6561" s="685"/>
      <c r="J6561" s="685"/>
      <c r="K6561" s="685"/>
      <c r="L6561" s="685"/>
      <c r="M6561" s="685"/>
      <c r="N6561" s="538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2" t="e">
        <f>P6561/K6561</f>
        <v>#DIV/0!</v>
      </c>
    </row>
    <row r="6562" spans="1:24" ht="15" customHeight="1">
      <c r="A6562" s="3">
        <v>44922</v>
      </c>
      <c r="B6562" s="685"/>
      <c r="C6562" s="685"/>
      <c r="D6562" s="685"/>
      <c r="E6562" s="685"/>
      <c r="F6562" s="685"/>
      <c r="G6562" s="685"/>
      <c r="H6562" s="685"/>
      <c r="I6562" s="685"/>
      <c r="J6562" s="685"/>
      <c r="K6562" s="685"/>
      <c r="L6562" s="685"/>
      <c r="M6562" s="685"/>
      <c r="N6562" s="538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2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8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2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2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7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2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6">
        <f>V6566/N6565</f>
        <v>7.0303824696529702</v>
      </c>
    </row>
    <row r="6567" spans="1:24" ht="15" customHeight="1">
      <c r="A6567" s="3">
        <v>44928</v>
      </c>
      <c r="B6567" s="688" t="s">
        <v>61</v>
      </c>
      <c r="C6567" s="688"/>
      <c r="D6567" s="688"/>
      <c r="E6567" s="688"/>
      <c r="F6567" s="688"/>
      <c r="G6567" s="688"/>
      <c r="H6567" s="688"/>
      <c r="I6567" s="688"/>
      <c r="J6567" s="688"/>
      <c r="K6567" s="688"/>
      <c r="L6567" s="688"/>
      <c r="M6567" s="688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2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2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2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8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2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8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2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8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2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8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2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8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2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2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2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2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2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2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2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2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87"/>
      <c r="Q6582" s="25">
        <f>182.41/1236</f>
        <v>0.14758090614886732</v>
      </c>
      <c r="W6582" s="340">
        <f t="shared" ref="W6582:W6583" si="1790">(P6582*Q6582)*(1+U6582)</f>
        <v>0</v>
      </c>
      <c r="X6582" s="532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87"/>
      <c r="Q6583" s="25">
        <f>182.3/1234.4</f>
        <v>0.14768308489954635</v>
      </c>
      <c r="W6583" s="340">
        <f t="shared" si="1790"/>
        <v>0</v>
      </c>
      <c r="X6583" s="532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8"/>
      <c r="O6584" s="276"/>
      <c r="P6584" s="687"/>
      <c r="Q6584" s="25">
        <f>181.94/1233.4</f>
        <v>0.14751094535430517</v>
      </c>
      <c r="W6584" s="340">
        <f t="shared" ref="W6584" si="1793">(P6584*Q6584)*(1+U6584)</f>
        <v>0</v>
      </c>
      <c r="X6584" s="532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8"/>
      <c r="O6585" s="276"/>
      <c r="P6585" s="687"/>
      <c r="Q6585" s="25">
        <f>182/1231.4</f>
        <v>0.1477992528828975</v>
      </c>
      <c r="W6585" s="340">
        <f t="shared" ref="W6585" si="1797">(P6585*Q6585)*(1+U6585)</f>
        <v>0</v>
      </c>
      <c r="X6585" s="532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8"/>
      <c r="O6586" s="276"/>
      <c r="P6586" s="687"/>
      <c r="Q6586" s="25">
        <f>182.33/1230.2</f>
        <v>0.14821167289871567</v>
      </c>
      <c r="W6586" s="340">
        <f>(P6586*Q6586)*(1+U6586)</f>
        <v>0</v>
      </c>
      <c r="X6586" s="532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8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2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7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2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6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39"/>
      <c r="O6590" s="540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2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2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2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2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2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2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2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2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2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2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2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8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2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8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2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8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2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2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2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2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2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2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7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2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6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2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2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2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8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2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2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2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8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2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8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2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8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2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2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2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2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2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2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2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2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2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2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2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2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2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8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2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7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2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6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39"/>
      <c r="O6635" s="540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2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8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2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8"/>
      <c r="O6637" s="276"/>
      <c r="P6637" s="278"/>
      <c r="Q6637" s="25">
        <f>190.99/1311.9</f>
        <v>0.14558274258708742</v>
      </c>
      <c r="X6637" s="532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2">
        <f t="shared" ref="X6638:X6640" si="1897">P6638/K6638</f>
        <v>7.0958646616541357</v>
      </c>
    </row>
    <row r="6639" spans="1:25" ht="15" customHeight="1">
      <c r="A6639" s="3">
        <v>45023</v>
      </c>
      <c r="B6639" s="685"/>
      <c r="C6639" s="685"/>
      <c r="D6639" s="685"/>
      <c r="E6639" s="685"/>
      <c r="F6639" s="685"/>
      <c r="G6639" s="685"/>
      <c r="H6639" s="685"/>
      <c r="I6639" s="685"/>
      <c r="J6639" s="685"/>
      <c r="K6639" s="685"/>
      <c r="L6639" s="685"/>
      <c r="M6639" s="685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2" t="e">
        <f t="shared" si="1897"/>
        <v>#DIV/0!</v>
      </c>
    </row>
    <row r="6640" spans="1:25" ht="15" customHeight="1">
      <c r="A6640" s="3">
        <v>45026</v>
      </c>
      <c r="B6640" s="685"/>
      <c r="C6640" s="685"/>
      <c r="D6640" s="685"/>
      <c r="E6640" s="685"/>
      <c r="F6640" s="685"/>
      <c r="G6640" s="685"/>
      <c r="H6640" s="685"/>
      <c r="I6640" s="685"/>
      <c r="J6640" s="685"/>
      <c r="K6640" s="685"/>
      <c r="L6640" s="685"/>
      <c r="M6640" s="685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2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2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2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2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2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2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2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2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1"/>
      <c r="O6648" s="542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2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2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8"/>
      <c r="O6650" s="565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2">
        <f t="shared" si="1919"/>
        <v>7.0240295748613679</v>
      </c>
    </row>
    <row r="6651" spans="1:24" ht="15" customHeight="1">
      <c r="A6651" s="561">
        <v>45041</v>
      </c>
      <c r="B6651" s="4">
        <v>29800</v>
      </c>
      <c r="C6651" s="560">
        <v>0</v>
      </c>
      <c r="D6651" s="560">
        <v>1275</v>
      </c>
      <c r="E6651" s="560">
        <v>32000</v>
      </c>
      <c r="F6651" s="4">
        <v>0</v>
      </c>
      <c r="G6651" s="560">
        <v>100</v>
      </c>
      <c r="H6651" s="560">
        <v>3625</v>
      </c>
      <c r="I6651" s="130">
        <f t="shared" ref="I6651" si="1920">H6651/E6651</f>
        <v>0.11328125</v>
      </c>
      <c r="J6651" s="560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8"/>
      <c r="O6651" s="565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2">
        <f t="shared" ref="X6651" si="1922">P6651/K6651</f>
        <v>7.0305272895467157</v>
      </c>
    </row>
    <row r="6652" spans="1:24" ht="15" customHeight="1">
      <c r="A6652" s="568">
        <v>45042</v>
      </c>
      <c r="B6652" s="4">
        <v>29800</v>
      </c>
      <c r="C6652" s="567">
        <v>0</v>
      </c>
      <c r="D6652" s="567">
        <v>1275</v>
      </c>
      <c r="E6652" s="567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7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8"/>
      <c r="O6652" s="565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2">
        <f t="shared" ref="X6652" si="1925">P6652/K6652</f>
        <v>7.1479039095619408</v>
      </c>
    </row>
    <row r="6653" spans="1:24" ht="15" customHeight="1">
      <c r="A6653" s="573">
        <v>45043</v>
      </c>
      <c r="B6653" s="4">
        <v>30100</v>
      </c>
      <c r="C6653" s="572">
        <v>0</v>
      </c>
      <c r="D6653" s="572">
        <v>1275</v>
      </c>
      <c r="E6653" s="572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2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2">
        <f t="shared" ref="X6653" si="1928">P6653/K6653</f>
        <v>7.1512723845428843</v>
      </c>
    </row>
    <row r="6654" spans="1:24" ht="15" customHeight="1">
      <c r="A6654" s="577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7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2">
        <f>P6654/K6654</f>
        <v>7.0074005550416283</v>
      </c>
    </row>
    <row r="6655" spans="1:24" ht="15" customHeight="1" thickBot="1">
      <c r="A6655" s="578"/>
      <c r="B6655" s="578"/>
      <c r="C6655" s="578"/>
      <c r="D6655" s="578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6" t="e">
        <f>V6655/N6658</f>
        <v>#DIV/0!</v>
      </c>
    </row>
    <row r="6656" spans="1:24" ht="15" customHeight="1">
      <c r="A6656" s="3">
        <v>45047</v>
      </c>
      <c r="B6656" s="685"/>
      <c r="C6656" s="685"/>
      <c r="D6656" s="685"/>
      <c r="E6656" s="685"/>
      <c r="F6656" s="685"/>
      <c r="G6656" s="685"/>
      <c r="H6656" s="685"/>
      <c r="I6656" s="685"/>
      <c r="J6656" s="685"/>
      <c r="K6656" s="685"/>
      <c r="L6656" s="685"/>
      <c r="M6656" s="685"/>
      <c r="P6656" s="691"/>
      <c r="Q6656" s="25">
        <f>193.44/1339.1</f>
        <v>0.14445523112538272</v>
      </c>
      <c r="W6656" s="340">
        <f t="shared" ref="W6656:W6661" si="1929">(P6656*Q6656)*(1+U6656)</f>
        <v>0</v>
      </c>
      <c r="X6656" s="532" t="e">
        <f t="shared" ref="X6656:X6660" si="1930">P6656/K6656</f>
        <v>#DIV/0!</v>
      </c>
    </row>
    <row r="6657" spans="1:24" ht="15" customHeight="1">
      <c r="A6657" s="579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92"/>
      <c r="Q6657" s="25">
        <f>192.72/1340.2</f>
        <v>0.14379943292045963</v>
      </c>
      <c r="W6657" s="340">
        <f t="shared" si="1929"/>
        <v>0</v>
      </c>
      <c r="X6657" s="532">
        <f t="shared" si="1930"/>
        <v>0</v>
      </c>
    </row>
    <row r="6658" spans="1:24" ht="15" customHeight="1">
      <c r="A6658" s="586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5">
        <v>105584</v>
      </c>
      <c r="K6658" s="22">
        <v>2145</v>
      </c>
      <c r="L6658" s="6">
        <v>2146.5</v>
      </c>
      <c r="M6658" s="137">
        <f t="shared" si="1931"/>
        <v>1.5</v>
      </c>
      <c r="P6658" s="692"/>
      <c r="Q6658" s="25">
        <f>193.3/1339.1</f>
        <v>0.14435068329475023</v>
      </c>
      <c r="W6658" s="340">
        <f t="shared" si="1929"/>
        <v>0</v>
      </c>
      <c r="X6658" s="532">
        <f t="shared" si="1930"/>
        <v>0</v>
      </c>
    </row>
    <row r="6659" spans="1:24" ht="15" customHeight="1">
      <c r="A6659" s="588">
        <v>45050</v>
      </c>
      <c r="B6659" s="4">
        <v>30400</v>
      </c>
      <c r="C6659" s="587">
        <v>0</v>
      </c>
      <c r="D6659" s="587">
        <v>1275</v>
      </c>
      <c r="E6659" s="587">
        <v>32600</v>
      </c>
      <c r="F6659" s="4">
        <v>300</v>
      </c>
      <c r="G6659" s="587">
        <v>0</v>
      </c>
      <c r="H6659" s="587">
        <v>2825</v>
      </c>
      <c r="I6659" s="130">
        <f>H6659/E6659</f>
        <v>8.665644171779141E-2</v>
      </c>
      <c r="J6659" s="587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2">
        <f t="shared" si="1930"/>
        <v>7.1613358419567259</v>
      </c>
    </row>
    <row r="6660" spans="1:24" ht="15" customHeight="1">
      <c r="A6660" s="588">
        <v>45051</v>
      </c>
      <c r="B6660" s="4">
        <v>30400</v>
      </c>
      <c r="C6660" s="587">
        <v>0</v>
      </c>
      <c r="D6660" s="587">
        <v>1275</v>
      </c>
      <c r="E6660" s="587">
        <v>32600</v>
      </c>
      <c r="F6660" s="4">
        <v>0</v>
      </c>
      <c r="G6660" s="587">
        <v>0</v>
      </c>
      <c r="H6660" s="587">
        <v>2825</v>
      </c>
      <c r="I6660" s="130">
        <f>H6660/E6660</f>
        <v>8.665644171779141E-2</v>
      </c>
      <c r="J6660" s="587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8"/>
      <c r="O6660" s="565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2">
        <f t="shared" si="1930"/>
        <v>7.2124524714828899</v>
      </c>
    </row>
    <row r="6661" spans="1:24" ht="15" customHeight="1">
      <c r="A6661" s="590">
        <v>45054</v>
      </c>
      <c r="B6661" s="685" t="s">
        <v>61</v>
      </c>
      <c r="C6661" s="685"/>
      <c r="D6661" s="685"/>
      <c r="E6661" s="685"/>
      <c r="F6661" s="685"/>
      <c r="G6661" s="685"/>
      <c r="H6661" s="685"/>
      <c r="I6661" s="685"/>
      <c r="J6661" s="685"/>
      <c r="K6661" s="685"/>
      <c r="L6661" s="685"/>
      <c r="M6661" s="685"/>
      <c r="N6661" s="538"/>
      <c r="O6661" s="565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2" t="e">
        <f t="shared" ref="X6661:X6669" si="1934">P6661/K6661</f>
        <v>#DIV/0!</v>
      </c>
    </row>
    <row r="6662" spans="1:24" ht="15" customHeight="1">
      <c r="A6662" s="593">
        <v>45055</v>
      </c>
      <c r="B6662" s="4">
        <v>30400</v>
      </c>
      <c r="C6662" s="592">
        <v>0</v>
      </c>
      <c r="D6662" s="592">
        <v>1275</v>
      </c>
      <c r="E6662" s="592">
        <v>32600</v>
      </c>
      <c r="F6662" s="4">
        <v>0</v>
      </c>
      <c r="G6662" s="592">
        <v>0</v>
      </c>
      <c r="H6662" s="10">
        <v>2825</v>
      </c>
      <c r="I6662" s="130">
        <f t="shared" ref="I6662:I6669" si="1935">H6662/E6662</f>
        <v>8.665644171779141E-2</v>
      </c>
      <c r="J6662" s="592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8"/>
      <c r="O6662" s="565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2">
        <f t="shared" si="1934"/>
        <v>7.1411709159584511</v>
      </c>
    </row>
    <row r="6663" spans="1:24" ht="15" customHeight="1">
      <c r="A6663" s="598">
        <v>45056</v>
      </c>
      <c r="B6663" s="4">
        <v>30400</v>
      </c>
      <c r="C6663" s="597">
        <v>0</v>
      </c>
      <c r="D6663" s="597">
        <v>1275</v>
      </c>
      <c r="E6663" s="597">
        <v>32600</v>
      </c>
      <c r="F6663" s="4">
        <v>0</v>
      </c>
      <c r="G6663" s="597">
        <v>0</v>
      </c>
      <c r="H6663" s="10">
        <v>2825</v>
      </c>
      <c r="I6663" s="130">
        <f t="shared" si="1935"/>
        <v>8.665644171779141E-2</v>
      </c>
      <c r="J6663" s="597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8"/>
      <c r="O6663" s="565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2">
        <f t="shared" si="1934"/>
        <v>7.137809187279152</v>
      </c>
    </row>
    <row r="6664" spans="1:24" ht="15" customHeight="1">
      <c r="A6664" s="601">
        <v>45057</v>
      </c>
      <c r="B6664" s="4">
        <v>30700</v>
      </c>
      <c r="C6664" s="600">
        <v>0</v>
      </c>
      <c r="D6664" s="600">
        <v>1275</v>
      </c>
      <c r="E6664" s="600">
        <v>32900</v>
      </c>
      <c r="F6664" s="4">
        <v>300</v>
      </c>
      <c r="G6664" s="600">
        <v>0</v>
      </c>
      <c r="H6664" s="10">
        <v>2825</v>
      </c>
      <c r="I6664" s="130">
        <f t="shared" si="1935"/>
        <v>8.5866261398176297E-2</v>
      </c>
      <c r="J6664" s="600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2">
        <f t="shared" si="1934"/>
        <v>7.1462264150943398</v>
      </c>
    </row>
    <row r="6665" spans="1:24" ht="15" customHeight="1">
      <c r="A6665" s="604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3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2">
        <f t="shared" si="1934"/>
        <v>7.2110792741165231</v>
      </c>
    </row>
    <row r="6666" spans="1:24" ht="15" customHeight="1">
      <c r="A6666" s="605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2">
        <f t="shared" si="1934"/>
        <v>7.2881355932203391</v>
      </c>
    </row>
    <row r="6667" spans="1:24" ht="15" customHeight="1">
      <c r="A6667" s="607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6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2">
        <f t="shared" si="1934"/>
        <v>7.3058252427184467</v>
      </c>
    </row>
    <row r="6668" spans="1:24" ht="15" customHeight="1">
      <c r="A6668" s="609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8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2">
        <f t="shared" si="1934"/>
        <v>7.3414634146341466</v>
      </c>
    </row>
    <row r="6669" spans="1:24" ht="15" customHeight="1">
      <c r="A6669" s="611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0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2">
        <f t="shared" si="1934"/>
        <v>7.3554525494022931</v>
      </c>
    </row>
    <row r="6670" spans="1:24" ht="15" customHeight="1">
      <c r="A6670" s="613">
        <v>45065</v>
      </c>
      <c r="B6670" s="4">
        <v>31725</v>
      </c>
      <c r="C6670" s="612">
        <v>0</v>
      </c>
      <c r="D6670" s="612">
        <v>1275</v>
      </c>
      <c r="E6670" s="612">
        <v>33925</v>
      </c>
      <c r="F6670" s="4">
        <v>0</v>
      </c>
      <c r="G6670" s="612">
        <v>0</v>
      </c>
      <c r="H6670" s="612">
        <v>2825</v>
      </c>
      <c r="I6670" s="130">
        <f t="shared" ref="I6670" si="1940">H6670/E6670</f>
        <v>8.3271923360353717E-2</v>
      </c>
      <c r="J6670" s="612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2">
        <f t="shared" ref="X6670" si="1943">P6670/K6670</f>
        <v>7.2399809160305342</v>
      </c>
    </row>
    <row r="6671" spans="1:24" ht="15" customHeight="1">
      <c r="A6671" s="617">
        <v>45068</v>
      </c>
      <c r="B6671" s="4">
        <v>31975</v>
      </c>
      <c r="C6671" s="616">
        <v>0</v>
      </c>
      <c r="D6671" s="616">
        <v>1275</v>
      </c>
      <c r="E6671" s="616">
        <v>34175</v>
      </c>
      <c r="F6671" s="4">
        <v>250</v>
      </c>
      <c r="G6671" s="616">
        <v>0</v>
      </c>
      <c r="H6671" s="616">
        <v>2825</v>
      </c>
      <c r="I6671" s="130">
        <f t="shared" ref="I6671" si="1944">H6671/E6671</f>
        <v>8.2662765179224579E-2</v>
      </c>
      <c r="J6671" s="616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2">
        <f t="shared" ref="X6671" si="1947">P6671/K6671</f>
        <v>7.2553699284009543</v>
      </c>
    </row>
    <row r="6672" spans="1:24" ht="15" customHeight="1">
      <c r="A6672" s="621">
        <v>45069</v>
      </c>
      <c r="B6672" s="4">
        <v>32275</v>
      </c>
      <c r="C6672" s="620">
        <v>0</v>
      </c>
      <c r="D6672" s="620">
        <v>1275</v>
      </c>
      <c r="E6672" s="620">
        <v>34475</v>
      </c>
      <c r="F6672" s="4">
        <v>300</v>
      </c>
      <c r="G6672" s="620">
        <v>0</v>
      </c>
      <c r="H6672" s="620">
        <v>2925</v>
      </c>
      <c r="I6672" s="130">
        <f t="shared" ref="I6672" si="1948">H6672/E6672</f>
        <v>8.4844089920232055E-2</v>
      </c>
      <c r="J6672" s="620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2">
        <f t="shared" ref="X6672" si="1951">P6672/K6672</f>
        <v>7.3117760617760617</v>
      </c>
    </row>
    <row r="6673" spans="1:24" ht="15" customHeight="1">
      <c r="A6673" s="625">
        <v>45070</v>
      </c>
      <c r="B6673" s="4">
        <v>32800</v>
      </c>
      <c r="C6673" s="624">
        <v>0</v>
      </c>
      <c r="D6673" s="624">
        <v>1250</v>
      </c>
      <c r="E6673" s="624">
        <v>34975</v>
      </c>
      <c r="F6673" s="4">
        <v>525</v>
      </c>
      <c r="G6673" s="624">
        <v>25</v>
      </c>
      <c r="H6673" s="624">
        <v>2900</v>
      </c>
      <c r="I6673" s="130">
        <f t="shared" ref="I6673" si="1952">H6673/E6673</f>
        <v>8.2916368834882057E-2</v>
      </c>
      <c r="J6673" s="624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2">
        <f t="shared" ref="X6673" si="1955">P6673/K6673</f>
        <v>7.3529411764705879</v>
      </c>
    </row>
    <row r="6674" spans="1:24" ht="15" customHeight="1">
      <c r="A6674" s="629">
        <v>45071</v>
      </c>
      <c r="B6674" s="4">
        <v>33325</v>
      </c>
      <c r="C6674" s="628">
        <v>0</v>
      </c>
      <c r="D6674" s="628">
        <v>1225</v>
      </c>
      <c r="E6674" s="628">
        <v>35475</v>
      </c>
      <c r="F6674" s="4">
        <v>525</v>
      </c>
      <c r="G6674" s="628">
        <v>25</v>
      </c>
      <c r="H6674" s="628">
        <v>2875</v>
      </c>
      <c r="I6674" s="130">
        <f t="shared" ref="I6674:I6675" si="1956">H6674/E6674</f>
        <v>8.1042988019732212E-2</v>
      </c>
      <c r="J6674" s="628">
        <v>113580</v>
      </c>
      <c r="K6674" s="22">
        <v>2032.5</v>
      </c>
      <c r="L6674" s="6">
        <v>2031.5</v>
      </c>
      <c r="M6674" s="137">
        <f t="shared" ref="M6674:M6675" si="1957">L6674-K6674</f>
        <v>-1</v>
      </c>
      <c r="P6674" s="278">
        <v>15100</v>
      </c>
      <c r="Q6674" s="25">
        <f>186.32/1323.4</f>
        <v>0.14078887713465316</v>
      </c>
      <c r="W6674" s="340">
        <f t="shared" ref="W6674:W6675" si="1958">(P6674*Q6674)*(1+U6674)</f>
        <v>2125.9120447332625</v>
      </c>
      <c r="X6674" s="532">
        <f t="shared" ref="X6674:X6675" si="1959">P6674/K6674</f>
        <v>7.4292742927429272</v>
      </c>
    </row>
    <row r="6675" spans="1:24" ht="15" customHeight="1">
      <c r="A6675" s="633">
        <v>45072</v>
      </c>
      <c r="B6675" s="4">
        <v>33325</v>
      </c>
      <c r="C6675" s="5">
        <v>0</v>
      </c>
      <c r="D6675" s="5">
        <v>1225</v>
      </c>
      <c r="E6675" s="5">
        <v>35475</v>
      </c>
      <c r="F6675" s="4">
        <v>0</v>
      </c>
      <c r="G6675" s="5">
        <v>0</v>
      </c>
      <c r="H6675" s="5">
        <v>2875</v>
      </c>
      <c r="I6675" s="130">
        <f t="shared" si="1956"/>
        <v>8.1042988019732212E-2</v>
      </c>
      <c r="J6675" s="632">
        <v>114734</v>
      </c>
      <c r="K6675" s="22">
        <v>2059</v>
      </c>
      <c r="L6675" s="6">
        <v>2063</v>
      </c>
      <c r="M6675" s="137">
        <f t="shared" si="1957"/>
        <v>4</v>
      </c>
      <c r="N6675" s="538"/>
      <c r="O6675" s="565"/>
      <c r="P6675" s="278">
        <v>15100</v>
      </c>
      <c r="Q6675" s="25">
        <f>186.93/1323.4</f>
        <v>0.14124981109264018</v>
      </c>
      <c r="W6675" s="340">
        <f t="shared" si="1958"/>
        <v>2132.8721474988665</v>
      </c>
      <c r="X6675" s="532">
        <f t="shared" si="1959"/>
        <v>7.3336571151044199</v>
      </c>
    </row>
    <row r="6676" spans="1:24" ht="15" customHeight="1">
      <c r="A6676" s="633">
        <v>45075</v>
      </c>
      <c r="B6676" s="685"/>
      <c r="C6676" s="685"/>
      <c r="D6676" s="685"/>
      <c r="E6676" s="685"/>
      <c r="F6676" s="685"/>
      <c r="G6676" s="685"/>
      <c r="H6676" s="685"/>
      <c r="I6676" s="685"/>
      <c r="J6676" s="685"/>
      <c r="K6676" s="685"/>
      <c r="L6676" s="685"/>
      <c r="M6676" s="685"/>
      <c r="P6676" s="638">
        <v>15100</v>
      </c>
      <c r="Q6676" s="25">
        <f>187.25/1325.6</f>
        <v>0.1412567893783947</v>
      </c>
      <c r="W6676" s="340">
        <f t="shared" ref="W6676:W6677" si="1960">(P6676*Q6676)*(1+U6676)</f>
        <v>2132.9775196137598</v>
      </c>
      <c r="X6676" s="532" t="e">
        <f>P6676/K6676</f>
        <v>#DIV/0!</v>
      </c>
    </row>
    <row r="6677" spans="1:24" ht="15" customHeight="1">
      <c r="A6677" s="635">
        <v>45076</v>
      </c>
      <c r="B6677" s="4">
        <v>33675</v>
      </c>
      <c r="C6677" s="634">
        <v>0</v>
      </c>
      <c r="D6677" s="634">
        <v>1225</v>
      </c>
      <c r="E6677" s="634">
        <v>35825</v>
      </c>
      <c r="F6677" s="4">
        <v>350</v>
      </c>
      <c r="G6677" s="634">
        <v>0</v>
      </c>
      <c r="H6677" s="634">
        <v>2875</v>
      </c>
      <c r="I6677" s="130">
        <f t="shared" ref="I6677" si="1961">H6677/E6677</f>
        <v>8.0251221214235863E-2</v>
      </c>
      <c r="J6677" s="634">
        <v>116121</v>
      </c>
      <c r="K6677" s="22">
        <v>2078</v>
      </c>
      <c r="L6677" s="6">
        <v>2073</v>
      </c>
      <c r="M6677" s="137">
        <f t="shared" ref="M6677" si="1962">L6677-K6677</f>
        <v>-5</v>
      </c>
      <c r="N6677" s="538"/>
      <c r="O6677" s="565"/>
      <c r="P6677" s="278">
        <v>15075</v>
      </c>
      <c r="Q6677" s="25">
        <f>186.31/1322.2</f>
        <v>0.1409090909090909</v>
      </c>
      <c r="W6677" s="340">
        <f t="shared" si="1960"/>
        <v>2124.2045454545455</v>
      </c>
      <c r="X6677" s="532">
        <f t="shared" ref="X6677" si="1963">P6677/K6677</f>
        <v>7.2545717035611164</v>
      </c>
    </row>
    <row r="6678" spans="1:24" ht="15" customHeight="1">
      <c r="A6678" s="640">
        <v>45077</v>
      </c>
      <c r="B6678" s="4">
        <v>34025</v>
      </c>
      <c r="C6678" s="639">
        <v>0</v>
      </c>
      <c r="D6678" s="639">
        <v>1225</v>
      </c>
      <c r="E6678" s="639">
        <v>36175</v>
      </c>
      <c r="F6678" s="4">
        <v>350</v>
      </c>
      <c r="G6678" s="639">
        <v>0</v>
      </c>
      <c r="H6678" s="639">
        <v>2875</v>
      </c>
      <c r="I6678" s="130">
        <f t="shared" ref="I6678" si="1964">H6678/E6678</f>
        <v>7.9474775397373881E-2</v>
      </c>
      <c r="J6678" s="639">
        <v>114772</v>
      </c>
      <c r="K6678" s="22">
        <v>2035.5</v>
      </c>
      <c r="L6678" s="6">
        <v>2032</v>
      </c>
      <c r="M6678" s="137">
        <f t="shared" ref="M6678" si="1965">L6678-K6678</f>
        <v>-3.5</v>
      </c>
      <c r="N6678" s="537">
        <f>AVERAGE($K$6657:K6678)</f>
        <v>2087.5</v>
      </c>
      <c r="O6678" s="473">
        <f>AVERAGE($K$6567:K6678)</f>
        <v>2131.6078431372548</v>
      </c>
      <c r="P6678" s="278">
        <v>15050</v>
      </c>
      <c r="Q6678" s="25">
        <f>185.92/1321.6</f>
        <v>0.14067796610169492</v>
      </c>
      <c r="W6678" s="340">
        <f t="shared" ref="W6678" si="1966">(P6678*Q6678)*(1+U6678)</f>
        <v>2117.2033898305085</v>
      </c>
      <c r="X6678" s="532">
        <f t="shared" ref="X6678" si="1967">P6678/K6678</f>
        <v>7.3937607467452713</v>
      </c>
    </row>
    <row r="6679" spans="1:24" ht="15" customHeight="1" thickBot="1">
      <c r="A6679" s="641"/>
      <c r="B6679" s="641"/>
      <c r="C6679" s="641"/>
      <c r="D6679" s="641"/>
      <c r="E6679" s="236"/>
      <c r="F6679" s="487"/>
      <c r="G6679" s="181"/>
      <c r="H6679" s="181"/>
      <c r="I6679" s="183"/>
      <c r="J6679" s="183"/>
      <c r="K6679" s="183"/>
      <c r="L6679" s="184"/>
      <c r="M6679" s="184"/>
      <c r="N6679" s="184"/>
      <c r="O6679" s="198"/>
      <c r="P6679" s="198"/>
      <c r="Q6679" s="198"/>
      <c r="R6679" s="281"/>
      <c r="S6679" s="282"/>
      <c r="T6679" s="282"/>
      <c r="U6679" s="164"/>
      <c r="V6679" s="165">
        <f>AVERAGE(P6659:P6678)</f>
        <v>15120</v>
      </c>
      <c r="W6679" s="164"/>
      <c r="X6679" s="536" t="e">
        <f>V6679/#REF!</f>
        <v>#REF!</v>
      </c>
    </row>
    <row r="6680" spans="1:24" ht="15" customHeight="1">
      <c r="A6680" s="643">
        <v>45078</v>
      </c>
      <c r="B6680" s="4">
        <v>34300</v>
      </c>
      <c r="C6680" s="642">
        <v>0</v>
      </c>
      <c r="D6680" s="642">
        <v>1225</v>
      </c>
      <c r="E6680" s="642">
        <v>36450</v>
      </c>
      <c r="F6680" s="4">
        <v>275</v>
      </c>
      <c r="G6680" s="642">
        <v>0</v>
      </c>
      <c r="H6680" s="642">
        <v>2875</v>
      </c>
      <c r="I6680" s="130">
        <f t="shared" ref="I6680" si="1968">H6680/E6680</f>
        <v>7.8875171467764058E-2</v>
      </c>
      <c r="J6680" s="642">
        <v>116268</v>
      </c>
      <c r="K6680" s="22">
        <v>1989</v>
      </c>
      <c r="L6680" s="6">
        <v>1991</v>
      </c>
      <c r="M6680" s="137">
        <f t="shared" ref="M6680:M6685" si="1969">L6680-K6680</f>
        <v>2</v>
      </c>
      <c r="P6680" s="278">
        <v>14975</v>
      </c>
      <c r="Q6680" s="25">
        <f>185.58/1320.7</f>
        <v>0.14051639282198836</v>
      </c>
      <c r="W6680" s="340">
        <f t="shared" ref="W6680" si="1970">(P6680*Q6680)*(1+U6680)</f>
        <v>2104.2329825092756</v>
      </c>
      <c r="X6680" s="532">
        <f t="shared" ref="X6680" si="1971">P6680/K6680</f>
        <v>7.5289089994972347</v>
      </c>
    </row>
    <row r="6681" spans="1:24" ht="15" customHeight="1">
      <c r="A6681" s="647">
        <v>45079</v>
      </c>
      <c r="B6681" s="4">
        <v>34300</v>
      </c>
      <c r="C6681" s="5">
        <v>0</v>
      </c>
      <c r="D6681" s="5">
        <v>1225</v>
      </c>
      <c r="E6681" s="5">
        <v>36450</v>
      </c>
      <c r="F6681" s="4">
        <v>0</v>
      </c>
      <c r="G6681" s="5">
        <v>0</v>
      </c>
      <c r="H6681" s="5">
        <v>2875</v>
      </c>
      <c r="I6681" s="130">
        <f t="shared" ref="I6681:I6686" si="1972">H6681/E6681</f>
        <v>7.8875171467764058E-2</v>
      </c>
      <c r="J6681" s="610">
        <v>117186</v>
      </c>
      <c r="K6681" s="22">
        <v>2010</v>
      </c>
      <c r="L6681" s="6">
        <v>2006</v>
      </c>
      <c r="M6681" s="137">
        <f t="shared" si="1969"/>
        <v>-4</v>
      </c>
      <c r="P6681" s="638">
        <v>14900</v>
      </c>
      <c r="Q6681" s="25">
        <f>184.32/1308.8</f>
        <v>0.14083129584352078</v>
      </c>
      <c r="W6681" s="340">
        <f t="shared" ref="W6681:W6685" si="1973">(P6681*Q6681)*(1+U6681)</f>
        <v>2098.3863080684596</v>
      </c>
      <c r="X6681" s="532">
        <f t="shared" ref="X6681:X6685" si="1974">P6681/K6681</f>
        <v>7.4129353233830848</v>
      </c>
    </row>
    <row r="6682" spans="1:24" ht="15" customHeight="1">
      <c r="A6682" s="647">
        <v>45082</v>
      </c>
      <c r="B6682" s="4">
        <v>34650</v>
      </c>
      <c r="C6682" s="646">
        <v>0</v>
      </c>
      <c r="D6682" s="646">
        <v>1225</v>
      </c>
      <c r="E6682" s="646">
        <v>36800</v>
      </c>
      <c r="F6682" s="4">
        <v>350</v>
      </c>
      <c r="G6682" s="646">
        <v>0</v>
      </c>
      <c r="H6682" s="646">
        <v>2875</v>
      </c>
      <c r="I6682" s="130">
        <f t="shared" si="1972"/>
        <v>7.8125E-2</v>
      </c>
      <c r="J6682" s="646">
        <v>116086</v>
      </c>
      <c r="K6682" s="22">
        <v>2040</v>
      </c>
      <c r="L6682" s="6">
        <v>2028.5</v>
      </c>
      <c r="M6682" s="137">
        <f t="shared" si="1969"/>
        <v>-11.5</v>
      </c>
      <c r="P6682" s="278">
        <v>14900</v>
      </c>
      <c r="W6682" s="340">
        <f t="shared" si="1973"/>
        <v>0</v>
      </c>
      <c r="X6682" s="532">
        <f t="shared" si="1974"/>
        <v>7.3039215686274508</v>
      </c>
    </row>
    <row r="6683" spans="1:24" ht="15" customHeight="1">
      <c r="A6683" s="647">
        <v>45083</v>
      </c>
      <c r="B6683" s="4">
        <v>35000</v>
      </c>
      <c r="C6683" s="646">
        <v>0</v>
      </c>
      <c r="D6683" s="646">
        <v>1225</v>
      </c>
      <c r="E6683" s="646">
        <v>37150</v>
      </c>
      <c r="F6683" s="4">
        <v>350</v>
      </c>
      <c r="G6683" s="646">
        <v>0</v>
      </c>
      <c r="H6683" s="646">
        <v>2875</v>
      </c>
      <c r="I6683" s="130">
        <f t="shared" si="1972"/>
        <v>7.7388963660834462E-2</v>
      </c>
      <c r="J6683" s="646">
        <v>115955</v>
      </c>
      <c r="K6683" s="22">
        <v>2035</v>
      </c>
      <c r="L6683" s="6">
        <v>2029</v>
      </c>
      <c r="M6683" s="137">
        <f t="shared" si="1969"/>
        <v>-6</v>
      </c>
      <c r="P6683" s="278">
        <v>14900</v>
      </c>
      <c r="Q6683" s="25">
        <f>183.99/1308.3</f>
        <v>0.14063288236642973</v>
      </c>
      <c r="W6683" s="340">
        <f t="shared" si="1973"/>
        <v>2095.4299472598032</v>
      </c>
      <c r="X6683" s="532">
        <f t="shared" si="1974"/>
        <v>7.3218673218673223</v>
      </c>
    </row>
    <row r="6684" spans="1:24" ht="15" customHeight="1">
      <c r="A6684" s="651">
        <v>45084</v>
      </c>
      <c r="B6684" s="4">
        <v>35000</v>
      </c>
      <c r="C6684" s="5">
        <v>0</v>
      </c>
      <c r="D6684" s="5">
        <v>1225</v>
      </c>
      <c r="E6684" s="5">
        <v>37150</v>
      </c>
      <c r="F6684" s="4">
        <v>0</v>
      </c>
      <c r="G6684" s="5">
        <v>0</v>
      </c>
      <c r="H6684" s="5">
        <v>2875</v>
      </c>
      <c r="I6684" s="130">
        <f t="shared" si="1972"/>
        <v>7.7388963660834462E-2</v>
      </c>
      <c r="J6684" s="610">
        <v>116618</v>
      </c>
      <c r="K6684" s="22">
        <v>2057</v>
      </c>
      <c r="L6684" s="6">
        <v>2039</v>
      </c>
      <c r="M6684" s="137">
        <f t="shared" si="1969"/>
        <v>-18</v>
      </c>
      <c r="P6684" s="278">
        <v>14975</v>
      </c>
      <c r="Q6684" s="25">
        <f>182.46/1300.5</f>
        <v>0.14029988465974627</v>
      </c>
      <c r="W6684" s="340">
        <f t="shared" si="1973"/>
        <v>2100.9907727797004</v>
      </c>
      <c r="X6684" s="532">
        <f t="shared" si="1974"/>
        <v>7.2800194457948466</v>
      </c>
    </row>
    <row r="6685" spans="1:24" ht="15" customHeight="1">
      <c r="A6685" s="653">
        <v>45085</v>
      </c>
      <c r="B6685" s="4">
        <v>35000</v>
      </c>
      <c r="C6685" s="5">
        <v>0</v>
      </c>
      <c r="D6685" s="5">
        <v>1225</v>
      </c>
      <c r="E6685" s="5">
        <v>37150</v>
      </c>
      <c r="F6685" s="4">
        <v>0</v>
      </c>
      <c r="G6685" s="5">
        <v>0</v>
      </c>
      <c r="H6685" s="5">
        <v>2875</v>
      </c>
      <c r="I6685" s="130">
        <f t="shared" si="1972"/>
        <v>7.7388963660834462E-2</v>
      </c>
      <c r="J6685" s="652">
        <v>116947</v>
      </c>
      <c r="K6685" s="22">
        <v>2029.5</v>
      </c>
      <c r="L6685" s="6">
        <v>2020.5</v>
      </c>
      <c r="M6685" s="137">
        <f t="shared" si="1969"/>
        <v>-9</v>
      </c>
      <c r="P6685" s="278">
        <v>15000</v>
      </c>
      <c r="Q6685" s="25">
        <f>182.72/1306.1</f>
        <v>0.13989740448663962</v>
      </c>
      <c r="W6685" s="340">
        <f t="shared" si="1973"/>
        <v>2098.4610672995941</v>
      </c>
      <c r="X6685" s="532">
        <f t="shared" si="1974"/>
        <v>7.390983000739098</v>
      </c>
    </row>
    <row r="6686" spans="1:24" ht="15" customHeight="1">
      <c r="A6686" s="656">
        <v>45086</v>
      </c>
      <c r="B6686" s="4">
        <v>35000</v>
      </c>
      <c r="C6686" s="655">
        <v>0</v>
      </c>
      <c r="D6686" s="655">
        <v>1225</v>
      </c>
      <c r="E6686" s="655">
        <v>37150</v>
      </c>
      <c r="F6686" s="4">
        <v>0</v>
      </c>
      <c r="G6686" s="655">
        <v>0</v>
      </c>
      <c r="H6686" s="655">
        <v>2875</v>
      </c>
      <c r="I6686" s="130">
        <f t="shared" si="1972"/>
        <v>7.7388963660834462E-2</v>
      </c>
      <c r="J6686" s="655">
        <v>114780</v>
      </c>
      <c r="K6686" s="22">
        <v>2060</v>
      </c>
      <c r="L6686" s="6">
        <v>2048</v>
      </c>
      <c r="M6686" s="137">
        <f t="shared" ref="M6686" si="1975">L6686-K6686</f>
        <v>-12</v>
      </c>
      <c r="P6686" s="278">
        <v>15000</v>
      </c>
      <c r="Q6686" s="25">
        <f>181.78/1294.9</f>
        <v>0.14038149664066724</v>
      </c>
      <c r="W6686" s="340">
        <f t="shared" ref="W6686" si="1976">(P6686*Q6686)*(1+U6686)</f>
        <v>2105.7224496100084</v>
      </c>
      <c r="X6686" s="532">
        <f t="shared" ref="X6686" si="1977">P6686/K6686</f>
        <v>7.2815533980582527</v>
      </c>
    </row>
    <row r="6687" spans="1:24" ht="15" customHeight="1">
      <c r="A6687" s="660">
        <v>45089</v>
      </c>
      <c r="B6687" s="4">
        <v>35000</v>
      </c>
      <c r="C6687" s="659">
        <v>0</v>
      </c>
      <c r="D6687" s="659">
        <v>1225</v>
      </c>
      <c r="E6687" s="659">
        <v>37150</v>
      </c>
      <c r="F6687" s="4">
        <v>0</v>
      </c>
      <c r="G6687" s="659">
        <v>0</v>
      </c>
      <c r="H6687" s="659">
        <v>2875</v>
      </c>
      <c r="I6687" s="130">
        <f t="shared" ref="I6687:I6688" si="1978">H6687/E6687</f>
        <v>7.7388963660834462E-2</v>
      </c>
      <c r="J6687" s="659">
        <v>115764</v>
      </c>
      <c r="K6687" s="22">
        <v>2090</v>
      </c>
      <c r="L6687" s="6">
        <v>2073</v>
      </c>
      <c r="M6687" s="137">
        <f t="shared" ref="M6687:M6688" si="1979">L6687-K6687</f>
        <v>-17</v>
      </c>
      <c r="P6687" s="278">
        <v>15075</v>
      </c>
      <c r="Q6687" s="25">
        <f>180.59/1291.1</f>
        <v>0.13987297653163969</v>
      </c>
      <c r="W6687" s="340">
        <f t="shared" ref="W6687:W6688" si="1980">(P6687*Q6687)*(1+U6687)</f>
        <v>2108.5851212144685</v>
      </c>
      <c r="X6687" s="532">
        <f t="shared" ref="X6687:X6688" si="1981">P6687/K6687</f>
        <v>7.2129186602870812</v>
      </c>
    </row>
    <row r="6688" spans="1:24" ht="15" customHeight="1">
      <c r="A6688" s="664">
        <v>45090</v>
      </c>
      <c r="B6688" s="4">
        <v>35700</v>
      </c>
      <c r="C6688" s="5">
        <v>0</v>
      </c>
      <c r="D6688" s="5">
        <v>1225</v>
      </c>
      <c r="E6688" s="5">
        <v>37850</v>
      </c>
      <c r="F6688" s="4">
        <v>800</v>
      </c>
      <c r="G6688" s="5">
        <v>100</v>
      </c>
      <c r="H6688" s="5">
        <v>2775</v>
      </c>
      <c r="I6688" s="130">
        <f t="shared" si="1978"/>
        <v>7.3315719947159838E-2</v>
      </c>
      <c r="J6688" s="663">
        <v>117532</v>
      </c>
      <c r="K6688" s="22">
        <v>2106</v>
      </c>
      <c r="L6688" s="6">
        <v>2077</v>
      </c>
      <c r="M6688" s="137">
        <f t="shared" si="1979"/>
        <v>-29</v>
      </c>
      <c r="P6688" s="278">
        <v>15125</v>
      </c>
      <c r="Q6688" s="25">
        <f>178.19/1227.5</f>
        <v>0.14516496945010182</v>
      </c>
      <c r="W6688" s="340">
        <f t="shared" si="1980"/>
        <v>2195.6201629327902</v>
      </c>
      <c r="X6688" s="532">
        <f t="shared" si="1981"/>
        <v>7.1818613485280149</v>
      </c>
    </row>
    <row r="6689" spans="1:24" ht="15" customHeight="1">
      <c r="A6689" s="666">
        <v>45091</v>
      </c>
      <c r="B6689" s="4">
        <v>36250</v>
      </c>
      <c r="C6689" s="665">
        <v>0</v>
      </c>
      <c r="D6689" s="665">
        <v>1225</v>
      </c>
      <c r="E6689" s="665">
        <v>38400</v>
      </c>
      <c r="F6689" s="4">
        <v>650</v>
      </c>
      <c r="G6689" s="665">
        <v>100</v>
      </c>
      <c r="H6689" s="665">
        <v>2675</v>
      </c>
      <c r="I6689" s="130">
        <f t="shared" ref="I6689" si="1982">H6689/E6689</f>
        <v>6.9661458333333329E-2</v>
      </c>
      <c r="J6689" s="665">
        <v>128248</v>
      </c>
      <c r="K6689" s="22">
        <v>2147</v>
      </c>
      <c r="L6689" s="6">
        <v>2107</v>
      </c>
      <c r="M6689" s="137">
        <f t="shared" ref="M6689" si="1983">L6689-K6689</f>
        <v>-40</v>
      </c>
      <c r="P6689" s="278">
        <v>15125</v>
      </c>
      <c r="Q6689" s="25">
        <f>177.98/1275.9</f>
        <v>0.13949369072811346</v>
      </c>
      <c r="W6689" s="340">
        <f t="shared" ref="W6689" si="1984">(P6689*Q6689)*(1+U6689)</f>
        <v>2109.8420722627161</v>
      </c>
      <c r="X6689" s="532">
        <f t="shared" ref="X6689" si="1985">P6689/K6689</f>
        <v>7.0447135537959946</v>
      </c>
    </row>
    <row r="6690" spans="1:24" ht="15" customHeight="1">
      <c r="A6690" s="670">
        <v>45092</v>
      </c>
      <c r="B6690" s="4">
        <v>36250</v>
      </c>
      <c r="C6690" s="669">
        <v>0</v>
      </c>
      <c r="D6690" s="669">
        <v>1225</v>
      </c>
      <c r="E6690" s="669">
        <v>38400</v>
      </c>
      <c r="F6690" s="4">
        <v>0</v>
      </c>
      <c r="G6690" s="669">
        <v>0</v>
      </c>
      <c r="H6690" s="669">
        <v>2675</v>
      </c>
      <c r="I6690" s="130">
        <f t="shared" ref="I6690" si="1986">H6690/E6690</f>
        <v>6.9661458333333329E-2</v>
      </c>
      <c r="J6690" s="669">
        <v>120236</v>
      </c>
      <c r="K6690" s="22">
        <v>2165</v>
      </c>
      <c r="L6690" s="6">
        <v>2133</v>
      </c>
      <c r="M6690" s="137">
        <f t="shared" ref="M6690" si="1987">L6690-K6690</f>
        <v>-32</v>
      </c>
      <c r="N6690" s="538"/>
      <c r="O6690" s="565"/>
      <c r="P6690" s="278">
        <v>15125</v>
      </c>
      <c r="Q6690" s="25">
        <f>178.67/1280.1</f>
        <v>0.13957503320053122</v>
      </c>
      <c r="W6690" s="340">
        <f t="shared" ref="W6690" si="1988">(P6690*Q6690)*(1+U6690)</f>
        <v>2111.0723771580347</v>
      </c>
      <c r="X6690" s="532">
        <f t="shared" ref="X6690" si="1989">P6690/K6690</f>
        <v>6.9861431870669746</v>
      </c>
    </row>
    <row r="6691" spans="1:24" ht="15" customHeight="1">
      <c r="A6691" s="674">
        <v>45093</v>
      </c>
      <c r="B6691" s="4">
        <v>36250</v>
      </c>
      <c r="C6691" s="673">
        <v>0</v>
      </c>
      <c r="D6691" s="673">
        <v>1225</v>
      </c>
      <c r="E6691" s="673">
        <v>38400</v>
      </c>
      <c r="F6691" s="4">
        <v>0</v>
      </c>
      <c r="G6691" s="673">
        <v>0</v>
      </c>
      <c r="H6691" s="10">
        <v>2675</v>
      </c>
      <c r="I6691" s="130">
        <f t="shared" ref="I6691" si="1990">H6691/E6691</f>
        <v>6.9661458333333329E-2</v>
      </c>
      <c r="J6691" s="673">
        <v>126615</v>
      </c>
      <c r="K6691" s="22">
        <v>2174</v>
      </c>
      <c r="L6691" s="6">
        <v>2132</v>
      </c>
      <c r="M6691" s="137">
        <f t="shared" ref="M6691" si="1991">L6691-K6691</f>
        <v>-42</v>
      </c>
      <c r="N6691" s="538"/>
      <c r="O6691" s="565"/>
      <c r="P6691" s="278">
        <v>15175</v>
      </c>
      <c r="Q6691" s="25">
        <f>178.66/1273.5</f>
        <v>0.14029053788771104</v>
      </c>
      <c r="W6691" s="340">
        <f t="shared" ref="W6691" si="1992">(P6691*Q6691)*(1+U6691)</f>
        <v>2128.9089124460152</v>
      </c>
      <c r="X6691" s="532">
        <f t="shared" ref="X6691" si="1993">P6691/K6691</f>
        <v>6.9802207911683531</v>
      </c>
    </row>
    <row r="6692" spans="1:24" ht="15" customHeight="1">
      <c r="A6692" s="678">
        <v>45096</v>
      </c>
      <c r="B6692" s="4">
        <v>36250</v>
      </c>
      <c r="C6692" s="677">
        <v>0</v>
      </c>
      <c r="D6692" s="677">
        <v>1225</v>
      </c>
      <c r="E6692" s="677">
        <v>38400</v>
      </c>
      <c r="F6692" s="4">
        <v>0</v>
      </c>
      <c r="G6692" s="677">
        <v>0</v>
      </c>
      <c r="H6692" s="10">
        <v>2675</v>
      </c>
      <c r="I6692" s="130">
        <f t="shared" ref="I6692" si="1994">H6692/E6692</f>
        <v>6.9661458333333329E-2</v>
      </c>
      <c r="J6692" s="677">
        <v>127180</v>
      </c>
      <c r="K6692" s="22">
        <v>2197</v>
      </c>
      <c r="L6692" s="6">
        <v>2148</v>
      </c>
      <c r="M6692" s="137">
        <f t="shared" ref="M6692" si="1995">L6692-K6692</f>
        <v>-49</v>
      </c>
      <c r="N6692" s="538"/>
      <c r="O6692" s="565"/>
      <c r="P6692" s="278">
        <v>15225</v>
      </c>
      <c r="Q6692" s="25">
        <f>179.46/1280.7</f>
        <v>0.14012649332396346</v>
      </c>
      <c r="W6692" s="340">
        <f t="shared" ref="W6692" si="1996">(P6692*Q6692)*(1+U6692)</f>
        <v>2133.4258608573437</v>
      </c>
      <c r="X6692" s="532">
        <f t="shared" ref="X6692" si="1997">P6692/K6692</f>
        <v>6.9299044151115154</v>
      </c>
    </row>
    <row r="6693" spans="1:24" ht="15" customHeight="1">
      <c r="A6693" s="682">
        <v>45097</v>
      </c>
      <c r="B6693" s="4">
        <v>36950</v>
      </c>
      <c r="C6693" s="681">
        <v>0</v>
      </c>
      <c r="D6693" s="681">
        <v>1225</v>
      </c>
      <c r="E6693" s="681">
        <v>39100</v>
      </c>
      <c r="F6693" s="4">
        <v>700</v>
      </c>
      <c r="G6693" s="681">
        <v>0</v>
      </c>
      <c r="H6693" s="10">
        <v>2675</v>
      </c>
      <c r="I6693" s="130">
        <f>H6693/E6693</f>
        <v>6.8414322250639384E-2</v>
      </c>
      <c r="J6693" s="681">
        <v>125575</v>
      </c>
      <c r="K6693" s="22">
        <v>2185</v>
      </c>
      <c r="L6693" s="6">
        <v>2122</v>
      </c>
      <c r="M6693" s="137">
        <f t="shared" ref="M6693" si="1998">L6693-K6693</f>
        <v>-63</v>
      </c>
      <c r="N6693" s="537">
        <f>AVERAGE($K$6680:K6693)</f>
        <v>2091.75</v>
      </c>
      <c r="O6693" s="473">
        <f>AVERAGE($K$6567:K6693)</f>
        <v>2126.7974137931033</v>
      </c>
      <c r="P6693" s="278">
        <v>15250</v>
      </c>
      <c r="Q6693" s="25">
        <f>178.29/1282.2</f>
        <v>0.13905007019185772</v>
      </c>
      <c r="W6693" s="340">
        <f t="shared" ref="W6693" si="1999">(P6693*Q6693)*(1+U6693)</f>
        <v>2120.51357042583</v>
      </c>
      <c r="X6693" s="532">
        <f t="shared" ref="X6693" si="2000">P6693/K6693</f>
        <v>6.9794050343249427</v>
      </c>
    </row>
    <row r="6694" spans="1:24" ht="15" customHeight="1">
      <c r="J6694" s="610"/>
      <c r="M6694" s="137"/>
    </row>
    <row r="6695" spans="1:24" ht="15" customHeight="1">
      <c r="J6695" s="5"/>
      <c r="M6695" s="137"/>
    </row>
    <row r="6696" spans="1:24" ht="15" customHeight="1">
      <c r="J6696" s="5"/>
      <c r="M6696" s="137"/>
    </row>
    <row r="6697" spans="1:24" ht="15" customHeight="1">
      <c r="J6697" s="5"/>
      <c r="M6697" s="137"/>
    </row>
    <row r="6698" spans="1:24" ht="15" customHeight="1">
      <c r="J6698" s="5"/>
      <c r="M6698" s="137"/>
    </row>
    <row r="6699" spans="1:24" ht="15" customHeight="1">
      <c r="J6699" s="5"/>
      <c r="M6699" s="137"/>
    </row>
    <row r="6700" spans="1:24" ht="15" customHeight="1">
      <c r="J6700" s="5"/>
      <c r="M6700" s="137"/>
    </row>
    <row r="6701" spans="1:24" ht="15" customHeight="1">
      <c r="J6701" s="5"/>
      <c r="M6701" s="137"/>
    </row>
    <row r="6702" spans="1:24" ht="15" customHeight="1">
      <c r="J6702" s="5"/>
      <c r="M6702" s="137"/>
    </row>
    <row r="6703" spans="1:24" ht="15" customHeight="1">
      <c r="J6703" s="5"/>
      <c r="M6703" s="137"/>
    </row>
    <row r="6704" spans="1:24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9">
    <mergeCell ref="B5160:D5160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091:D5091"/>
    <mergeCell ref="B4888:D4888"/>
    <mergeCell ref="P4650:P4652"/>
    <mergeCell ref="Q4689:Q4691"/>
    <mergeCell ref="P4854:P4855"/>
    <mergeCell ref="Q4852:Q4854"/>
    <mergeCell ref="B4929:M4930"/>
    <mergeCell ref="B4911:D4911"/>
    <mergeCell ref="B4840:M4840"/>
    <mergeCell ref="F4658:I4658"/>
    <mergeCell ref="B4843:D4843"/>
    <mergeCell ref="B4571:D4571"/>
    <mergeCell ref="B4819:D4819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5069:D5069"/>
    <mergeCell ref="B5023:M5023"/>
    <mergeCell ref="B5022:D5022"/>
    <mergeCell ref="B5011:M5012"/>
    <mergeCell ref="B5001:D50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4683:D4683"/>
    <mergeCell ref="B4231:D4231"/>
    <mergeCell ref="B4277:D4277"/>
    <mergeCell ref="B4434:D4434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B3801:D3801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B4480:D4480"/>
    <mergeCell ref="P4481:Q4481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P4957:P4958"/>
    <mergeCell ref="P4953:P4955"/>
    <mergeCell ref="Q4953:Q4955"/>
    <mergeCell ref="P4688:P4693"/>
    <mergeCell ref="P4590:P4591"/>
    <mergeCell ref="P4574:P4575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6676:M6676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P6656:P6658"/>
    <mergeCell ref="B6656:M6656"/>
    <mergeCell ref="B6639:M6639"/>
    <mergeCell ref="P6582:P6586"/>
    <mergeCell ref="B6567:M6567"/>
    <mergeCell ref="B6561:M6562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22"/>
  <sheetViews>
    <sheetView zoomScale="85" zoomScaleNormal="85" workbookViewId="0">
      <pane xSplit="1" ySplit="2" topLeftCell="B4085" activePane="bottomRight" state="frozen"/>
      <selection pane="topRight" activeCell="B1" sqref="B1"/>
      <selection pane="bottomLeft" activeCell="A3" sqref="A3"/>
      <selection pane="bottomRight" activeCell="E4121" sqref="E4121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784" t="s">
        <v>64</v>
      </c>
      <c r="B1" s="784"/>
      <c r="C1" s="784"/>
      <c r="D1" s="784"/>
      <c r="E1" s="784"/>
      <c r="F1" s="784"/>
      <c r="G1" s="784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85" t="s">
        <v>73</v>
      </c>
      <c r="C68" s="785"/>
      <c r="D68" s="785"/>
    </row>
    <row r="69" spans="1:4" ht="15" customHeight="1">
      <c r="A69" s="409">
        <v>39181</v>
      </c>
      <c r="B69" s="785"/>
      <c r="C69" s="785"/>
      <c r="D69" s="785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86" t="s">
        <v>25</v>
      </c>
      <c r="B103" s="786"/>
      <c r="C103" s="786"/>
      <c r="D103" s="786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74" t="s">
        <v>74</v>
      </c>
      <c r="C313" s="774"/>
      <c r="D313" s="774"/>
      <c r="E313" s="774"/>
      <c r="F313" s="774"/>
      <c r="G313" s="774"/>
      <c r="H313" s="427"/>
      <c r="I313" s="427"/>
      <c r="J313" s="427"/>
      <c r="K313" s="427"/>
    </row>
    <row r="314" spans="1:11" ht="15" customHeight="1">
      <c r="A314" s="424">
        <v>39531</v>
      </c>
      <c r="B314" s="774"/>
      <c r="C314" s="774"/>
      <c r="D314" s="774"/>
      <c r="E314" s="774"/>
      <c r="F314" s="774"/>
      <c r="G314" s="774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74" t="s">
        <v>75</v>
      </c>
      <c r="C344" s="774"/>
      <c r="D344" s="774"/>
      <c r="E344" s="774"/>
      <c r="F344" s="774"/>
      <c r="G344" s="774"/>
      <c r="H344" s="774"/>
      <c r="I344" s="774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74" t="s">
        <v>76</v>
      </c>
      <c r="C359" s="774"/>
      <c r="D359" s="774"/>
      <c r="E359" s="774"/>
      <c r="F359" s="774"/>
      <c r="G359" s="774"/>
      <c r="H359" s="774"/>
      <c r="I359" s="774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74" t="s">
        <v>77</v>
      </c>
      <c r="C424" s="774"/>
      <c r="D424" s="774"/>
      <c r="E424" s="774"/>
      <c r="F424" s="774"/>
      <c r="G424" s="774"/>
      <c r="H424" s="774"/>
      <c r="I424" s="774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74" t="s">
        <v>78</v>
      </c>
      <c r="C511" s="774"/>
      <c r="D511" s="774"/>
      <c r="E511" s="774"/>
      <c r="F511" s="774"/>
      <c r="G511" s="774"/>
      <c r="H511" s="774"/>
      <c r="I511" s="774"/>
      <c r="J511" s="774"/>
      <c r="K511" s="774"/>
    </row>
    <row r="512" spans="1:11" ht="15" customHeight="1">
      <c r="A512" s="424">
        <v>39807</v>
      </c>
      <c r="B512" s="774"/>
      <c r="C512" s="774"/>
      <c r="D512" s="774"/>
      <c r="E512" s="774"/>
      <c r="F512" s="774"/>
      <c r="G512" s="774"/>
      <c r="H512" s="774"/>
      <c r="I512" s="774"/>
      <c r="J512" s="774"/>
      <c r="K512" s="774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74" t="s">
        <v>79</v>
      </c>
      <c r="C587" s="774"/>
      <c r="D587" s="774"/>
      <c r="E587" s="774"/>
      <c r="F587" s="774"/>
      <c r="G587" s="774"/>
      <c r="H587" s="774"/>
      <c r="I587" s="774"/>
    </row>
    <row r="588" spans="1:9" ht="15" customHeight="1">
      <c r="A588" s="424">
        <v>39916</v>
      </c>
      <c r="B588" s="774"/>
      <c r="C588" s="774"/>
      <c r="D588" s="774"/>
      <c r="E588" s="774"/>
      <c r="F588" s="774"/>
      <c r="G588" s="774"/>
      <c r="H588" s="774"/>
      <c r="I588" s="774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80" t="s">
        <v>80</v>
      </c>
      <c r="C603" s="780"/>
      <c r="D603" s="780"/>
      <c r="E603" s="780"/>
      <c r="F603" s="780"/>
      <c r="G603" s="780"/>
      <c r="H603" s="780"/>
      <c r="I603" s="780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80" t="s">
        <v>81</v>
      </c>
      <c r="C618" s="780"/>
      <c r="D618" s="780"/>
      <c r="E618" s="780"/>
      <c r="F618" s="780"/>
      <c r="G618" s="780"/>
      <c r="H618" s="780"/>
      <c r="I618" s="780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82" t="s">
        <v>82</v>
      </c>
      <c r="C771" s="782"/>
      <c r="D771" s="782"/>
      <c r="E771" s="782"/>
      <c r="F771" s="782"/>
      <c r="G771" s="782"/>
      <c r="H771" s="782"/>
      <c r="I771" s="782"/>
    </row>
    <row r="772" spans="1:9" ht="15" customHeight="1">
      <c r="A772" s="409">
        <v>40175</v>
      </c>
      <c r="B772" s="782"/>
      <c r="C772" s="782"/>
      <c r="D772" s="782"/>
      <c r="E772" s="782"/>
      <c r="F772" s="782"/>
      <c r="G772" s="782"/>
      <c r="H772" s="782"/>
      <c r="I772" s="782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82" t="s">
        <v>83</v>
      </c>
      <c r="C840" s="782"/>
      <c r="D840" s="782"/>
      <c r="E840" s="782"/>
      <c r="F840" s="782"/>
      <c r="G840" s="782"/>
      <c r="H840" s="782"/>
      <c r="I840" s="782"/>
    </row>
    <row r="841" spans="1:9" ht="15" customHeight="1">
      <c r="A841" s="409">
        <v>40273</v>
      </c>
      <c r="B841" s="782"/>
      <c r="C841" s="782"/>
      <c r="D841" s="782"/>
      <c r="E841" s="782"/>
      <c r="F841" s="782"/>
      <c r="G841" s="782"/>
      <c r="H841" s="782"/>
      <c r="I841" s="782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83" t="s">
        <v>84</v>
      </c>
      <c r="C880" s="783"/>
      <c r="D880" s="783"/>
      <c r="E880" s="783"/>
      <c r="F880" s="783"/>
      <c r="G880" s="783"/>
      <c r="H880" s="783"/>
      <c r="I880" s="783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80" t="s">
        <v>84</v>
      </c>
      <c r="C945" s="780"/>
      <c r="D945" s="780"/>
      <c r="E945" s="780"/>
      <c r="F945" s="780"/>
      <c r="G945" s="780"/>
      <c r="H945" s="780"/>
      <c r="I945" s="780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82" t="s">
        <v>83</v>
      </c>
      <c r="C1030" s="782"/>
      <c r="D1030" s="782"/>
      <c r="E1030" s="782"/>
      <c r="F1030" s="782"/>
      <c r="G1030" s="782"/>
      <c r="H1030" s="782"/>
      <c r="I1030" s="782"/>
    </row>
    <row r="1031" spans="1:9" ht="15" customHeight="1">
      <c r="A1031" s="409">
        <v>40540</v>
      </c>
      <c r="B1031" s="782"/>
      <c r="C1031" s="782"/>
      <c r="D1031" s="782"/>
      <c r="E1031" s="782"/>
      <c r="F1031" s="782"/>
      <c r="G1031" s="782"/>
      <c r="H1031" s="782"/>
      <c r="I1031" s="782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81" t="s">
        <v>84</v>
      </c>
      <c r="C1035" s="781"/>
      <c r="D1035" s="781"/>
      <c r="E1035" s="781"/>
      <c r="F1035" s="781"/>
      <c r="G1035" s="781"/>
      <c r="H1035" s="781"/>
      <c r="I1035" s="781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82" t="s">
        <v>83</v>
      </c>
      <c r="C1114" s="782"/>
      <c r="D1114" s="782"/>
      <c r="E1114" s="782"/>
      <c r="F1114" s="782"/>
      <c r="G1114" s="782"/>
      <c r="H1114" s="782"/>
      <c r="I1114" s="782"/>
    </row>
    <row r="1115" spans="1:9" ht="15" customHeight="1">
      <c r="A1115" s="409">
        <v>40658</v>
      </c>
      <c r="B1115" s="782"/>
      <c r="C1115" s="782"/>
      <c r="D1115" s="782"/>
      <c r="E1115" s="782"/>
      <c r="F1115" s="782"/>
      <c r="G1115" s="782"/>
      <c r="H1115" s="782"/>
      <c r="I1115" s="782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83" t="s">
        <v>84</v>
      </c>
      <c r="C1119" s="783"/>
      <c r="D1119" s="783"/>
      <c r="E1119" s="783"/>
      <c r="F1119" s="783"/>
      <c r="G1119" s="783"/>
      <c r="H1119" s="783"/>
      <c r="I1119" s="783"/>
    </row>
    <row r="1120" spans="1:9" ht="15" customHeight="1">
      <c r="A1120" s="409">
        <v>40665</v>
      </c>
      <c r="B1120" s="781" t="s">
        <v>84</v>
      </c>
      <c r="C1120" s="781"/>
      <c r="D1120" s="781"/>
      <c r="E1120" s="781"/>
      <c r="F1120" s="781"/>
      <c r="G1120" s="781"/>
      <c r="H1120" s="781"/>
      <c r="I1120" s="781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80" t="s">
        <v>84</v>
      </c>
      <c r="C1140" s="780"/>
      <c r="D1140" s="780"/>
      <c r="E1140" s="780"/>
      <c r="F1140" s="780"/>
      <c r="G1140" s="780"/>
      <c r="H1140" s="780"/>
      <c r="I1140" s="780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80" t="s">
        <v>84</v>
      </c>
      <c r="C1205" s="780"/>
      <c r="D1205" s="780"/>
      <c r="E1205" s="780"/>
      <c r="F1205" s="780"/>
      <c r="G1205" s="780"/>
      <c r="H1205" s="780"/>
      <c r="I1205" s="780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80" t="s">
        <v>84</v>
      </c>
      <c r="C1290" s="780"/>
      <c r="D1290" s="780"/>
      <c r="E1290" s="780"/>
      <c r="F1290" s="780"/>
      <c r="G1290" s="780"/>
      <c r="H1290" s="780"/>
      <c r="I1290" s="780"/>
    </row>
    <row r="1291" spans="1:9" ht="15" customHeight="1">
      <c r="A1291" s="409">
        <v>40904</v>
      </c>
      <c r="B1291" s="780"/>
      <c r="C1291" s="780"/>
      <c r="D1291" s="780"/>
      <c r="E1291" s="780"/>
      <c r="F1291" s="780"/>
      <c r="G1291" s="780"/>
      <c r="H1291" s="780"/>
      <c r="I1291" s="780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80" t="s">
        <v>84</v>
      </c>
      <c r="C1295" s="780"/>
      <c r="D1295" s="780"/>
      <c r="E1295" s="780"/>
      <c r="F1295" s="780"/>
      <c r="G1295" s="780"/>
      <c r="H1295" s="780"/>
      <c r="I1295" s="780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80" t="s">
        <v>84</v>
      </c>
      <c r="C1364" s="780"/>
      <c r="D1364" s="780"/>
      <c r="E1364" s="780"/>
      <c r="F1364" s="780"/>
      <c r="G1364" s="780"/>
      <c r="H1364" s="780"/>
      <c r="I1364" s="780"/>
    </row>
    <row r="1365" spans="1:9" ht="15" customHeight="1">
      <c r="A1365" s="409">
        <v>41008</v>
      </c>
      <c r="B1365" s="780"/>
      <c r="C1365" s="780"/>
      <c r="D1365" s="780"/>
      <c r="E1365" s="780"/>
      <c r="F1365" s="780"/>
      <c r="G1365" s="780"/>
      <c r="H1365" s="780"/>
      <c r="I1365" s="780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80" t="s">
        <v>85</v>
      </c>
      <c r="C1385" s="780"/>
      <c r="D1385" s="780"/>
      <c r="E1385" s="780"/>
      <c r="F1385" s="780"/>
      <c r="G1385" s="780"/>
      <c r="H1385" s="780"/>
      <c r="I1385" s="780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80" t="s">
        <v>85</v>
      </c>
      <c r="C1405" s="780"/>
      <c r="D1405" s="780"/>
      <c r="E1405" s="780"/>
      <c r="F1405" s="780"/>
      <c r="G1405" s="780"/>
      <c r="H1405" s="780"/>
      <c r="I1405" s="780"/>
    </row>
    <row r="1406" spans="1:9" ht="15" customHeight="1">
      <c r="A1406" s="409">
        <v>41065</v>
      </c>
      <c r="B1406" s="780"/>
      <c r="C1406" s="780"/>
      <c r="D1406" s="780"/>
      <c r="E1406" s="780"/>
      <c r="F1406" s="780"/>
      <c r="G1406" s="780"/>
      <c r="H1406" s="780"/>
      <c r="I1406" s="780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80" t="s">
        <v>85</v>
      </c>
      <c r="C1465" s="780"/>
      <c r="D1465" s="780"/>
      <c r="E1465" s="780"/>
      <c r="F1465" s="780"/>
      <c r="G1465" s="780"/>
      <c r="H1465" s="780"/>
      <c r="I1465" s="780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79" t="s">
        <v>86</v>
      </c>
      <c r="C1551" s="779"/>
      <c r="D1551" s="779"/>
    </row>
    <row r="1552" spans="1:4" ht="15" customHeight="1">
      <c r="A1552" s="409">
        <v>41269</v>
      </c>
      <c r="B1552" s="779" t="s">
        <v>86</v>
      </c>
      <c r="C1552" s="779"/>
      <c r="D1552" s="779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79" t="s">
        <v>86</v>
      </c>
      <c r="C1556" s="779"/>
      <c r="D1556" s="779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78" t="s">
        <v>86</v>
      </c>
      <c r="C1619" s="778"/>
      <c r="D1619" s="778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79" t="s">
        <v>86</v>
      </c>
      <c r="C1620" s="779"/>
      <c r="D1620" s="779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79" t="s">
        <v>86</v>
      </c>
      <c r="C1645" s="779"/>
      <c r="D1645" s="779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79" t="s">
        <v>86</v>
      </c>
      <c r="C1660" s="779"/>
      <c r="D1660" s="779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79" t="s">
        <v>86</v>
      </c>
      <c r="C1725" s="779"/>
      <c r="D1725" s="779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79" t="s">
        <v>86</v>
      </c>
      <c r="C1812" s="779"/>
      <c r="D1812" s="779"/>
    </row>
    <row r="1813" spans="1:9" ht="15" customHeight="1">
      <c r="A1813" s="409">
        <v>41634</v>
      </c>
      <c r="B1813" s="779" t="s">
        <v>86</v>
      </c>
      <c r="C1813" s="779"/>
      <c r="D1813" s="779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80" t="s">
        <v>87</v>
      </c>
      <c r="D1893" s="780"/>
    </row>
    <row r="1894" spans="1:9" ht="15" customHeight="1">
      <c r="A1894" s="409">
        <v>41750</v>
      </c>
      <c r="C1894" s="780"/>
      <c r="D1894" s="780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79" t="s">
        <v>86</v>
      </c>
      <c r="C1904" s="779"/>
      <c r="D1904" s="779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79" t="s">
        <v>86</v>
      </c>
      <c r="C1919" s="779"/>
      <c r="D1919" s="779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79" t="s">
        <v>88</v>
      </c>
      <c r="C1984" s="779"/>
      <c r="D1984" s="779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79" t="s">
        <v>88</v>
      </c>
      <c r="C2072" s="779"/>
      <c r="D2072" s="779"/>
    </row>
    <row r="2073" spans="1:9" ht="15" customHeight="1">
      <c r="A2073" s="409">
        <v>41999</v>
      </c>
      <c r="B2073" s="779"/>
      <c r="C2073" s="779"/>
      <c r="D2073" s="779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79" t="s">
        <v>88</v>
      </c>
      <c r="C2142" s="779"/>
      <c r="D2142" s="779"/>
      <c r="E2142" s="421"/>
      <c r="F2142" s="421"/>
    </row>
    <row r="2143" spans="1:9" ht="15" customHeight="1">
      <c r="A2143" s="409">
        <v>42100</v>
      </c>
      <c r="B2143" s="779"/>
      <c r="C2143" s="779"/>
      <c r="D2143" s="779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79" t="s">
        <v>88</v>
      </c>
      <c r="C2163" s="779"/>
      <c r="D2163" s="779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79" t="s">
        <v>88</v>
      </c>
      <c r="C2178" s="779"/>
      <c r="D2178" s="779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78" t="s">
        <v>88</v>
      </c>
      <c r="C2248" s="778"/>
      <c r="D2248" s="778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74" t="s">
        <v>88</v>
      </c>
      <c r="C2332" s="774"/>
      <c r="D2332" s="774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75" t="s">
        <v>89</v>
      </c>
      <c r="C2421" s="775"/>
      <c r="D2421" s="775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74" t="s">
        <v>89</v>
      </c>
      <c r="C2441" s="774"/>
      <c r="D2441" s="774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74" t="s">
        <v>89</v>
      </c>
      <c r="C2506" s="774"/>
      <c r="D2506" s="774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77" t="s">
        <v>90</v>
      </c>
      <c r="C2591" s="777"/>
      <c r="D2591" s="777"/>
      <c r="E2591" s="264"/>
    </row>
    <row r="2592" spans="1:5" ht="15" customHeight="1">
      <c r="A2592" s="3">
        <v>42731</v>
      </c>
      <c r="B2592" s="777"/>
      <c r="C2592" s="777"/>
      <c r="D2592" s="777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77" t="s">
        <v>90</v>
      </c>
      <c r="C2669" s="777"/>
      <c r="D2669" s="777"/>
    </row>
    <row r="2670" spans="1:6" ht="15" customHeight="1">
      <c r="A2670" s="3">
        <v>42842</v>
      </c>
      <c r="B2670" s="777"/>
      <c r="C2670" s="777"/>
      <c r="D2670" s="777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87" t="s">
        <v>90</v>
      </c>
      <c r="C2680" s="787"/>
      <c r="D2680" s="787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88" t="s">
        <v>90</v>
      </c>
      <c r="C2700" s="788"/>
      <c r="D2700" s="788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79" t="s">
        <v>91</v>
      </c>
      <c r="C2765" s="779"/>
      <c r="D2765" s="779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79" t="s">
        <v>91</v>
      </c>
      <c r="C2850" s="779"/>
      <c r="D2850" s="779"/>
    </row>
    <row r="2851" spans="1:6" ht="15" customHeight="1">
      <c r="A2851" s="3">
        <v>43095</v>
      </c>
      <c r="B2851" s="779"/>
      <c r="C2851" s="779"/>
      <c r="D2851" s="779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35" t="s">
        <v>92</v>
      </c>
      <c r="C2918" s="735"/>
      <c r="D2918" s="735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23" t="s">
        <v>92</v>
      </c>
      <c r="C2919" s="723"/>
      <c r="D2919" s="723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96" t="s">
        <v>92</v>
      </c>
      <c r="C2944" s="696"/>
      <c r="D2944" s="696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96" t="s">
        <v>92</v>
      </c>
      <c r="C2959" s="696"/>
      <c r="D2959" s="696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96" t="s">
        <v>92</v>
      </c>
      <c r="C3024" s="696"/>
      <c r="D3024" s="696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79" t="s">
        <v>93</v>
      </c>
      <c r="C3110" s="779"/>
      <c r="D3110" s="779"/>
      <c r="E3110" s="477"/>
      <c r="F3110" s="477"/>
    </row>
    <row r="3111" spans="1:9" ht="15" customHeight="1">
      <c r="A3111" s="3">
        <v>43460</v>
      </c>
      <c r="B3111" s="779"/>
      <c r="C3111" s="779"/>
      <c r="D3111" s="779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85" t="s">
        <v>51</v>
      </c>
      <c r="C3192" s="685"/>
      <c r="D3192" s="685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85"/>
      <c r="C3193" s="685"/>
      <c r="D3193" s="685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85" t="s">
        <v>51</v>
      </c>
      <c r="C3203" s="685"/>
      <c r="D3203" s="685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85" t="s">
        <v>51</v>
      </c>
      <c r="C3218" s="685"/>
      <c r="D3218" s="685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85" t="s">
        <v>51</v>
      </c>
      <c r="C3283" s="685"/>
      <c r="D3283" s="685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79" t="s">
        <v>93</v>
      </c>
      <c r="C3370" s="779"/>
      <c r="D3370" s="779"/>
    </row>
    <row r="3371" spans="1:6" ht="15" customHeight="1">
      <c r="A3371" s="3">
        <v>43825</v>
      </c>
      <c r="B3371" s="779"/>
      <c r="C3371" s="779"/>
      <c r="D3371" s="779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79" t="s">
        <v>61</v>
      </c>
      <c r="C3447" s="779"/>
      <c r="D3447" s="779"/>
    </row>
    <row r="3448" spans="1:6" ht="15" customHeight="1">
      <c r="A3448" s="409">
        <v>43934</v>
      </c>
      <c r="B3448" s="779"/>
      <c r="C3448" s="779"/>
      <c r="D3448" s="779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79" t="s">
        <v>61</v>
      </c>
      <c r="C3467" s="779"/>
      <c r="D3467" s="779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79" t="s">
        <v>61</v>
      </c>
      <c r="C3478" s="779"/>
      <c r="D3478" s="779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78" t="s">
        <v>61</v>
      </c>
      <c r="C3548" s="778"/>
      <c r="D3548" s="778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79" t="s">
        <v>61</v>
      </c>
      <c r="C3632" s="779"/>
      <c r="D3632" s="779"/>
    </row>
    <row r="3633" spans="1:6" ht="15" customHeight="1">
      <c r="A3633" s="3">
        <v>44193</v>
      </c>
      <c r="B3633" s="779"/>
      <c r="C3633" s="779"/>
      <c r="D3633" s="779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79" t="s">
        <v>61</v>
      </c>
      <c r="C3701" s="779"/>
      <c r="D3701" s="779"/>
      <c r="E3701" s="421"/>
      <c r="F3701" s="421"/>
    </row>
    <row r="3702" spans="1:7" ht="15" customHeight="1">
      <c r="A3702" s="3">
        <v>44291</v>
      </c>
      <c r="B3702" s="779"/>
      <c r="C3702" s="779"/>
      <c r="D3702" s="779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75" t="s">
        <v>61</v>
      </c>
      <c r="C3722" s="775"/>
      <c r="D3722" s="775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78" t="s">
        <v>61</v>
      </c>
      <c r="C3742" s="778"/>
      <c r="D3742" s="778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79" t="s">
        <v>61</v>
      </c>
      <c r="C3807" s="701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74" t="s">
        <v>61</v>
      </c>
      <c r="C3892" s="774"/>
      <c r="D3892" s="774"/>
    </row>
    <row r="3893" spans="1:6" ht="15" customHeight="1">
      <c r="A3893" s="3">
        <v>44558</v>
      </c>
      <c r="B3893" s="774"/>
      <c r="C3893" s="774"/>
      <c r="D3893" s="774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75" t="s">
        <v>61</v>
      </c>
      <c r="C3897" s="776"/>
      <c r="D3897" s="776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5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5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5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5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5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5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5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5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5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5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5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5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5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5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5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5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5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5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5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6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7">
        <v>13700</v>
      </c>
      <c r="C3938" s="527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5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5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5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5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5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5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5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5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5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5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5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5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5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5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5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5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5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5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5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5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6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5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5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5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5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5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5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5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5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5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5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5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5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5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5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5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5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5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5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5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8">
        <v>14300</v>
      </c>
      <c r="C3981" s="528">
        <v>14800</v>
      </c>
      <c r="D3981" s="526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75" t="s">
        <v>61</v>
      </c>
      <c r="C3982" s="775"/>
      <c r="D3982" s="775"/>
    </row>
    <row r="3983" spans="1:6" ht="15" customHeight="1">
      <c r="A3983" s="3">
        <v>44684</v>
      </c>
      <c r="B3983" s="410">
        <v>14300</v>
      </c>
      <c r="C3983" s="410">
        <v>14800</v>
      </c>
      <c r="D3983" s="525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5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5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5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5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5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5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5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5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5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5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5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5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5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5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5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5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5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5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5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6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5">
        <f t="shared" si="1094"/>
        <v>13000</v>
      </c>
    </row>
    <row r="4005" spans="1:6" ht="15" customHeight="1">
      <c r="A4005" s="3">
        <v>44714</v>
      </c>
      <c r="B4005" s="773" t="s">
        <v>23</v>
      </c>
      <c r="C4005" s="773"/>
      <c r="D4005" s="773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5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5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5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5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5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5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5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5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5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5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5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5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5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5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5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5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5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5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5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6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  <row r="4113" spans="1:6" ht="15" customHeight="1">
      <c r="A4113" s="409">
        <v>45049</v>
      </c>
      <c r="B4113" s="410">
        <v>11500</v>
      </c>
      <c r="C4113" s="410">
        <v>12100</v>
      </c>
      <c r="D4113" s="411">
        <v>11800</v>
      </c>
    </row>
    <row r="4114" spans="1:6" ht="15" customHeight="1">
      <c r="A4114" s="409">
        <v>45051</v>
      </c>
      <c r="B4114" s="410">
        <v>11500</v>
      </c>
      <c r="C4114" s="410">
        <v>12300</v>
      </c>
      <c r="D4114" s="411">
        <v>11900</v>
      </c>
    </row>
    <row r="4115" spans="1:6" ht="15" customHeight="1">
      <c r="A4115" s="409">
        <v>45056</v>
      </c>
      <c r="B4115" s="410">
        <v>11750</v>
      </c>
      <c r="C4115" s="410">
        <v>12300</v>
      </c>
      <c r="D4115" s="411">
        <v>12025</v>
      </c>
    </row>
    <row r="4116" spans="1:6" ht="15" customHeight="1">
      <c r="A4116" s="409">
        <v>45058</v>
      </c>
      <c r="B4116" s="410">
        <v>11750</v>
      </c>
      <c r="C4116" s="410">
        <v>12400</v>
      </c>
      <c r="D4116" s="411">
        <v>12075</v>
      </c>
    </row>
    <row r="4117" spans="1:6" ht="15" customHeight="1">
      <c r="A4117" s="409">
        <v>45063</v>
      </c>
      <c r="B4117" s="410">
        <v>11850</v>
      </c>
      <c r="C4117" s="410">
        <v>12400</v>
      </c>
      <c r="D4117" s="411">
        <v>12125</v>
      </c>
    </row>
    <row r="4118" spans="1:6" ht="15" customHeight="1">
      <c r="A4118" s="409">
        <v>45065</v>
      </c>
      <c r="B4118" s="410">
        <v>12000</v>
      </c>
      <c r="C4118" s="410">
        <v>12700</v>
      </c>
      <c r="D4118" s="411">
        <v>12350</v>
      </c>
    </row>
    <row r="4119" spans="1:6" ht="15" customHeight="1">
      <c r="A4119" s="409">
        <v>45070</v>
      </c>
      <c r="B4119" s="410">
        <v>12050</v>
      </c>
      <c r="C4119" s="410">
        <v>12700</v>
      </c>
      <c r="D4119" s="411">
        <v>12375</v>
      </c>
    </row>
    <row r="4120" spans="1:6" ht="15" customHeight="1">
      <c r="A4120" s="409">
        <v>45072</v>
      </c>
      <c r="B4120" s="410">
        <v>12000</v>
      </c>
      <c r="C4120" s="410">
        <v>12700</v>
      </c>
      <c r="D4120" s="411">
        <v>12350</v>
      </c>
    </row>
    <row r="4121" spans="1:6" ht="15" customHeight="1" thickBot="1">
      <c r="A4121" s="409">
        <v>45077</v>
      </c>
      <c r="B4121" s="410">
        <v>12000</v>
      </c>
      <c r="C4121" s="410">
        <v>12700</v>
      </c>
      <c r="D4121" s="411">
        <v>12350</v>
      </c>
      <c r="E4121" s="434">
        <f>AVERAGE(D4113:D4121)</f>
        <v>12150</v>
      </c>
      <c r="F4121" s="434">
        <f>AVERAGE($D$4079:D4121)</f>
        <v>12131.220930232557</v>
      </c>
    </row>
    <row r="4122" spans="1:6" ht="15" customHeight="1">
      <c r="A4122" s="436"/>
      <c r="B4122" s="437"/>
      <c r="C4122" s="437"/>
      <c r="D4122" s="489"/>
      <c r="E4122" s="438"/>
      <c r="F4122" s="438"/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89" t="s">
        <v>99</v>
      </c>
      <c r="B1" s="789"/>
      <c r="C1" s="789"/>
      <c r="D1" s="789"/>
      <c r="E1" s="789"/>
      <c r="F1" s="789"/>
      <c r="G1" s="789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90" t="s">
        <v>103</v>
      </c>
      <c r="K38" s="791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92"/>
      <c r="K39" s="793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="115" zoomScaleNormal="115" workbookViewId="0">
      <pane ySplit="2" topLeftCell="A2964" activePane="bottomLeft" state="frozen"/>
      <selection pane="bottomLeft" activeCell="G2985" sqref="G2985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731" t="s">
        <v>0</v>
      </c>
      <c r="B1" s="5" t="s">
        <v>95</v>
      </c>
      <c r="C1" s="822" t="s">
        <v>110</v>
      </c>
      <c r="D1" s="824" t="s">
        <v>5</v>
      </c>
      <c r="E1" s="824" t="s">
        <v>6</v>
      </c>
      <c r="F1" s="826" t="s">
        <v>111</v>
      </c>
      <c r="G1" s="736" t="s">
        <v>7</v>
      </c>
      <c r="H1" s="736" t="s">
        <v>8</v>
      </c>
      <c r="I1" s="300" t="s">
        <v>9</v>
      </c>
    </row>
    <row r="2" spans="1:11" s="80" customFormat="1" ht="15" customHeight="1" thickBot="1">
      <c r="A2" s="732"/>
      <c r="B2" s="13" t="s">
        <v>15</v>
      </c>
      <c r="C2" s="823"/>
      <c r="D2" s="825"/>
      <c r="E2" s="825"/>
      <c r="F2" s="827"/>
      <c r="G2" s="833"/>
      <c r="H2" s="833"/>
      <c r="I2" s="322" t="s">
        <v>4</v>
      </c>
    </row>
    <row r="3" spans="1:11" s="80" customFormat="1" ht="15" customHeight="1">
      <c r="A3" s="3">
        <v>40910</v>
      </c>
      <c r="B3" s="794" t="s">
        <v>112</v>
      </c>
      <c r="C3" s="794"/>
      <c r="D3" s="794"/>
      <c r="E3" s="794"/>
      <c r="F3" s="794"/>
      <c r="G3" s="84"/>
      <c r="I3" s="831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32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32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32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32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32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32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31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32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32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88" t="s">
        <v>112</v>
      </c>
      <c r="C72" s="788"/>
      <c r="D72" s="788"/>
      <c r="E72" s="788"/>
      <c r="F72" s="788"/>
      <c r="G72" s="84"/>
      <c r="H72" s="84"/>
      <c r="I72" s="301">
        <v>170000</v>
      </c>
    </row>
    <row r="73" spans="1:9" ht="15" customHeight="1">
      <c r="A73" s="3">
        <v>41008</v>
      </c>
      <c r="B73" s="788"/>
      <c r="C73" s="788"/>
      <c r="D73" s="788"/>
      <c r="E73" s="788"/>
      <c r="F73" s="788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94" t="s">
        <v>112</v>
      </c>
      <c r="C93" s="794"/>
      <c r="D93" s="794"/>
      <c r="E93" s="794"/>
      <c r="F93" s="794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88" t="s">
        <v>112</v>
      </c>
      <c r="C113" s="788"/>
      <c r="D113" s="788"/>
      <c r="E113" s="788"/>
      <c r="F113" s="788"/>
      <c r="G113" s="84"/>
      <c r="H113" s="84"/>
      <c r="I113" s="301">
        <v>154250</v>
      </c>
    </row>
    <row r="114" spans="1:9" ht="15" customHeight="1">
      <c r="A114" s="3">
        <v>41065</v>
      </c>
      <c r="B114" s="788"/>
      <c r="C114" s="788"/>
      <c r="D114" s="788"/>
      <c r="E114" s="788"/>
      <c r="F114" s="788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94" t="s">
        <v>112</v>
      </c>
      <c r="C173" s="794"/>
      <c r="D173" s="794"/>
      <c r="E173" s="794"/>
      <c r="F173" s="794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31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32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32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32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32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94" t="s">
        <v>38</v>
      </c>
      <c r="C259" s="794"/>
      <c r="D259" s="794"/>
      <c r="E259" s="794"/>
      <c r="F259" s="794"/>
      <c r="G259" s="129"/>
      <c r="H259" s="129"/>
      <c r="I259" s="301">
        <v>151250</v>
      </c>
    </row>
    <row r="260" spans="1:9" ht="15" customHeight="1">
      <c r="A260" s="3">
        <v>41269</v>
      </c>
      <c r="B260" s="794" t="s">
        <v>38</v>
      </c>
      <c r="C260" s="794"/>
      <c r="D260" s="794"/>
      <c r="E260" s="794"/>
      <c r="F260" s="794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28" t="s">
        <v>38</v>
      </c>
      <c r="C264" s="828"/>
      <c r="D264" s="828"/>
      <c r="E264" s="828"/>
      <c r="F264" s="828"/>
      <c r="I264" s="829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30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30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21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21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21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21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21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03" t="s">
        <v>38</v>
      </c>
      <c r="C327" s="803"/>
      <c r="D327" s="803"/>
      <c r="E327" s="803"/>
      <c r="F327" s="803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94" t="s">
        <v>38</v>
      </c>
      <c r="C328" s="794"/>
      <c r="D328" s="794"/>
      <c r="E328" s="794"/>
      <c r="F328" s="794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21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21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16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17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94" t="s">
        <v>38</v>
      </c>
      <c r="C353" s="794"/>
      <c r="D353" s="794"/>
      <c r="E353" s="794"/>
      <c r="F353" s="794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94" t="s">
        <v>38</v>
      </c>
      <c r="C368" s="794"/>
      <c r="D368" s="794"/>
      <c r="E368" s="794"/>
      <c r="F368" s="794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32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32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32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94" t="s">
        <v>38</v>
      </c>
      <c r="C433" s="794"/>
      <c r="D433" s="794"/>
      <c r="E433" s="794"/>
      <c r="F433" s="794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35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35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31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32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32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32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32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94" t="s">
        <v>38</v>
      </c>
      <c r="C520" s="794"/>
      <c r="D520" s="794"/>
      <c r="E520" s="794"/>
      <c r="F520" s="794"/>
      <c r="I520" s="316">
        <v>142250</v>
      </c>
    </row>
    <row r="521" spans="1:9" ht="15" customHeight="1">
      <c r="A521" s="3">
        <v>41634</v>
      </c>
      <c r="B521" s="794" t="s">
        <v>38</v>
      </c>
      <c r="C521" s="794"/>
      <c r="D521" s="794"/>
      <c r="E521" s="794"/>
      <c r="F521" s="794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18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05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05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05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37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37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34" t="s">
        <v>45</v>
      </c>
      <c r="D692" s="834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06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07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07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07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07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07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77" t="s">
        <v>48</v>
      </c>
      <c r="C780" s="777"/>
      <c r="D780" s="777"/>
      <c r="E780" s="777"/>
      <c r="F780" s="777"/>
      <c r="I780" s="316">
        <v>124750</v>
      </c>
    </row>
    <row r="781" spans="1:9" ht="15" customHeight="1">
      <c r="A781" s="3">
        <v>41999</v>
      </c>
      <c r="B781" s="777"/>
      <c r="C781" s="777"/>
      <c r="D781" s="777"/>
      <c r="E781" s="777"/>
      <c r="F781" s="777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09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09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09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09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09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77" t="s">
        <v>48</v>
      </c>
      <c r="C850" s="777"/>
      <c r="D850" s="777"/>
      <c r="E850" s="777"/>
      <c r="F850" s="777"/>
      <c r="I850" s="316">
        <v>118750</v>
      </c>
    </row>
    <row r="851" spans="1:9" ht="15" customHeight="1">
      <c r="A851" s="3">
        <v>42100</v>
      </c>
      <c r="B851" s="777"/>
      <c r="C851" s="777"/>
      <c r="D851" s="777"/>
      <c r="E851" s="777"/>
      <c r="F851" s="777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28" t="s">
        <v>48</v>
      </c>
      <c r="C871" s="828"/>
      <c r="D871" s="828"/>
      <c r="E871" s="828"/>
      <c r="F871" s="828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39" t="s">
        <v>55</v>
      </c>
      <c r="C886" s="839"/>
      <c r="D886" s="839"/>
      <c r="E886" s="839"/>
      <c r="F886" s="839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38" t="s">
        <v>55</v>
      </c>
      <c r="C956" s="838"/>
      <c r="D956" s="838"/>
      <c r="E956" s="838"/>
      <c r="F956" s="838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05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05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03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03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02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03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03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03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03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03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05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05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05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28" t="s">
        <v>48</v>
      </c>
      <c r="C1040" s="828"/>
      <c r="D1040" s="828"/>
      <c r="E1040" s="828"/>
      <c r="F1040" s="828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06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06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06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06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06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06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77" t="s">
        <v>118</v>
      </c>
      <c r="C1103" s="777"/>
      <c r="D1103" s="777"/>
      <c r="E1103" s="777"/>
      <c r="F1103" s="777"/>
      <c r="I1103" s="316">
        <v>111500</v>
      </c>
    </row>
    <row r="1104" spans="1:9" ht="15" customHeight="1">
      <c r="A1104" s="3">
        <v>42457</v>
      </c>
      <c r="B1104" s="777"/>
      <c r="C1104" s="777"/>
      <c r="D1104" s="777"/>
      <c r="E1104" s="777"/>
      <c r="F1104" s="777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96" t="s">
        <v>118</v>
      </c>
      <c r="C1129" s="796"/>
      <c r="D1129" s="796"/>
      <c r="E1129" s="796"/>
      <c r="F1129" s="796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94" t="s">
        <v>118</v>
      </c>
      <c r="C1149" s="794"/>
      <c r="D1149" s="794"/>
      <c r="E1149" s="794"/>
      <c r="F1149" s="794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05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05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94" t="s">
        <v>118</v>
      </c>
      <c r="C1214" s="794"/>
      <c r="D1214" s="794"/>
      <c r="E1214" s="794"/>
      <c r="F1214" s="794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16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16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20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09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09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09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09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88" t="s">
        <v>118</v>
      </c>
      <c r="C1299" s="788"/>
      <c r="D1299" s="788"/>
      <c r="E1299" s="788"/>
      <c r="F1299" s="788"/>
      <c r="I1299" s="316">
        <v>147000</v>
      </c>
    </row>
    <row r="1300" spans="1:9" ht="15" customHeight="1">
      <c r="A1300" s="3">
        <v>42731</v>
      </c>
      <c r="B1300" s="788"/>
      <c r="C1300" s="788"/>
      <c r="D1300" s="788"/>
      <c r="E1300" s="788"/>
      <c r="F1300" s="788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09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09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19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14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15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08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09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88" t="s">
        <v>118</v>
      </c>
      <c r="C1377" s="788"/>
      <c r="D1377" s="788"/>
      <c r="E1377" s="788"/>
      <c r="F1377" s="788"/>
      <c r="I1377" s="316"/>
    </row>
    <row r="1378" spans="1:9" ht="15" customHeight="1">
      <c r="A1378" s="3">
        <v>42842</v>
      </c>
      <c r="B1378" s="788"/>
      <c r="C1378" s="788"/>
      <c r="D1378" s="788"/>
      <c r="E1378" s="788"/>
      <c r="F1378" s="788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87" t="s">
        <v>118</v>
      </c>
      <c r="C1388" s="787"/>
      <c r="D1388" s="787"/>
      <c r="E1388" s="787"/>
      <c r="F1388" s="787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88" t="s">
        <v>118</v>
      </c>
      <c r="C1408" s="788"/>
      <c r="D1408" s="788"/>
      <c r="E1408" s="788"/>
      <c r="F1408" s="788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94" t="s">
        <v>118</v>
      </c>
      <c r="C1473" s="794"/>
      <c r="D1473" s="794"/>
      <c r="E1473" s="794"/>
      <c r="F1473" s="794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88" t="s">
        <v>118</v>
      </c>
      <c r="C1558" s="788"/>
      <c r="D1558" s="788"/>
      <c r="E1558" s="788"/>
      <c r="F1558" s="788"/>
      <c r="G1558" s="788"/>
      <c r="H1558" s="800"/>
      <c r="I1558" s="316"/>
    </row>
    <row r="1559" spans="1:9" ht="15" customHeight="1">
      <c r="A1559" s="3">
        <v>43095</v>
      </c>
      <c r="B1559" s="788"/>
      <c r="C1559" s="788"/>
      <c r="D1559" s="788"/>
      <c r="E1559" s="788"/>
      <c r="F1559" s="788"/>
      <c r="G1559" s="788"/>
      <c r="H1559" s="800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05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05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05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05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05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13" t="s">
        <v>119</v>
      </c>
      <c r="C1626" s="813"/>
      <c r="D1626" s="813"/>
      <c r="E1626" s="813"/>
      <c r="F1626" s="813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12" t="s">
        <v>119</v>
      </c>
      <c r="C1627" s="812"/>
      <c r="D1627" s="812"/>
      <c r="E1627" s="812"/>
      <c r="F1627" s="812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10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10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99" t="s">
        <v>119</v>
      </c>
      <c r="C1652" s="799"/>
      <c r="D1652" s="799"/>
      <c r="E1652" s="799"/>
      <c r="F1652" s="799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99" t="s">
        <v>119</v>
      </c>
      <c r="C1667" s="799"/>
      <c r="D1667" s="799"/>
      <c r="E1667" s="799"/>
      <c r="F1667" s="799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99" t="s">
        <v>119</v>
      </c>
      <c r="C1732" s="799"/>
      <c r="D1732" s="799"/>
      <c r="E1732" s="799"/>
      <c r="F1732" s="799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88" t="s">
        <v>118</v>
      </c>
      <c r="C1818" s="788"/>
      <c r="D1818" s="788"/>
      <c r="E1818" s="788"/>
      <c r="F1818" s="788"/>
      <c r="G1818" s="788"/>
      <c r="H1818" s="800"/>
      <c r="I1818" s="316">
        <v>144250</v>
      </c>
    </row>
    <row r="1819" spans="1:9" ht="15" customHeight="1">
      <c r="A1819" s="3">
        <v>43460</v>
      </c>
      <c r="B1819" s="788"/>
      <c r="C1819" s="788"/>
      <c r="D1819" s="788"/>
      <c r="E1819" s="788"/>
      <c r="F1819" s="788"/>
      <c r="G1819" s="788"/>
      <c r="H1819" s="800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85" t="s">
        <v>51</v>
      </c>
      <c r="C1900" s="685"/>
      <c r="D1900" s="685"/>
      <c r="E1900" s="685"/>
      <c r="F1900" s="685"/>
      <c r="G1900" s="685"/>
      <c r="H1900" s="685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85"/>
      <c r="C1901" s="685"/>
      <c r="D1901" s="685"/>
      <c r="E1901" s="685"/>
      <c r="F1901" s="685"/>
      <c r="G1901" s="685"/>
      <c r="H1901" s="685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85" t="s">
        <v>51</v>
      </c>
      <c r="C1911" s="685"/>
      <c r="D1911" s="685"/>
      <c r="E1911" s="685"/>
      <c r="F1911" s="685"/>
      <c r="G1911" s="685"/>
      <c r="H1911" s="685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85" t="s">
        <v>51</v>
      </c>
      <c r="C1926" s="685"/>
      <c r="D1926" s="685"/>
      <c r="E1926" s="685"/>
      <c r="F1926" s="685"/>
      <c r="G1926" s="685"/>
      <c r="H1926" s="685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85" t="s">
        <v>51</v>
      </c>
      <c r="C1991" s="685"/>
      <c r="D1991" s="685"/>
      <c r="E1991" s="685"/>
      <c r="F1991" s="685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88" t="s">
        <v>118</v>
      </c>
      <c r="C2078" s="788"/>
      <c r="D2078" s="788"/>
      <c r="E2078" s="788"/>
      <c r="F2078" s="788"/>
      <c r="G2078" s="788"/>
      <c r="H2078" s="800"/>
      <c r="I2078" s="316">
        <v>142500</v>
      </c>
    </row>
    <row r="2079" spans="1:9" ht="15" customHeight="1">
      <c r="A2079" s="3">
        <v>43825</v>
      </c>
      <c r="B2079" s="788"/>
      <c r="C2079" s="788"/>
      <c r="D2079" s="788"/>
      <c r="E2079" s="788"/>
      <c r="F2079" s="788"/>
      <c r="G2079" s="788"/>
      <c r="H2079" s="800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98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98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98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98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98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98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11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88" t="s">
        <v>61</v>
      </c>
      <c r="C2154" s="788"/>
      <c r="D2154" s="788"/>
      <c r="E2154" s="788"/>
      <c r="F2154" s="788"/>
      <c r="I2154" s="316">
        <v>129500</v>
      </c>
    </row>
    <row r="2155" spans="1:9" ht="15" customHeight="1">
      <c r="A2155" s="3">
        <v>43934</v>
      </c>
      <c r="B2155" s="788"/>
      <c r="C2155" s="788"/>
      <c r="D2155" s="788"/>
      <c r="E2155" s="788"/>
      <c r="F2155" s="788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97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98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98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88" t="s">
        <v>61</v>
      </c>
      <c r="C2174" s="788"/>
      <c r="D2174" s="788"/>
      <c r="E2174" s="788"/>
      <c r="F2174" s="788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94" t="s">
        <v>61</v>
      </c>
      <c r="C2185" s="794"/>
      <c r="D2185" s="794"/>
      <c r="E2185" s="794"/>
      <c r="F2185" s="794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03" t="s">
        <v>61</v>
      </c>
      <c r="C2255" s="803"/>
      <c r="D2255" s="803"/>
      <c r="E2255" s="803"/>
      <c r="F2255" s="803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97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98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98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98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98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98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88" t="s">
        <v>61</v>
      </c>
      <c r="C2339" s="788"/>
      <c r="D2339" s="788"/>
      <c r="E2339" s="788"/>
      <c r="F2339" s="788"/>
      <c r="I2339" s="316"/>
    </row>
    <row r="2340" spans="1:9" ht="15" customHeight="1">
      <c r="A2340" s="3">
        <v>44193</v>
      </c>
      <c r="B2340" s="788"/>
      <c r="C2340" s="788"/>
      <c r="D2340" s="788"/>
      <c r="E2340" s="788"/>
      <c r="F2340" s="788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98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98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98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98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98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88" t="s">
        <v>61</v>
      </c>
      <c r="C2408" s="788"/>
      <c r="D2408" s="788"/>
      <c r="E2408" s="137"/>
      <c r="I2408" s="316">
        <v>179150</v>
      </c>
    </row>
    <row r="2409" spans="1:9" ht="15" customHeight="1">
      <c r="A2409" s="3">
        <v>44291</v>
      </c>
      <c r="B2409" s="788"/>
      <c r="C2409" s="788"/>
      <c r="D2409" s="788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04" t="s">
        <v>60</v>
      </c>
      <c r="C2429" s="804"/>
      <c r="D2429" s="804"/>
      <c r="E2429" s="508"/>
      <c r="F2429" s="508"/>
      <c r="I2429" s="801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02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02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03" t="s">
        <v>60</v>
      </c>
      <c r="C2449" s="803"/>
      <c r="D2449" s="803"/>
      <c r="E2449" s="803"/>
      <c r="F2449" s="803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94" t="s">
        <v>61</v>
      </c>
      <c r="C2514" s="689"/>
      <c r="D2514" s="689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79" t="s">
        <v>60</v>
      </c>
      <c r="C2599" s="701"/>
      <c r="D2599" s="701"/>
      <c r="E2599" s="137"/>
      <c r="F2599" s="172"/>
      <c r="I2599" s="316">
        <v>297250</v>
      </c>
    </row>
    <row r="2600" spans="1:9" ht="15" customHeight="1">
      <c r="A2600" s="3">
        <v>44558</v>
      </c>
      <c r="B2600" s="695"/>
      <c r="C2600" s="695"/>
      <c r="D2600" s="695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96" t="s">
        <v>61</v>
      </c>
      <c r="C2604" s="690"/>
      <c r="D2604" s="690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79" t="s">
        <v>60</v>
      </c>
      <c r="C2678" s="701"/>
      <c r="D2678" s="701"/>
      <c r="E2678" s="137"/>
      <c r="I2678" s="316">
        <v>344000</v>
      </c>
    </row>
    <row r="2679" spans="1:9" ht="15" customHeight="1">
      <c r="A2679" s="3">
        <v>44669</v>
      </c>
      <c r="B2679" s="695"/>
      <c r="C2679" s="695"/>
      <c r="D2679" s="695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96" t="s">
        <v>61</v>
      </c>
      <c r="C2689" s="796"/>
      <c r="D2689" s="796"/>
      <c r="E2689" s="508"/>
      <c r="F2689" s="508"/>
      <c r="G2689" s="356"/>
      <c r="H2689" s="362"/>
      <c r="I2689" s="797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98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98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0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88" t="s">
        <v>61</v>
      </c>
      <c r="C2712" s="788"/>
      <c r="D2712" s="788"/>
      <c r="E2712" s="788"/>
      <c r="F2712" s="788"/>
      <c r="G2712" s="530"/>
      <c r="H2712" s="531"/>
      <c r="I2712" s="316">
        <v>271000</v>
      </c>
    </row>
    <row r="2713" spans="1:9" ht="15" customHeight="1">
      <c r="A2713" s="3">
        <v>44715</v>
      </c>
      <c r="B2713" s="788"/>
      <c r="C2713" s="788"/>
      <c r="D2713" s="788"/>
      <c r="E2713" s="788"/>
      <c r="F2713" s="788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94" t="s">
        <v>61</v>
      </c>
      <c r="C2774" s="794"/>
      <c r="D2774" s="794"/>
      <c r="E2774" s="794"/>
      <c r="F2774" s="794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0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97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98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98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98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98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0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5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36" t="s">
        <v>61</v>
      </c>
      <c r="C2859" s="836"/>
      <c r="D2859" s="836"/>
      <c r="E2859" s="836"/>
      <c r="F2859" s="836"/>
      <c r="G2859" s="276"/>
      <c r="H2859" s="472"/>
      <c r="I2859" s="316">
        <v>196750</v>
      </c>
    </row>
    <row r="2860" spans="1:10" ht="15" customHeight="1">
      <c r="A2860" s="357">
        <v>44922</v>
      </c>
      <c r="B2860" s="836"/>
      <c r="C2860" s="836"/>
      <c r="D2860" s="836"/>
      <c r="E2860" s="836"/>
      <c r="F2860" s="836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96" t="s">
        <v>61</v>
      </c>
      <c r="C2864" s="796"/>
      <c r="D2864" s="796"/>
      <c r="E2864" s="796"/>
      <c r="F2864" s="796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6">
        <v>208000</v>
      </c>
      <c r="J2865" s="547"/>
    </row>
    <row r="2866" spans="1:10" ht="15" customHeight="1">
      <c r="A2866" s="550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6">
        <v>209500</v>
      </c>
      <c r="J2866" s="547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98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98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8"/>
      <c r="H2881" s="276"/>
      <c r="I2881" s="798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8"/>
      <c r="H2882" s="276"/>
      <c r="I2882" s="798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8"/>
      <c r="H2883" s="276"/>
      <c r="I2883" s="798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8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8">
        <f>AVERAGE($C$2865:C2885)</f>
        <v>28080.714285714286</v>
      </c>
      <c r="H2885" s="549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39"/>
      <c r="H2886" s="540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8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8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8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4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8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8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8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8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8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4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39"/>
      <c r="H2929" s="540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8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8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94"/>
      <c r="C2933" s="794"/>
      <c r="D2933" s="794"/>
      <c r="E2933" s="794"/>
      <c r="F2933" s="794"/>
      <c r="I2933" s="316">
        <v>195750</v>
      </c>
    </row>
    <row r="2934" spans="1:9" ht="15" customHeight="1">
      <c r="A2934" s="357">
        <v>45026</v>
      </c>
      <c r="B2934" s="794"/>
      <c r="C2934" s="794"/>
      <c r="D2934" s="794"/>
      <c r="E2934" s="794"/>
      <c r="F2934" s="794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0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8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8"/>
      <c r="H2944" s="566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3">
        <v>26150</v>
      </c>
      <c r="E2945" s="137">
        <f t="shared" ref="E2945" si="1080">D2945-C2945</f>
        <v>-120</v>
      </c>
      <c r="F2945" s="564">
        <f t="shared" ref="F2945" si="1081">C2945-C2944</f>
        <v>-680</v>
      </c>
      <c r="G2945" s="538"/>
      <c r="H2945" s="566"/>
      <c r="I2945" s="562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0">
        <v>25600</v>
      </c>
      <c r="E2946" s="137">
        <f t="shared" ref="E2946" si="1082">D2946-C2946</f>
        <v>-10</v>
      </c>
      <c r="F2946" s="571">
        <f t="shared" ref="F2946" si="1083">C2946-C2945</f>
        <v>-660</v>
      </c>
      <c r="G2946" s="538"/>
      <c r="H2946" s="566"/>
      <c r="I2946" s="569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6">
        <v>25800</v>
      </c>
      <c r="E2947" s="137">
        <f t="shared" ref="E2947:E2948" si="1084">D2947-C2947</f>
        <v>-150</v>
      </c>
      <c r="F2947" s="575">
        <f t="shared" ref="F2947:F2948" si="1085">C2947-C2946</f>
        <v>340</v>
      </c>
      <c r="I2947" s="574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0">
        <v>26100</v>
      </c>
      <c r="E2948" s="138">
        <f t="shared" si="1084"/>
        <v>-250</v>
      </c>
      <c r="F2948" s="176">
        <f t="shared" si="1085"/>
        <v>400</v>
      </c>
      <c r="G2948" s="554">
        <f>AVERAGE($C2929:C$2948)</f>
        <v>25886.111111111109</v>
      </c>
      <c r="H2948" s="274">
        <f>AVERAGE($C$2865:C2948)</f>
        <v>26211.768292682926</v>
      </c>
      <c r="I2948" s="581">
        <v>209500</v>
      </c>
    </row>
    <row r="2949" spans="1:9" ht="15" customHeight="1">
      <c r="A2949" s="357">
        <v>45047</v>
      </c>
      <c r="B2949" s="794"/>
      <c r="C2949" s="794"/>
      <c r="D2949" s="794"/>
      <c r="E2949" s="794"/>
      <c r="F2949" s="794"/>
      <c r="I2949" s="798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2">
        <f t="shared" ref="E2950:E2951" si="1086">D2950-C2950</f>
        <v>-400</v>
      </c>
      <c r="F2950" s="583">
        <f>C2950-C2948</f>
        <v>450</v>
      </c>
      <c r="I2950" s="798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2">
        <f t="shared" si="1086"/>
        <v>-250</v>
      </c>
      <c r="F2951" s="583">
        <f t="shared" ref="F2951" si="1087">C2951-C2950</f>
        <v>325</v>
      </c>
      <c r="I2951" s="798"/>
    </row>
    <row r="2952" spans="1:9" ht="15" customHeight="1">
      <c r="A2952" s="357">
        <v>45050</v>
      </c>
      <c r="B2952" s="81">
        <v>1560</v>
      </c>
      <c r="C2952" s="173">
        <v>27000</v>
      </c>
      <c r="D2952" s="589">
        <v>26675</v>
      </c>
      <c r="E2952" s="582">
        <f t="shared" ref="E2952:E2953" si="1088">D2952-C2952</f>
        <v>-325</v>
      </c>
      <c r="F2952" s="583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89">
        <v>25975</v>
      </c>
      <c r="E2953" s="582">
        <f t="shared" si="1088"/>
        <v>-325</v>
      </c>
      <c r="F2953" s="583">
        <f t="shared" si="1089"/>
        <v>-700</v>
      </c>
      <c r="G2953" s="538"/>
      <c r="H2953" s="565"/>
      <c r="I2953" s="316">
        <v>205250</v>
      </c>
    </row>
    <row r="2954" spans="1:9" ht="15" customHeight="1">
      <c r="A2954" s="357">
        <v>45054</v>
      </c>
      <c r="B2954" s="795"/>
      <c r="C2954" s="795"/>
      <c r="D2954" s="795"/>
      <c r="E2954" s="795"/>
      <c r="F2954" s="795"/>
      <c r="G2954" s="538"/>
      <c r="H2954" s="565"/>
      <c r="I2954" s="591">
        <v>207750</v>
      </c>
    </row>
    <row r="2955" spans="1:9" ht="15" customHeight="1">
      <c r="A2955" s="357">
        <v>45055</v>
      </c>
      <c r="B2955" s="81">
        <v>1610</v>
      </c>
      <c r="C2955" s="595">
        <v>26325</v>
      </c>
      <c r="D2955" s="596">
        <v>26050</v>
      </c>
      <c r="E2955" s="582">
        <f t="shared" ref="E2955" si="1090">D2955-C2955</f>
        <v>-275</v>
      </c>
      <c r="F2955" s="583">
        <f>C2955-C2953</f>
        <v>25</v>
      </c>
      <c r="G2955" s="538"/>
      <c r="H2955" s="565"/>
      <c r="I2955" s="594">
        <v>209750</v>
      </c>
    </row>
    <row r="2956" spans="1:9" ht="15" customHeight="1">
      <c r="A2956" s="357">
        <v>45056</v>
      </c>
      <c r="B2956" s="81">
        <v>1610</v>
      </c>
      <c r="C2956" s="595">
        <v>26010</v>
      </c>
      <c r="D2956" s="596">
        <v>25950</v>
      </c>
      <c r="E2956" s="582">
        <f t="shared" ref="E2956" si="1091">D2956-C2956</f>
        <v>-60</v>
      </c>
      <c r="F2956" s="583">
        <f t="shared" ref="F2956" si="1092">C2956-C2955</f>
        <v>-315</v>
      </c>
      <c r="G2956" s="538"/>
      <c r="H2956" s="565"/>
      <c r="I2956" s="599">
        <v>207500</v>
      </c>
    </row>
    <row r="2957" spans="1:9" ht="15" customHeight="1">
      <c r="A2957" s="357">
        <v>45057</v>
      </c>
      <c r="B2957" s="81">
        <v>1635</v>
      </c>
      <c r="C2957" s="595">
        <v>26075</v>
      </c>
      <c r="D2957" s="596">
        <v>25850</v>
      </c>
      <c r="E2957" s="582">
        <f t="shared" ref="E2957:E2962" si="1093">D2957-C2957</f>
        <v>-225</v>
      </c>
      <c r="F2957" s="583">
        <f t="shared" ref="F2957:F2962" si="1094">C2957-C2956</f>
        <v>65</v>
      </c>
      <c r="I2957" s="602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3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3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3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3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3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5">
        <v>25225</v>
      </c>
      <c r="E2963" s="137">
        <f t="shared" ref="E2963" si="1095">D2963-C2963</f>
        <v>-325</v>
      </c>
      <c r="F2963" s="583">
        <f t="shared" ref="F2963" si="1096">C2963-C2962</f>
        <v>145</v>
      </c>
      <c r="I2963" s="614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8">
        <v>25075</v>
      </c>
      <c r="E2964" s="137">
        <f t="shared" ref="E2964" si="1097">D2964-C2964</f>
        <v>-75</v>
      </c>
      <c r="F2964" s="583">
        <f t="shared" ref="F2964" si="1098">C2964-C2963</f>
        <v>-400</v>
      </c>
      <c r="I2964" s="619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2">
        <v>24125</v>
      </c>
      <c r="E2965" s="137">
        <f t="shared" ref="E2965" si="1099">D2965-C2965</f>
        <v>-175</v>
      </c>
      <c r="F2965" s="583">
        <f t="shared" ref="F2965" si="1100">C2965-C2964</f>
        <v>-850</v>
      </c>
      <c r="I2965" s="623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7">
        <v>24275</v>
      </c>
      <c r="E2966" s="137">
        <f t="shared" ref="E2966" si="1101">D2966-C2966</f>
        <v>-275</v>
      </c>
      <c r="F2966" s="583">
        <f t="shared" ref="F2966" si="1102">C2966-C2965</f>
        <v>250</v>
      </c>
      <c r="I2966" s="626">
        <v>195500</v>
      </c>
    </row>
    <row r="2967" spans="1:9" ht="15" customHeight="1">
      <c r="A2967" s="357">
        <v>45071</v>
      </c>
      <c r="B2967" s="81">
        <v>1890</v>
      </c>
      <c r="C2967" s="173">
        <v>24725</v>
      </c>
      <c r="D2967" s="630">
        <v>24450</v>
      </c>
      <c r="E2967" s="137">
        <f t="shared" ref="E2967:E2968" si="1103">D2967-C2967</f>
        <v>-275</v>
      </c>
      <c r="F2967" s="583">
        <f t="shared" ref="F2967:F2968" si="1104">C2967-C2966</f>
        <v>175</v>
      </c>
      <c r="I2967" s="631">
        <v>199500</v>
      </c>
    </row>
    <row r="2968" spans="1:9" ht="15" customHeight="1">
      <c r="A2968" s="357">
        <v>45072</v>
      </c>
      <c r="B2968" s="81">
        <v>1925</v>
      </c>
      <c r="C2968" s="173">
        <v>25000</v>
      </c>
      <c r="D2968" s="248">
        <v>24750</v>
      </c>
      <c r="E2968" s="137">
        <f t="shared" si="1103"/>
        <v>-250</v>
      </c>
      <c r="F2968" s="583">
        <f t="shared" si="1104"/>
        <v>275</v>
      </c>
      <c r="G2968" s="538"/>
      <c r="H2968" s="565"/>
      <c r="I2968" s="316">
        <v>199000</v>
      </c>
    </row>
    <row r="2969" spans="1:9" ht="15" customHeight="1">
      <c r="A2969" s="357">
        <v>45075</v>
      </c>
      <c r="B2969" s="794"/>
      <c r="C2969" s="794"/>
      <c r="D2969" s="794"/>
      <c r="E2969" s="794"/>
      <c r="F2969" s="794"/>
      <c r="I2969" s="316">
        <v>202750</v>
      </c>
    </row>
    <row r="2970" spans="1:9" ht="15" customHeight="1">
      <c r="A2970" s="357">
        <v>45076</v>
      </c>
      <c r="B2970" s="81">
        <v>1925</v>
      </c>
      <c r="C2970" s="173">
        <v>25705</v>
      </c>
      <c r="D2970" s="636">
        <v>25350</v>
      </c>
      <c r="E2970" s="137">
        <f t="shared" ref="E2970" si="1105">D2970-C2970</f>
        <v>-355</v>
      </c>
      <c r="F2970" s="583">
        <f t="shared" ref="F2970" si="1106">C2970-C2969</f>
        <v>25705</v>
      </c>
      <c r="G2970" s="538"/>
      <c r="H2970" s="565"/>
      <c r="I2970" s="637">
        <v>210500</v>
      </c>
    </row>
    <row r="2971" spans="1:9" ht="15" customHeight="1" thickBot="1">
      <c r="A2971" s="358">
        <v>45077</v>
      </c>
      <c r="B2971" s="85">
        <v>1895</v>
      </c>
      <c r="C2971" s="174">
        <v>25375</v>
      </c>
      <c r="D2971" s="650">
        <v>25210</v>
      </c>
      <c r="E2971" s="138">
        <f t="shared" ref="E2971" si="1107">D2971-C2971</f>
        <v>-165</v>
      </c>
      <c r="F2971" s="176">
        <f t="shared" ref="F2971" si="1108">C2971-C2970</f>
        <v>-330</v>
      </c>
      <c r="G2971" s="554">
        <f>AVERAGE($C$2949:C2971)</f>
        <v>25609.75</v>
      </c>
      <c r="H2971" s="274">
        <f>AVERAGE($C$2865:C2971)</f>
        <v>26093.725490196077</v>
      </c>
      <c r="I2971" s="649">
        <v>207250</v>
      </c>
    </row>
    <row r="2972" spans="1:9" ht="15" customHeight="1">
      <c r="A2972" s="357">
        <v>45078</v>
      </c>
      <c r="B2972" s="81">
        <v>1970</v>
      </c>
      <c r="C2972" s="595">
        <v>25575</v>
      </c>
      <c r="D2972" s="596">
        <v>25400</v>
      </c>
      <c r="E2972" s="582">
        <f t="shared" ref="E2972:E2977" si="1109">D2972-C2972</f>
        <v>-175</v>
      </c>
      <c r="F2972" s="583">
        <f t="shared" ref="F2972:F2974" si="1110">C2972-C2971</f>
        <v>200</v>
      </c>
      <c r="I2972" s="648">
        <v>208000</v>
      </c>
    </row>
    <row r="2973" spans="1:9" ht="15" customHeight="1">
      <c r="A2973" s="357">
        <v>45079</v>
      </c>
      <c r="B2973" s="81">
        <v>1970</v>
      </c>
      <c r="C2973" s="173">
        <v>26295</v>
      </c>
      <c r="D2973" s="248">
        <v>25950</v>
      </c>
      <c r="E2973" s="137">
        <f t="shared" si="1109"/>
        <v>-345</v>
      </c>
      <c r="F2973" s="583">
        <f t="shared" si="1110"/>
        <v>720</v>
      </c>
      <c r="I2973" s="648">
        <v>210000</v>
      </c>
    </row>
    <row r="2974" spans="1:9" ht="15" customHeight="1">
      <c r="A2974" s="357">
        <v>45082</v>
      </c>
      <c r="B2974" s="81">
        <v>1950</v>
      </c>
      <c r="C2974" s="173">
        <v>26000</v>
      </c>
      <c r="D2974" s="248">
        <v>25625</v>
      </c>
      <c r="E2974" s="137">
        <f t="shared" si="1109"/>
        <v>-375</v>
      </c>
      <c r="F2974" s="583">
        <f t="shared" si="1110"/>
        <v>-295</v>
      </c>
      <c r="I2974" s="648">
        <v>207250</v>
      </c>
    </row>
    <row r="2975" spans="1:9" ht="15" customHeight="1">
      <c r="A2975" s="357">
        <v>45083</v>
      </c>
      <c r="B2975" s="81">
        <v>1950</v>
      </c>
      <c r="C2975" s="173">
        <v>26250</v>
      </c>
      <c r="D2975" s="248">
        <v>25750</v>
      </c>
      <c r="E2975" s="137">
        <f t="shared" si="1109"/>
        <v>-500</v>
      </c>
      <c r="F2975" s="583">
        <f t="shared" ref="F2975:F2980" si="1111">C2975-C2974</f>
        <v>250</v>
      </c>
      <c r="I2975" s="648">
        <v>209000</v>
      </c>
    </row>
    <row r="2976" spans="1:9" ht="15" customHeight="1">
      <c r="A2976" s="357">
        <v>45084</v>
      </c>
      <c r="B2976" s="81">
        <v>1960</v>
      </c>
      <c r="C2976" s="173">
        <v>26050</v>
      </c>
      <c r="D2976" s="248">
        <v>25600</v>
      </c>
      <c r="E2976" s="137">
        <f t="shared" si="1109"/>
        <v>-450</v>
      </c>
      <c r="F2976" s="583">
        <f t="shared" si="1111"/>
        <v>-200</v>
      </c>
      <c r="I2976" s="648">
        <v>210250</v>
      </c>
    </row>
    <row r="2977" spans="1:9" ht="15" customHeight="1">
      <c r="A2977" s="357">
        <v>45085</v>
      </c>
      <c r="B2977" s="81">
        <v>1995</v>
      </c>
      <c r="C2977" s="173">
        <v>25950</v>
      </c>
      <c r="D2977" s="248">
        <v>25450</v>
      </c>
      <c r="E2977" s="137">
        <f t="shared" si="1109"/>
        <v>-500</v>
      </c>
      <c r="F2977" s="583">
        <f t="shared" si="1111"/>
        <v>-100</v>
      </c>
      <c r="I2977" s="316">
        <v>207250</v>
      </c>
    </row>
    <row r="2978" spans="1:9" ht="15" customHeight="1">
      <c r="A2978" s="357">
        <v>45086</v>
      </c>
      <c r="B2978" s="81">
        <v>2025</v>
      </c>
      <c r="C2978" s="173">
        <v>27075</v>
      </c>
      <c r="D2978" s="657">
        <v>26450</v>
      </c>
      <c r="E2978" s="137">
        <f t="shared" ref="E2978" si="1112">D2978-C2978</f>
        <v>-625</v>
      </c>
      <c r="F2978" s="583">
        <f t="shared" si="1111"/>
        <v>1125</v>
      </c>
      <c r="I2978" s="658">
        <v>214500</v>
      </c>
    </row>
    <row r="2979" spans="1:9" ht="15" customHeight="1">
      <c r="A2979" s="357">
        <v>45089</v>
      </c>
      <c r="B2979" s="81">
        <v>2060</v>
      </c>
      <c r="C2979" s="173">
        <v>26350</v>
      </c>
      <c r="D2979" s="661">
        <v>25900</v>
      </c>
      <c r="E2979" s="137">
        <f t="shared" ref="E2979:E2980" si="1113">D2979-C2979</f>
        <v>-450</v>
      </c>
      <c r="F2979" s="583">
        <f t="shared" si="1111"/>
        <v>-725</v>
      </c>
      <c r="I2979" s="662">
        <v>210500</v>
      </c>
    </row>
    <row r="2980" spans="1:9" ht="15" customHeight="1">
      <c r="A2980" s="357">
        <v>45090</v>
      </c>
      <c r="B2980" s="81">
        <v>2030</v>
      </c>
      <c r="C2980" s="173">
        <v>26625</v>
      </c>
      <c r="D2980" s="248">
        <v>26200</v>
      </c>
      <c r="E2980" s="137">
        <f t="shared" si="1113"/>
        <v>-425</v>
      </c>
      <c r="F2980" s="583">
        <f t="shared" si="1111"/>
        <v>275</v>
      </c>
      <c r="I2980" s="316">
        <v>208750</v>
      </c>
    </row>
    <row r="2981" spans="1:9" ht="15" customHeight="1">
      <c r="A2981" s="357">
        <v>45091</v>
      </c>
      <c r="B2981" s="81">
        <v>2020</v>
      </c>
      <c r="C2981" s="173">
        <v>27100</v>
      </c>
      <c r="D2981" s="667">
        <v>26350</v>
      </c>
      <c r="E2981" s="137">
        <f t="shared" ref="E2981" si="1114">D2981-C2981</f>
        <v>-750</v>
      </c>
      <c r="F2981" s="583">
        <f t="shared" ref="F2981" si="1115">C2981-C2980</f>
        <v>475</v>
      </c>
      <c r="I2981" s="668">
        <v>211750</v>
      </c>
    </row>
    <row r="2982" spans="1:9" ht="15" customHeight="1">
      <c r="A2982" s="357">
        <v>45092</v>
      </c>
      <c r="B2982" s="81">
        <v>2025</v>
      </c>
      <c r="C2982" s="173">
        <v>28900</v>
      </c>
      <c r="D2982" s="672">
        <v>27325</v>
      </c>
      <c r="E2982" s="137">
        <f t="shared" ref="E2982" si="1116">D2982-C2982</f>
        <v>-1575</v>
      </c>
      <c r="F2982" s="583">
        <f t="shared" ref="F2982" si="1117">C2982-C2981</f>
        <v>1800</v>
      </c>
      <c r="G2982" s="538"/>
      <c r="H2982" s="565"/>
      <c r="I2982" s="671">
        <v>213750</v>
      </c>
    </row>
    <row r="2983" spans="1:9" ht="15" customHeight="1">
      <c r="A2983" s="357">
        <v>45093</v>
      </c>
      <c r="B2983" s="81">
        <v>2060</v>
      </c>
      <c r="C2983" s="173">
        <v>28325</v>
      </c>
      <c r="D2983" s="675">
        <v>27250</v>
      </c>
      <c r="E2983" s="137">
        <f t="shared" ref="E2983" si="1118">D2983-C2983</f>
        <v>-1075</v>
      </c>
      <c r="F2983" s="583">
        <f t="shared" ref="F2983" si="1119">C2983-C2982</f>
        <v>-575</v>
      </c>
      <c r="G2983" s="538"/>
      <c r="H2983" s="565"/>
      <c r="I2983" s="676">
        <v>218750</v>
      </c>
    </row>
    <row r="2984" spans="1:9" ht="15" customHeight="1">
      <c r="A2984" s="357">
        <v>45096</v>
      </c>
      <c r="B2984" s="81">
        <v>2060</v>
      </c>
      <c r="C2984" s="173">
        <v>28600</v>
      </c>
      <c r="D2984" s="679">
        <v>27150</v>
      </c>
      <c r="E2984" s="137">
        <f t="shared" ref="E2984" si="1120">D2984-C2984</f>
        <v>-1450</v>
      </c>
      <c r="F2984" s="583">
        <f t="shared" ref="F2984" si="1121">C2984-C2983</f>
        <v>275</v>
      </c>
      <c r="G2984" s="538"/>
      <c r="H2984" s="565"/>
      <c r="I2984" s="680">
        <v>215250</v>
      </c>
    </row>
    <row r="2985" spans="1:9" ht="15" customHeight="1">
      <c r="A2985" s="357">
        <v>45097</v>
      </c>
      <c r="B2985" s="81">
        <v>2290</v>
      </c>
      <c r="C2985" s="173">
        <v>28795</v>
      </c>
      <c r="D2985" s="683">
        <v>27000</v>
      </c>
      <c r="E2985" s="137">
        <f t="shared" ref="E2985" si="1122">D2985-C2985</f>
        <v>-1795</v>
      </c>
      <c r="F2985" s="583">
        <f t="shared" ref="F2985" si="1123">C2985-C2984</f>
        <v>195</v>
      </c>
      <c r="G2985" s="548">
        <f>AVERAGE($C$2972:C2985)</f>
        <v>26992.142857142859</v>
      </c>
      <c r="H2985" s="584">
        <f>AVERAGE($C$2865:C2985)</f>
        <v>26202.155172413793</v>
      </c>
      <c r="I2985" s="684">
        <v>216750</v>
      </c>
    </row>
    <row r="2986" spans="1:9" ht="15" customHeight="1">
      <c r="B2986" s="81"/>
      <c r="C2986" s="173"/>
      <c r="D2986" s="248"/>
      <c r="E2986" s="137"/>
      <c r="F2986" s="172"/>
      <c r="I2986" s="316"/>
    </row>
    <row r="2987" spans="1:9" ht="15" customHeight="1">
      <c r="B2987" s="81"/>
      <c r="C2987" s="173"/>
      <c r="D2987" s="248"/>
      <c r="E2987" s="137"/>
      <c r="F2987" s="172"/>
      <c r="I2987" s="316"/>
    </row>
    <row r="2988" spans="1:9" ht="15" customHeight="1">
      <c r="B2988" s="81"/>
      <c r="C2988" s="173"/>
      <c r="D2988" s="248"/>
      <c r="E2988" s="137"/>
      <c r="F2988" s="172"/>
      <c r="I2988" s="316"/>
    </row>
    <row r="2989" spans="1:9" ht="15" customHeight="1">
      <c r="B2989" s="81"/>
      <c r="C2989" s="173"/>
      <c r="D2989" s="248"/>
      <c r="E2989" s="137"/>
      <c r="F2989" s="172"/>
      <c r="I2989" s="316"/>
    </row>
    <row r="2990" spans="1:9" ht="15" customHeight="1">
      <c r="B2990" s="81"/>
      <c r="C2990" s="173"/>
      <c r="D2990" s="248"/>
      <c r="E2990" s="137"/>
      <c r="F2990" s="172"/>
      <c r="I2990" s="316"/>
    </row>
    <row r="2991" spans="1:9" ht="15" customHeight="1">
      <c r="B2991" s="81"/>
      <c r="C2991" s="173"/>
      <c r="D2991" s="248"/>
      <c r="E2991" s="137"/>
      <c r="F2991" s="172"/>
      <c r="I2991" s="316"/>
    </row>
    <row r="2992" spans="1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9"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B2429:D2429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B2969:F2969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</mergeCells>
  <phoneticPr fontId="2" type="noConversion"/>
  <conditionalFormatting sqref="F1:F2428">
    <cfRule type="cellIs" dxfId="46" priority="858" operator="lessThan">
      <formula>0</formula>
    </cfRule>
  </conditionalFormatting>
  <conditionalFormatting sqref="F2430:F2448">
    <cfRule type="cellIs" dxfId="45" priority="838" operator="lessThan">
      <formula>0</formula>
    </cfRule>
  </conditionalFormatting>
  <conditionalFormatting sqref="F2450:F2688">
    <cfRule type="cellIs" dxfId="44" priority="794" operator="lessThan">
      <formula>0</formula>
    </cfRule>
  </conditionalFormatting>
  <conditionalFormatting sqref="F2690:F2711">
    <cfRule type="cellIs" dxfId="43" priority="739" operator="lessThan">
      <formula>0</formula>
    </cfRule>
  </conditionalFormatting>
  <conditionalFormatting sqref="F2714:F2773">
    <cfRule type="cellIs" dxfId="42" priority="559" operator="lessThan">
      <formula>0</formula>
    </cfRule>
  </conditionalFormatting>
  <conditionalFormatting sqref="F2775:F2858">
    <cfRule type="cellIs" dxfId="41" priority="316" operator="lessThan">
      <formula>0</formula>
    </cfRule>
  </conditionalFormatting>
  <conditionalFormatting sqref="F2861:F2863">
    <cfRule type="cellIs" dxfId="40" priority="304" operator="lessThan">
      <formula>0</formula>
    </cfRule>
  </conditionalFormatting>
  <conditionalFormatting sqref="F2865:F2932">
    <cfRule type="cellIs" dxfId="39" priority="76" operator="lessThan">
      <formula>0</formula>
    </cfRule>
  </conditionalFormatting>
  <conditionalFormatting sqref="F2935:F2944 F2986:F1048576">
    <cfRule type="cellIs" dxfId="38" priority="43" operator="lessThan">
      <formula>0</formula>
    </cfRule>
  </conditionalFormatting>
  <conditionalFormatting sqref="F2945">
    <cfRule type="cellIs" dxfId="37" priority="42" operator="lessThan">
      <formula>0</formula>
    </cfRule>
  </conditionalFormatting>
  <conditionalFormatting sqref="F2946">
    <cfRule type="cellIs" dxfId="36" priority="41" operator="lessThan">
      <formula>0</formula>
    </cfRule>
  </conditionalFormatting>
  <conditionalFormatting sqref="F2947">
    <cfRule type="cellIs" dxfId="35" priority="40" operator="lessThan">
      <formula>0</formula>
    </cfRule>
  </conditionalFormatting>
  <conditionalFormatting sqref="F2948">
    <cfRule type="cellIs" dxfId="34" priority="38" operator="lessThan">
      <formula>0</formula>
    </cfRule>
  </conditionalFormatting>
  <conditionalFormatting sqref="F2950">
    <cfRule type="cellIs" dxfId="33" priority="37" operator="lessThan">
      <formula>0</formula>
    </cfRule>
  </conditionalFormatting>
  <conditionalFormatting sqref="F2951">
    <cfRule type="cellIs" dxfId="32" priority="36" operator="lessThan">
      <formula>0</formula>
    </cfRule>
  </conditionalFormatting>
  <conditionalFormatting sqref="F2952">
    <cfRule type="cellIs" dxfId="31" priority="35" operator="lessThan">
      <formula>0</formula>
    </cfRule>
  </conditionalFormatting>
  <conditionalFormatting sqref="F2953">
    <cfRule type="cellIs" dxfId="30" priority="34" operator="lessThan">
      <formula>0</formula>
    </cfRule>
  </conditionalFormatting>
  <conditionalFormatting sqref="F2955">
    <cfRule type="cellIs" dxfId="29" priority="32" operator="lessThan">
      <formula>0</formula>
    </cfRule>
  </conditionalFormatting>
  <conditionalFormatting sqref="F2956">
    <cfRule type="cellIs" dxfId="28" priority="31" operator="lessThan">
      <formula>0</formula>
    </cfRule>
  </conditionalFormatting>
  <conditionalFormatting sqref="F2957">
    <cfRule type="cellIs" dxfId="27" priority="30" operator="lessThan">
      <formula>0</formula>
    </cfRule>
  </conditionalFormatting>
  <conditionalFormatting sqref="F2958">
    <cfRule type="cellIs" dxfId="26" priority="29" operator="lessThan">
      <formula>0</formula>
    </cfRule>
  </conditionalFormatting>
  <conditionalFormatting sqref="F2959">
    <cfRule type="cellIs" dxfId="25" priority="28" operator="lessThan">
      <formula>0</formula>
    </cfRule>
  </conditionalFormatting>
  <conditionalFormatting sqref="F2960">
    <cfRule type="cellIs" dxfId="24" priority="26" operator="lessThan">
      <formula>0</formula>
    </cfRule>
  </conditionalFormatting>
  <conditionalFormatting sqref="F2961">
    <cfRule type="cellIs" dxfId="23" priority="25" operator="lessThan">
      <formula>0</formula>
    </cfRule>
  </conditionalFormatting>
  <conditionalFormatting sqref="F2962">
    <cfRule type="cellIs" dxfId="22" priority="24" operator="lessThan">
      <formula>0</formula>
    </cfRule>
  </conditionalFormatting>
  <conditionalFormatting sqref="F2963">
    <cfRule type="cellIs" dxfId="21" priority="23" operator="lessThan">
      <formula>0</formula>
    </cfRule>
  </conditionalFormatting>
  <conditionalFormatting sqref="F2964">
    <cfRule type="cellIs" dxfId="20" priority="22" operator="lessThan">
      <formula>0</formula>
    </cfRule>
  </conditionalFormatting>
  <conditionalFormatting sqref="F2965">
    <cfRule type="cellIs" dxfId="19" priority="21" operator="lessThan">
      <formula>0</formula>
    </cfRule>
  </conditionalFormatting>
  <conditionalFormatting sqref="F2966">
    <cfRule type="cellIs" dxfId="18" priority="20" operator="lessThan">
      <formula>0</formula>
    </cfRule>
  </conditionalFormatting>
  <conditionalFormatting sqref="F2967">
    <cfRule type="cellIs" dxfId="17" priority="19" operator="lessThan">
      <formula>0</formula>
    </cfRule>
  </conditionalFormatting>
  <conditionalFormatting sqref="F2968">
    <cfRule type="cellIs" dxfId="16" priority="18" operator="lessThan">
      <formula>0</formula>
    </cfRule>
  </conditionalFormatting>
  <conditionalFormatting sqref="F2970">
    <cfRule type="cellIs" dxfId="15" priority="17" operator="lessThan">
      <formula>0</formula>
    </cfRule>
  </conditionalFormatting>
  <conditionalFormatting sqref="F2971">
    <cfRule type="cellIs" dxfId="14" priority="16" operator="lessThan">
      <formula>0</formula>
    </cfRule>
  </conditionalFormatting>
  <conditionalFormatting sqref="F2972">
    <cfRule type="cellIs" dxfId="13" priority="15" operator="lessThan">
      <formula>0</formula>
    </cfRule>
  </conditionalFormatting>
  <conditionalFormatting sqref="F2973">
    <cfRule type="cellIs" dxfId="12" priority="14" operator="lessThan">
      <formula>0</formula>
    </cfRule>
  </conditionalFormatting>
  <conditionalFormatting sqref="F2974">
    <cfRule type="cellIs" dxfId="11" priority="13" operator="lessThan">
      <formula>0</formula>
    </cfRule>
  </conditionalFormatting>
  <conditionalFormatting sqref="F2975">
    <cfRule type="cellIs" dxfId="10" priority="12" operator="lessThan">
      <formula>0</formula>
    </cfRule>
  </conditionalFormatting>
  <conditionalFormatting sqref="F2976">
    <cfRule type="cellIs" dxfId="9" priority="11" operator="lessThan">
      <formula>0</formula>
    </cfRule>
  </conditionalFormatting>
  <conditionalFormatting sqref="F2977">
    <cfRule type="cellIs" dxfId="8" priority="9" operator="lessThan">
      <formula>0</formula>
    </cfRule>
  </conditionalFormatting>
  <conditionalFormatting sqref="F2978">
    <cfRule type="cellIs" dxfId="7" priority="8" operator="lessThan">
      <formula>0</formula>
    </cfRule>
  </conditionalFormatting>
  <conditionalFormatting sqref="F2979">
    <cfRule type="cellIs" dxfId="6" priority="7" operator="lessThan">
      <formula>0</formula>
    </cfRule>
  </conditionalFormatting>
  <conditionalFormatting sqref="F2980">
    <cfRule type="cellIs" dxfId="5" priority="6" operator="lessThan">
      <formula>0</formula>
    </cfRule>
  </conditionalFormatting>
  <conditionalFormatting sqref="F2981">
    <cfRule type="cellIs" dxfId="4" priority="5" operator="lessThan">
      <formula>0</formula>
    </cfRule>
  </conditionalFormatting>
  <conditionalFormatting sqref="F2982">
    <cfRule type="cellIs" dxfId="3" priority="4" operator="lessThan">
      <formula>0</formula>
    </cfRule>
  </conditionalFormatting>
  <conditionalFormatting sqref="F2983">
    <cfRule type="cellIs" dxfId="2" priority="3" operator="lessThan">
      <formula>0</formula>
    </cfRule>
  </conditionalFormatting>
  <conditionalFormatting sqref="F2984">
    <cfRule type="cellIs" dxfId="1" priority="2" operator="lessThan">
      <formula>0</formula>
    </cfRule>
  </conditionalFormatting>
  <conditionalFormatting sqref="F2985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opLeftCell="A39" zoomScale="115" zoomScaleNormal="115" workbookViewId="0">
      <selection activeCell="A3" sqref="A3:XFD3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552">
        <f t="shared" ref="N32:N37" si="1">AVERAGE(B32:M32)</f>
        <v>2243.864809966286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552">
        <f t="shared" si="1"/>
        <v>1997.6581894253088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552">
        <f t="shared" si="1"/>
        <v>1824.208117192685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52">
        <f t="shared" si="1"/>
        <v>2204.7679559983617</v>
      </c>
    </row>
    <row r="36" spans="1:256" ht="15" customHeight="1">
      <c r="A36" s="49" t="s">
        <v>168</v>
      </c>
      <c r="B36" s="551">
        <v>2342.6999999999998</v>
      </c>
      <c r="C36" s="551">
        <f>'Pb 가격및재고'!N6336</f>
        <v>2299.9</v>
      </c>
      <c r="D36" s="551">
        <f>'Pb 가격및재고'!N6360</f>
        <v>2359.478260869565</v>
      </c>
      <c r="E36" s="551">
        <v>2396.7399999999998</v>
      </c>
      <c r="F36" s="551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1">
        <v>1988.1</v>
      </c>
      <c r="L36" s="503">
        <v>2099.3863636363635</v>
      </c>
      <c r="M36" s="551">
        <v>2212.4749999999999</v>
      </c>
      <c r="N36" s="552">
        <f t="shared" si="1"/>
        <v>2153.3291353754939</v>
      </c>
    </row>
    <row r="37" spans="1:256" ht="15" customHeight="1">
      <c r="A37" s="58" t="s">
        <v>169</v>
      </c>
      <c r="B37" s="556">
        <v>2208.1666666666702</v>
      </c>
      <c r="C37" s="517">
        <v>2098.9</v>
      </c>
      <c r="D37" s="517">
        <v>2114.782608695652</v>
      </c>
      <c r="E37" s="644">
        <v>2149.1388888888901</v>
      </c>
      <c r="F37" s="478">
        <v>2087.5</v>
      </c>
      <c r="G37" s="400"/>
      <c r="H37" s="400"/>
      <c r="I37" s="400"/>
      <c r="J37" s="543"/>
      <c r="K37" s="517"/>
      <c r="L37" s="543"/>
      <c r="M37" s="553"/>
      <c r="N37" s="389">
        <f t="shared" si="1"/>
        <v>2131.6976328502424</v>
      </c>
    </row>
    <row r="38" spans="1:256" s="57" customFormat="1" ht="15" customHeight="1">
      <c r="A38" s="61" t="s">
        <v>170</v>
      </c>
      <c r="B38" s="555">
        <f>B37-M36</f>
        <v>-4.308333333329756</v>
      </c>
      <c r="C38" s="555">
        <f>C37-B37</f>
        <v>-109.26666666667006</v>
      </c>
      <c r="D38" s="555">
        <f>D37-C37</f>
        <v>15.882608695651925</v>
      </c>
      <c r="E38" s="555">
        <f>E37-D37</f>
        <v>34.356280193238035</v>
      </c>
      <c r="F38" s="557">
        <f>F37-E37</f>
        <v>-61.638888888890051</v>
      </c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1">
        <v>1205.6600000000001</v>
      </c>
      <c r="C59" s="551">
        <v>1210.04</v>
      </c>
      <c r="D59" s="551">
        <v>1232.94</v>
      </c>
      <c r="E59" s="551">
        <v>1244.3699999999999</v>
      </c>
      <c r="F59" s="551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1">
        <v>1440.59</v>
      </c>
      <c r="L59" s="503">
        <v>1377.42</v>
      </c>
      <c r="M59" s="551">
        <v>1308.8900000000001</v>
      </c>
      <c r="N59" s="558">
        <f>AVERAGE(B59:M59)</f>
        <v>1304.0575000000001</v>
      </c>
    </row>
    <row r="60" spans="1:15" ht="15" customHeight="1">
      <c r="A60" s="58" t="s">
        <v>169</v>
      </c>
      <c r="B60" s="556">
        <v>1259.42</v>
      </c>
      <c r="C60" s="517">
        <v>1283.1400000000001</v>
      </c>
      <c r="D60" s="517">
        <v>1318.48</v>
      </c>
      <c r="E60" s="644">
        <v>1332.9</v>
      </c>
      <c r="F60" s="478">
        <v>1341.17</v>
      </c>
      <c r="G60" s="400"/>
      <c r="H60" s="400"/>
      <c r="I60" s="400"/>
      <c r="J60" s="543"/>
      <c r="K60" s="517"/>
      <c r="L60" s="543"/>
      <c r="M60" s="553"/>
      <c r="N60" s="389">
        <f>AVERAGE(B60:M60)</f>
        <v>1307.0220000000002</v>
      </c>
    </row>
    <row r="61" spans="1:15" ht="15" customHeight="1">
      <c r="A61" s="504" t="s">
        <v>180</v>
      </c>
      <c r="B61" s="555">
        <f>B60-M59</f>
        <v>-49.470000000000027</v>
      </c>
      <c r="C61" s="559">
        <f>C60-B60</f>
        <v>23.720000000000027</v>
      </c>
      <c r="D61" s="555">
        <f>D60-C60</f>
        <v>35.339999999999918</v>
      </c>
      <c r="E61" s="645">
        <f>E60-D60</f>
        <v>14.420000000000073</v>
      </c>
      <c r="F61" s="557">
        <f>F60-E60</f>
        <v>8.2699999999999818</v>
      </c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1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654">
        <v>1291.95</v>
      </c>
    </row>
    <row r="83" spans="1:18" ht="15" customHeight="1">
      <c r="A83" s="58" t="s">
        <v>169</v>
      </c>
      <c r="B83" s="556">
        <v>1247.25</v>
      </c>
      <c r="C83" s="517">
        <v>1270.74</v>
      </c>
      <c r="D83" s="517">
        <v>1305.73</v>
      </c>
      <c r="E83" s="644">
        <v>1320.01</v>
      </c>
      <c r="F83" s="478">
        <v>1328.21</v>
      </c>
      <c r="G83" s="400"/>
      <c r="H83" s="400"/>
      <c r="I83" s="400"/>
      <c r="J83" s="543"/>
      <c r="K83" s="517"/>
      <c r="L83" s="543"/>
      <c r="M83" s="553"/>
      <c r="N83" s="389">
        <f>AVERAGE(B83:M83)</f>
        <v>1294.3879999999999</v>
      </c>
    </row>
    <row r="84" spans="1:18" ht="15" customHeight="1">
      <c r="A84" s="370" t="s">
        <v>170</v>
      </c>
      <c r="B84" s="555">
        <f>B83-M82</f>
        <v>-48.970000000000027</v>
      </c>
      <c r="C84" s="559">
        <f>C83-B83</f>
        <v>23.490000000000009</v>
      </c>
      <c r="D84" s="555">
        <f>D83-C83</f>
        <v>34.990000000000009</v>
      </c>
      <c r="E84" s="645">
        <f>E83-D83</f>
        <v>14.279999999999973</v>
      </c>
      <c r="F84" s="557">
        <f>F83-E83</f>
        <v>8.2000000000000455</v>
      </c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1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8">
        <f>AVERAGE(B92:M92)</f>
        <v>1357.7225000000001</v>
      </c>
    </row>
    <row r="93" spans="1:18" ht="15" customHeight="1">
      <c r="A93" s="58" t="s">
        <v>169</v>
      </c>
      <c r="B93" s="556">
        <v>1342.37</v>
      </c>
      <c r="C93" s="517">
        <v>1361.65</v>
      </c>
      <c r="D93" s="517">
        <v>1398.5</v>
      </c>
      <c r="E93" s="644">
        <v>1446.41</v>
      </c>
      <c r="F93" s="478">
        <v>1444.2</v>
      </c>
      <c r="G93" s="400"/>
      <c r="H93" s="400"/>
      <c r="I93" s="400"/>
      <c r="J93" s="543"/>
      <c r="K93" s="517"/>
      <c r="L93" s="543"/>
      <c r="M93" s="553"/>
      <c r="N93" s="389">
        <f>AVERAGE(B93:M93)</f>
        <v>1398.626</v>
      </c>
    </row>
    <row r="94" spans="1:18" ht="15" customHeight="1">
      <c r="A94" s="370" t="s">
        <v>170</v>
      </c>
      <c r="B94" s="555">
        <f>B93-M92</f>
        <v>-28.760000000000218</v>
      </c>
      <c r="C94" s="559">
        <f>C93-B93</f>
        <v>19.2800000000002</v>
      </c>
      <c r="D94" s="555">
        <f>D93-C93</f>
        <v>36.849999999999909</v>
      </c>
      <c r="E94" s="645">
        <f>E93-D93</f>
        <v>47.910000000000082</v>
      </c>
      <c r="F94" s="557">
        <f>F93-E93</f>
        <v>-2.2100000000000364</v>
      </c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8">
        <f>AVERAGE(B110:M110)</f>
        <v>31383.393056653495</v>
      </c>
    </row>
    <row r="111" spans="1:17" ht="15" customHeight="1">
      <c r="A111" s="58" t="s">
        <v>169</v>
      </c>
      <c r="B111" s="556">
        <v>28080.714285714301</v>
      </c>
      <c r="C111" s="517">
        <v>27069.5</v>
      </c>
      <c r="D111" s="517">
        <f>'Sn 가격및재고'!G2928</f>
        <v>24014.347826086956</v>
      </c>
      <c r="E111" s="644">
        <v>25886.111111111109</v>
      </c>
      <c r="F111" s="478">
        <v>25609.75</v>
      </c>
      <c r="G111" s="400"/>
      <c r="H111" s="400"/>
      <c r="I111" s="400"/>
      <c r="J111" s="543"/>
      <c r="K111" s="517"/>
      <c r="L111" s="543"/>
      <c r="M111" s="553"/>
      <c r="N111" s="389">
        <f>AVERAGE(B111:M111)</f>
        <v>26132.084644582475</v>
      </c>
    </row>
    <row r="112" spans="1:17" ht="15" customHeight="1">
      <c r="A112" s="61" t="s">
        <v>170</v>
      </c>
      <c r="B112" s="555">
        <f>B111-M110</f>
        <v>3981.7142857143008</v>
      </c>
      <c r="C112" s="555">
        <f>C111-B111</f>
        <v>-1011.2142857143008</v>
      </c>
      <c r="D112" s="555">
        <f>D111-C111</f>
        <v>-3055.152173913044</v>
      </c>
      <c r="E112" s="555">
        <f>E111-D111</f>
        <v>1871.7632850241534</v>
      </c>
      <c r="F112" s="557">
        <f>F111-E111</f>
        <v>-276.36111111110949</v>
      </c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7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1">
        <v>13360</v>
      </c>
      <c r="C131" s="551">
        <f>'Sb 안티모니'!E3937</f>
        <v>13482.5</v>
      </c>
      <c r="D131" s="551">
        <f>'Sb 안티모니'!E3960</f>
        <v>14659.782608695652</v>
      </c>
      <c r="E131" s="551">
        <v>14941.43</v>
      </c>
      <c r="F131" s="551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1">
        <v>10819.444444444445</v>
      </c>
      <c r="N131" s="558">
        <f>AVERAGE(B131:M131)</f>
        <v>13138.768087761675</v>
      </c>
    </row>
    <row r="132" spans="1:14" ht="15" customHeight="1">
      <c r="A132" s="58" t="s">
        <v>169</v>
      </c>
      <c r="B132" s="556">
        <v>12436.5625</v>
      </c>
      <c r="C132" s="517">
        <v>13081.25</v>
      </c>
      <c r="D132" s="517">
        <v>12535</v>
      </c>
      <c r="E132" s="644">
        <v>11828.571428571429</v>
      </c>
      <c r="F132" s="478">
        <v>12150</v>
      </c>
      <c r="G132" s="517"/>
      <c r="H132" s="517"/>
      <c r="I132" s="517"/>
      <c r="J132" s="517"/>
      <c r="K132" s="517"/>
      <c r="L132" s="517"/>
      <c r="M132" s="517"/>
      <c r="N132" s="389">
        <f>AVERAGE(B132:M132)</f>
        <v>12406.276785714286</v>
      </c>
    </row>
    <row r="133" spans="1:14" ht="15" customHeight="1">
      <c r="A133" s="61" t="s">
        <v>170</v>
      </c>
      <c r="B133" s="555">
        <f>B132-M131</f>
        <v>1617.1180555555547</v>
      </c>
      <c r="C133" s="555">
        <f>C132-B132</f>
        <v>644.6875</v>
      </c>
      <c r="D133" s="555">
        <f>D132-C132</f>
        <v>-546.25</v>
      </c>
      <c r="E133" s="555">
        <f>E132-D132</f>
        <v>-706.42857142857065</v>
      </c>
      <c r="F133" s="557">
        <f>F132-E132</f>
        <v>321.42857142857065</v>
      </c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40" t="s">
        <v>201</v>
      </c>
      <c r="B3" s="840"/>
      <c r="C3" s="840"/>
      <c r="D3" s="840"/>
      <c r="E3" s="840"/>
      <c r="F3" s="840"/>
      <c r="G3" s="840"/>
      <c r="H3" s="840"/>
      <c r="I3" s="840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2023-06-20T23:44:24Z</dcterms:modified>
  <cp:category/>
  <cp:contentStatus/>
</cp:coreProperties>
</file>