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-600" yWindow="210" windowWidth="19320" windowHeight="11700" tabRatio="923"/>
  </bookViews>
  <sheets>
    <sheet name="Pb 가격및재고" sheetId="6" r:id="rId1"/>
    <sheet name="Pb 그래프" sheetId="20" state="hidden" r:id="rId2"/>
    <sheet name="Pb 월별평균" sheetId="10" r:id="rId3"/>
    <sheet name="Sb 안티모니" sheetId="13" r:id="rId4"/>
    <sheet name="Se 가격" sheetId="22" state="hidden" r:id="rId5"/>
    <sheet name="Ni 가격및재고" sheetId="14" r:id="rId6"/>
    <sheet name="Ni 월별평균" sheetId="15" r:id="rId7"/>
    <sheet name="Sn 가격및재고" sheetId="17" r:id="rId8"/>
    <sheet name="Sn 월별평균" sheetId="18" r:id="rId9"/>
    <sheet name="Sheet1" sheetId="19" state="hidden" r:id="rId10"/>
  </sheets>
  <externalReferences>
    <externalReference r:id="rId11"/>
    <externalReference r:id="rId12"/>
    <externalReference r:id="rId13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2">'Pb 월별평균'!$A$1:$N$62</definedName>
    <definedName name="_xlnm.Print_Titles" localSheetId="7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25725"/>
</workbook>
</file>

<file path=xl/calcChain.xml><?xml version="1.0" encoding="utf-8"?>
<calcChain xmlns="http://schemas.openxmlformats.org/spreadsheetml/2006/main">
  <c r="G528" i="17"/>
  <c r="O4123" i="6"/>
  <c r="W4395"/>
  <c r="Q4395"/>
  <c r="G788" i="17"/>
  <c r="F788"/>
  <c r="E788"/>
  <c r="G1307" i="14"/>
  <c r="F1307"/>
  <c r="E1307"/>
  <c r="F2080" i="13"/>
  <c r="E2080"/>
  <c r="D2080"/>
  <c r="J4395" i="6"/>
  <c r="O4395"/>
  <c r="N4395"/>
  <c r="M4395"/>
  <c r="M9" i="18"/>
  <c r="L9"/>
  <c r="K9"/>
  <c r="J9"/>
  <c r="I9"/>
  <c r="H9"/>
  <c r="G9"/>
  <c r="F9"/>
  <c r="E9"/>
  <c r="D9"/>
  <c r="B9"/>
  <c r="C9"/>
  <c r="M10" i="15"/>
  <c r="L10"/>
  <c r="K10"/>
  <c r="J10"/>
  <c r="I10"/>
  <c r="H10"/>
  <c r="G10"/>
  <c r="F10"/>
  <c r="E10"/>
  <c r="D10"/>
  <c r="C10"/>
  <c r="B10"/>
  <c r="M62" i="10"/>
  <c r="L62"/>
  <c r="K62"/>
  <c r="J62"/>
  <c r="I62"/>
  <c r="H62"/>
  <c r="G62"/>
  <c r="F62"/>
  <c r="E62"/>
  <c r="D62"/>
  <c r="C62"/>
  <c r="B62"/>
  <c r="M46"/>
  <c r="L46"/>
  <c r="K46"/>
  <c r="J46"/>
  <c r="I46"/>
  <c r="H46"/>
  <c r="G46"/>
  <c r="F46"/>
  <c r="E46"/>
  <c r="D46"/>
  <c r="C46"/>
  <c r="B46"/>
  <c r="M30"/>
  <c r="L30"/>
  <c r="K30"/>
  <c r="J30"/>
  <c r="I30"/>
  <c r="H30"/>
  <c r="G30"/>
  <c r="F30"/>
  <c r="E30"/>
  <c r="D30"/>
  <c r="C30"/>
  <c r="B30"/>
  <c r="Q4394" i="6"/>
  <c r="W4394" s="1"/>
  <c r="E787" i="17"/>
  <c r="E1306" i="14"/>
  <c r="D2079" i="13"/>
  <c r="J4394" i="6"/>
  <c r="O4390"/>
  <c r="M4394"/>
  <c r="W4393"/>
  <c r="Q4393"/>
  <c r="E786" i="17"/>
  <c r="E1305" i="14"/>
  <c r="D2078" i="13"/>
  <c r="J4393" i="6"/>
  <c r="M4393"/>
  <c r="F2076" i="13"/>
  <c r="G784" i="17"/>
  <c r="F784"/>
  <c r="E785"/>
  <c r="E784"/>
  <c r="F1303" i="14"/>
  <c r="E1304"/>
  <c r="G1303"/>
  <c r="E1303"/>
  <c r="W4392" i="6"/>
  <c r="W4390"/>
  <c r="Q4392"/>
  <c r="Q4390"/>
  <c r="F2053" i="13"/>
  <c r="E2076"/>
  <c r="E2053"/>
  <c r="D2077"/>
  <c r="D2076"/>
  <c r="J4392" i="6"/>
  <c r="B4392"/>
  <c r="M4392"/>
  <c r="V4391"/>
  <c r="J4390"/>
  <c r="B4390"/>
  <c r="N4390"/>
  <c r="M4390"/>
  <c r="W4389"/>
  <c r="Q4389"/>
  <c r="E783" i="17"/>
  <c r="E1302" i="14"/>
  <c r="D2075" i="13"/>
  <c r="J4389" i="6"/>
  <c r="B4389"/>
  <c r="M4389"/>
  <c r="Q4388"/>
  <c r="W4388" s="1"/>
  <c r="E782" i="17"/>
  <c r="E1301" i="14"/>
  <c r="D2074" i="13"/>
  <c r="J4388" i="6"/>
  <c r="B4388"/>
  <c r="M4388"/>
  <c r="Q4387"/>
  <c r="W4387" s="1"/>
  <c r="Q4386"/>
  <c r="W4386" s="1"/>
  <c r="Q4385"/>
  <c r="W4385" s="1"/>
  <c r="E779" i="17"/>
  <c r="E1298" i="14"/>
  <c r="D2071" i="13"/>
  <c r="J4385" i="6"/>
  <c r="B4385"/>
  <c r="M4385"/>
  <c r="Q4384"/>
  <c r="W4384" s="1"/>
  <c r="J4384"/>
  <c r="E778" i="17"/>
  <c r="E1297" i="14"/>
  <c r="D2070" i="13"/>
  <c r="B4384" i="6"/>
  <c r="M4384"/>
  <c r="B4383"/>
  <c r="D2069" i="13"/>
  <c r="Q4383" i="6"/>
  <c r="W4383" s="1"/>
  <c r="E777" i="17"/>
  <c r="E1296" i="14"/>
  <c r="J4383" i="6"/>
  <c r="M4383"/>
  <c r="E776" i="17"/>
  <c r="E1295" i="14"/>
  <c r="D2068" i="13"/>
  <c r="W4382" i="6"/>
  <c r="Q4382"/>
  <c r="J4382"/>
  <c r="B4382"/>
  <c r="M4382"/>
  <c r="O4118"/>
  <c r="W4381"/>
  <c r="Q4381"/>
  <c r="E775" i="17"/>
  <c r="E1294" i="14"/>
  <c r="D2067" i="13"/>
  <c r="J4381" i="6"/>
  <c r="B4381"/>
  <c r="M4381"/>
  <c r="E774" i="17"/>
  <c r="E1293" i="14"/>
  <c r="D2066" i="13"/>
  <c r="Q4380" i="6"/>
  <c r="W4380" s="1"/>
  <c r="J4380"/>
  <c r="B4380"/>
  <c r="M4380"/>
  <c r="Q4379"/>
  <c r="W4379" s="1"/>
  <c r="E773" i="17"/>
  <c r="E1292" i="14"/>
  <c r="D2065" i="13"/>
  <c r="B4379" i="6"/>
  <c r="J4379"/>
  <c r="M4379"/>
  <c r="Q4378"/>
  <c r="W4378" s="1"/>
  <c r="E772" i="17"/>
  <c r="E1291" i="14"/>
  <c r="D2064" i="13"/>
  <c r="B4378" i="6"/>
  <c r="J4378"/>
  <c r="M4378"/>
  <c r="Q4377"/>
  <c r="W4377" s="1"/>
  <c r="E771" i="17"/>
  <c r="E1290" i="14"/>
  <c r="D2063" i="13"/>
  <c r="B4377" i="6"/>
  <c r="J4377"/>
  <c r="M4377"/>
  <c r="Q4376"/>
  <c r="E770" i="17"/>
  <c r="E1289" i="14"/>
  <c r="D2062" i="13"/>
  <c r="W4376" i="6"/>
  <c r="J4376"/>
  <c r="B4376"/>
  <c r="M4376"/>
  <c r="Q4375"/>
  <c r="W4375" s="1"/>
  <c r="E769" i="17"/>
  <c r="E1288" i="14"/>
  <c r="D2061" i="13"/>
  <c r="J4375" i="6"/>
  <c r="B4375"/>
  <c r="M4375"/>
  <c r="Q4374"/>
  <c r="W4374" s="1"/>
  <c r="E768" i="17"/>
  <c r="E1287" i="14"/>
  <c r="D2060" i="13"/>
  <c r="J4374" i="6"/>
  <c r="B4374"/>
  <c r="M4374"/>
  <c r="Q4373"/>
  <c r="W4373" s="1"/>
  <c r="E767" i="17"/>
  <c r="E1286" i="14"/>
  <c r="D2059" i="13"/>
  <c r="J4373" i="6"/>
  <c r="B4373"/>
  <c r="M4373"/>
  <c r="Q4372"/>
  <c r="E766" i="17"/>
  <c r="E1285" i="14"/>
  <c r="D2058" i="13"/>
  <c r="W4372" i="6"/>
  <c r="J4372"/>
  <c r="B4372"/>
  <c r="M4372"/>
  <c r="Q4371"/>
  <c r="W4371" s="1"/>
  <c r="E765" i="17"/>
  <c r="E1284" i="14"/>
  <c r="D2057" i="13"/>
  <c r="B4371" i="6"/>
  <c r="J4371"/>
  <c r="M4371"/>
  <c r="Q4370"/>
  <c r="W4370" s="1"/>
  <c r="J4370"/>
  <c r="E764" i="17"/>
  <c r="E1283" i="14"/>
  <c r="D2056" i="13"/>
  <c r="B4370" i="6"/>
  <c r="M4370"/>
  <c r="E763" i="17"/>
  <c r="E1282" i="14"/>
  <c r="D2055" i="13"/>
  <c r="W4369" i="6"/>
  <c r="Q4369"/>
  <c r="J4369"/>
  <c r="B4369"/>
  <c r="M4369"/>
  <c r="Q4368"/>
  <c r="W4368" s="1"/>
  <c r="V4367"/>
  <c r="E762" i="17"/>
  <c r="E1281" i="14"/>
  <c r="M4368" i="6"/>
  <c r="D2054" i="13"/>
  <c r="J4368" i="6"/>
  <c r="B4368"/>
  <c r="G761" i="17"/>
  <c r="F761"/>
  <c r="Q4366" i="6"/>
  <c r="W4366" s="1"/>
  <c r="Q4365"/>
  <c r="W4365" s="1"/>
  <c r="E761" i="17"/>
  <c r="G1280" i="14"/>
  <c r="F1280"/>
  <c r="E1280"/>
  <c r="D2053" i="13"/>
  <c r="J4366" i="6"/>
  <c r="B4366"/>
  <c r="O4366"/>
  <c r="N4366"/>
  <c r="M4366"/>
  <c r="Q4364"/>
  <c r="W4364" s="1"/>
  <c r="E760" i="17"/>
  <c r="E1279" i="14"/>
  <c r="D2052" i="13"/>
  <c r="J4365" i="6"/>
  <c r="B4365"/>
  <c r="M4365"/>
  <c r="E759" i="17"/>
  <c r="E1278" i="14"/>
  <c r="D2051" i="13"/>
  <c r="J4364" i="6"/>
  <c r="B4364"/>
  <c r="M4364"/>
  <c r="Q4362"/>
  <c r="W4362" s="1"/>
  <c r="Q4363"/>
  <c r="W4363" s="1"/>
  <c r="E1276" i="14"/>
  <c r="J4362" i="6"/>
  <c r="E758" i="17"/>
  <c r="E757"/>
  <c r="E1277" i="14"/>
  <c r="M4363" i="6"/>
  <c r="M4362"/>
  <c r="J4363"/>
  <c r="B4363"/>
  <c r="B4362"/>
  <c r="D2050" i="13" l="1"/>
  <c r="D2049"/>
  <c r="E756" i="17"/>
  <c r="E1275" i="14"/>
  <c r="Q4361" i="6"/>
  <c r="W4361" s="1"/>
  <c r="M4361"/>
  <c r="J4361"/>
  <c r="B4361"/>
  <c r="D2048" i="13"/>
  <c r="W4360" i="6"/>
  <c r="Q4360"/>
  <c r="E755" i="17"/>
  <c r="E1274" i="14"/>
  <c r="D2047" i="13"/>
  <c r="B4360" i="6"/>
  <c r="J4360"/>
  <c r="M4360"/>
  <c r="E754" i="17"/>
  <c r="E1273" i="14"/>
  <c r="D2046" i="13"/>
  <c r="W4359" i="6"/>
  <c r="Q4359"/>
  <c r="B4359"/>
  <c r="J4359"/>
  <c r="M4359"/>
  <c r="W4358"/>
  <c r="Q4358"/>
  <c r="E753" i="17"/>
  <c r="E1272" i="14"/>
  <c r="D2045" i="13"/>
  <c r="B4358" i="6"/>
  <c r="J4358"/>
  <c r="M4358"/>
  <c r="W4357"/>
  <c r="Q4357"/>
  <c r="E752" i="17"/>
  <c r="E1271" i="14"/>
  <c r="D2044" i="13"/>
  <c r="J4357" i="6"/>
  <c r="B4357"/>
  <c r="M4357"/>
  <c r="E751" i="17"/>
  <c r="E1270" i="14"/>
  <c r="D2043" i="13"/>
  <c r="Q4356" i="6"/>
  <c r="W4356" s="1"/>
  <c r="J4356"/>
  <c r="B4356"/>
  <c r="M4356"/>
  <c r="W4355"/>
  <c r="Q4355"/>
  <c r="E750" i="17"/>
  <c r="E1269" i="14"/>
  <c r="D2042" i="13"/>
  <c r="J4355" i="6"/>
  <c r="B4355"/>
  <c r="M4355"/>
  <c r="W4354"/>
  <c r="Q4354"/>
  <c r="E749" i="17"/>
  <c r="E1268" i="14"/>
  <c r="D2041" i="13"/>
  <c r="J4354" i="6"/>
  <c r="B4354"/>
  <c r="M4354"/>
  <c r="W4353"/>
  <c r="Q4353"/>
  <c r="E748" i="17"/>
  <c r="E1267" i="14"/>
  <c r="D2040" i="13"/>
  <c r="B4353" i="6"/>
  <c r="J4353"/>
  <c r="M4353"/>
  <c r="Q4352"/>
  <c r="W4352" s="1"/>
  <c r="O4073"/>
  <c r="O4095"/>
  <c r="E747" i="17"/>
  <c r="E1266" i="14"/>
  <c r="D2039" i="13"/>
  <c r="J4352" i="6"/>
  <c r="B4352"/>
  <c r="M4352"/>
  <c r="W4351"/>
  <c r="Q4351"/>
  <c r="E746" i="17"/>
  <c r="E1265" i="14"/>
  <c r="D2038" i="13"/>
  <c r="B4351" i="6"/>
  <c r="J4351"/>
  <c r="O4345"/>
  <c r="M4351"/>
  <c r="Q4350"/>
  <c r="W4350" s="1"/>
  <c r="E745" i="17"/>
  <c r="E1264" i="14"/>
  <c r="D2037" i="13"/>
  <c r="J4350" i="6"/>
  <c r="B4350"/>
  <c r="M4350"/>
  <c r="E744" i="17"/>
  <c r="E1263" i="14"/>
  <c r="D2036" i="13"/>
  <c r="Q4349" i="6"/>
  <c r="W4349" s="1"/>
  <c r="B4349"/>
  <c r="J4349"/>
  <c r="M4349"/>
  <c r="E743" i="17"/>
  <c r="E1262" i="14"/>
  <c r="D2035" i="13"/>
  <c r="Q4348" i="6"/>
  <c r="W4348" s="1"/>
  <c r="B4348"/>
  <c r="J4348"/>
  <c r="M4348"/>
  <c r="M4347"/>
  <c r="E742" i="17"/>
  <c r="E1261" i="14"/>
  <c r="D2034" i="13"/>
  <c r="Q4347" i="6"/>
  <c r="W4347" s="1"/>
  <c r="J4347"/>
  <c r="B4347"/>
  <c r="V4346"/>
  <c r="F741" i="17"/>
  <c r="W4345" i="6"/>
  <c r="Q4345"/>
  <c r="G741" i="17"/>
  <c r="E741"/>
  <c r="G1260" i="14"/>
  <c r="F1260"/>
  <c r="E1260"/>
  <c r="F2033" i="13"/>
  <c r="E2033"/>
  <c r="D2033"/>
  <c r="J4345" i="6"/>
  <c r="B4345"/>
  <c r="N4345"/>
  <c r="M4345"/>
  <c r="E740" i="17"/>
  <c r="E1259" i="14"/>
  <c r="D2032" i="13"/>
  <c r="Q4344" i="6"/>
  <c r="W4344" s="1"/>
  <c r="J4342"/>
  <c r="J4343"/>
  <c r="J4344"/>
  <c r="B4344"/>
  <c r="M4344"/>
  <c r="Q4343"/>
  <c r="W4343" s="1"/>
  <c r="E739" i="17"/>
  <c r="E1258" i="14"/>
  <c r="D2031" i="13"/>
  <c r="B4343" i="6"/>
  <c r="M4343"/>
  <c r="Q4342"/>
  <c r="W4342" s="1"/>
  <c r="E738" i="17"/>
  <c r="E1257" i="14"/>
  <c r="D2030" i="13"/>
  <c r="B4342" i="6"/>
  <c r="M4342"/>
  <c r="Q4341"/>
  <c r="W4341" s="1"/>
  <c r="E737" i="17"/>
  <c r="E1256" i="14"/>
  <c r="D2029" i="13"/>
  <c r="B4341" i="6"/>
  <c r="J4341"/>
  <c r="M4341"/>
  <c r="G718" i="17"/>
  <c r="E736"/>
  <c r="E1255" i="14"/>
  <c r="D2028" i="13"/>
  <c r="Q4340" i="6"/>
  <c r="W4340" s="1"/>
  <c r="B4340"/>
  <c r="J4340"/>
  <c r="M4340"/>
  <c r="E735" i="17"/>
  <c r="E1254" i="14"/>
  <c r="D2027" i="13"/>
  <c r="Q4339" i="6"/>
  <c r="W4339" s="1"/>
  <c r="B4339"/>
  <c r="J4339"/>
  <c r="M4339"/>
  <c r="E734" i="17"/>
  <c r="E1253" i="14"/>
  <c r="F2010" i="13"/>
  <c r="D2026"/>
  <c r="Q4338" i="6"/>
  <c r="W4338" s="1"/>
  <c r="J4338"/>
  <c r="B4338"/>
  <c r="M4338"/>
  <c r="E733" i="17"/>
  <c r="E1252" i="14"/>
  <c r="D2025" i="13"/>
  <c r="B4337" i="6"/>
  <c r="Q4337"/>
  <c r="W4337" s="1"/>
  <c r="J4337"/>
  <c r="M4337"/>
  <c r="Q4336"/>
  <c r="W4336" s="1"/>
  <c r="E732" i="17"/>
  <c r="E1251" i="14"/>
  <c r="D2024" i="13"/>
  <c r="B4336" i="6"/>
  <c r="J4336"/>
  <c r="M4336"/>
  <c r="Q4335"/>
  <c r="W4335" s="1"/>
  <c r="E731" i="17"/>
  <c r="E1250" i="14"/>
  <c r="D2023" i="13"/>
  <c r="J4335" i="6"/>
  <c r="B4335"/>
  <c r="M4335"/>
  <c r="E730" i="17"/>
  <c r="E1249" i="14"/>
  <c r="D2022" i="13"/>
  <c r="Q4334" i="6"/>
  <c r="W4334" s="1"/>
  <c r="B4334"/>
  <c r="J4334"/>
  <c r="M4334"/>
  <c r="Q4333"/>
  <c r="W4333" s="1"/>
  <c r="E729" i="17"/>
  <c r="E1248" i="14"/>
  <c r="D2021" i="13"/>
  <c r="B4333" i="6"/>
  <c r="J4333"/>
  <c r="M4333"/>
  <c r="Q4332"/>
  <c r="W4332" s="1"/>
  <c r="E728" i="17"/>
  <c r="E1247" i="14"/>
  <c r="D2020" i="13"/>
  <c r="B4332" i="6"/>
  <c r="J4332"/>
  <c r="M4332"/>
  <c r="Q4331"/>
  <c r="W4331" s="1"/>
  <c r="E727" i="17"/>
  <c r="E1246" i="14"/>
  <c r="M4331" i="6"/>
  <c r="J4331"/>
  <c r="B4331"/>
  <c r="D2019" i="13"/>
  <c r="Q4330" i="6" l="1"/>
  <c r="W4330" s="1"/>
  <c r="E726" i="17"/>
  <c r="E1245" i="14"/>
  <c r="D2018" i="13"/>
  <c r="B4330" i="6"/>
  <c r="J4330"/>
  <c r="M4330"/>
  <c r="Q4329"/>
  <c r="W4329" s="1"/>
  <c r="E725" i="17"/>
  <c r="E724"/>
  <c r="E1244" i="14"/>
  <c r="E1243"/>
  <c r="D2017" i="13"/>
  <c r="D2016"/>
  <c r="B4329" i="6"/>
  <c r="J4329"/>
  <c r="M4329"/>
  <c r="B4328"/>
  <c r="J4328"/>
  <c r="M4328"/>
  <c r="Q4327"/>
  <c r="E723" i="17"/>
  <c r="E1242" i="14"/>
  <c r="D2015" i="13"/>
  <c r="B4327" i="6"/>
  <c r="J4327"/>
  <c r="M4327"/>
  <c r="E722" i="17"/>
  <c r="E1241" i="14"/>
  <c r="D2014" i="13"/>
  <c r="Q4326" i="6"/>
  <c r="B4326"/>
  <c r="J4326"/>
  <c r="M4326"/>
  <c r="Q4325"/>
  <c r="E721" i="17"/>
  <c r="E720"/>
  <c r="F1237" i="14"/>
  <c r="E1240"/>
  <c r="E1239"/>
  <c r="D2013" i="13"/>
  <c r="D2012"/>
  <c r="B4325" i="6"/>
  <c r="J4325"/>
  <c r="M4325"/>
  <c r="B4324"/>
  <c r="J4324"/>
  <c r="M4324"/>
  <c r="F718" i="17"/>
  <c r="E719"/>
  <c r="G1237" i="14"/>
  <c r="G1215"/>
  <c r="E1238"/>
  <c r="D2011" i="13"/>
  <c r="Q4323" i="6"/>
  <c r="M4323"/>
  <c r="B4323"/>
  <c r="J4323"/>
  <c r="E2010" i="13"/>
  <c r="V4322" i="6"/>
  <c r="O4321"/>
  <c r="E718" i="17"/>
  <c r="E1237" i="14"/>
  <c r="D2010" i="13"/>
  <c r="Q4321" i="6"/>
  <c r="W4321" s="1"/>
  <c r="B4321"/>
  <c r="J4321"/>
  <c r="N4321"/>
  <c r="M4321"/>
  <c r="E717" i="17"/>
  <c r="E1236" i="14"/>
  <c r="D2009" i="13"/>
  <c r="W4320" i="6"/>
  <c r="Q4320"/>
  <c r="B4320"/>
  <c r="J4320"/>
  <c r="M4320"/>
  <c r="E716" i="17"/>
  <c r="E1235" i="14"/>
  <c r="D2008" i="13"/>
  <c r="W4319" i="6"/>
  <c r="Q4319"/>
  <c r="B4319"/>
  <c r="J4319"/>
  <c r="M4319"/>
  <c r="G696" i="17"/>
  <c r="E715"/>
  <c r="E1234" i="14"/>
  <c r="D2007" i="13"/>
  <c r="Q4318" i="6"/>
  <c r="W4318" s="1"/>
  <c r="B4318"/>
  <c r="J4318"/>
  <c r="M4318"/>
  <c r="G437" i="17"/>
  <c r="E714"/>
  <c r="E1233" i="14"/>
  <c r="D2006" i="13"/>
  <c r="Q4317" i="6"/>
  <c r="W4317" s="1"/>
  <c r="B4317"/>
  <c r="J4317"/>
  <c r="M4317"/>
  <c r="E713" i="17"/>
  <c r="E1232" i="14"/>
  <c r="D2005" i="13"/>
  <c r="Q4316" i="6"/>
  <c r="W4316" s="1"/>
  <c r="B4316"/>
  <c r="J4316"/>
  <c r="M4316"/>
  <c r="E712" i="17"/>
  <c r="E1231" i="14"/>
  <c r="D2004" i="13"/>
  <c r="Q4315" i="6"/>
  <c r="W4315" s="1"/>
  <c r="B4315"/>
  <c r="J4315"/>
  <c r="M4315"/>
  <c r="Q4314"/>
  <c r="W4314" s="1"/>
  <c r="E711" i="17"/>
  <c r="E1230" i="14"/>
  <c r="D2003" i="13"/>
  <c r="B4314" i="6"/>
  <c r="J4314"/>
  <c r="M4314"/>
  <c r="E710" i="17"/>
  <c r="E1229" i="14"/>
  <c r="D2002" i="13"/>
  <c r="Q4313" i="6"/>
  <c r="W4313" s="1"/>
  <c r="B4313"/>
  <c r="J4313"/>
  <c r="M4313"/>
  <c r="B4312"/>
  <c r="E709" i="17"/>
  <c r="E1228" i="14"/>
  <c r="D2001" i="13"/>
  <c r="Q4312" i="6"/>
  <c r="W4312" s="1"/>
  <c r="J4312"/>
  <c r="M4312"/>
  <c r="B4311"/>
  <c r="E708" i="17"/>
  <c r="E1227" i="14"/>
  <c r="D2000" i="13"/>
  <c r="Q4311" i="6"/>
  <c r="W4311" s="1"/>
  <c r="J4311"/>
  <c r="M4311"/>
  <c r="E707" i="17"/>
  <c r="E1226" i="14"/>
  <c r="D1999" i="13"/>
  <c r="J4310" i="6"/>
  <c r="B4310"/>
  <c r="M4310"/>
  <c r="Q4310"/>
  <c r="W4310" s="1"/>
  <c r="E706" i="17"/>
  <c r="E1225" i="14"/>
  <c r="D1998" i="13"/>
  <c r="Q4309" i="6"/>
  <c r="W4309" s="1"/>
  <c r="B4309"/>
  <c r="J4309"/>
  <c r="M4309"/>
  <c r="E705" i="17"/>
  <c r="E1224" i="14"/>
  <c r="D1997" i="13"/>
  <c r="Q4308" i="6"/>
  <c r="W4308" s="1"/>
  <c r="B4308"/>
  <c r="J4308"/>
  <c r="M4308"/>
  <c r="Q4307"/>
  <c r="W4307" s="1"/>
  <c r="E704" i="17"/>
  <c r="E1223" i="14"/>
  <c r="D1996" i="13"/>
  <c r="M4307" i="6"/>
  <c r="J4307"/>
  <c r="E703" i="17"/>
  <c r="E1222" i="14"/>
  <c r="D1995" i="13"/>
  <c r="M4306" i="6"/>
  <c r="J4306"/>
  <c r="E702" i="17"/>
  <c r="E1221" i="14"/>
  <c r="D1994" i="13"/>
  <c r="J4305" i="6"/>
  <c r="M4305"/>
  <c r="E701" i="17"/>
  <c r="E1220" i="14"/>
  <c r="D1993" i="13"/>
  <c r="B4304" i="6"/>
  <c r="B4305"/>
  <c r="B4306"/>
  <c r="B4307"/>
  <c r="J4304"/>
  <c r="M4304"/>
  <c r="D1992" i="13"/>
  <c r="E700" i="17"/>
  <c r="E1219" i="14"/>
  <c r="Q4303" i="6"/>
  <c r="W4303" s="1"/>
  <c r="B4303"/>
  <c r="J4303"/>
  <c r="M4303"/>
  <c r="E699" i="17"/>
  <c r="E1218" i="14"/>
  <c r="D1991" i="13"/>
  <c r="B4302" i="6"/>
  <c r="J4302"/>
  <c r="J4301"/>
  <c r="M4302"/>
  <c r="Q4302"/>
  <c r="W4302" s="1"/>
  <c r="E698" i="17"/>
  <c r="E1217" i="14"/>
  <c r="D1990" i="13"/>
  <c r="Q4301" i="6"/>
  <c r="W4301" s="1"/>
  <c r="B4301"/>
  <c r="M4301"/>
  <c r="O4298"/>
  <c r="E697" i="17"/>
  <c r="E1216" i="14"/>
  <c r="F1988" i="13"/>
  <c r="E1988"/>
  <c r="D1989"/>
  <c r="Q4300" i="6"/>
  <c r="W4300" s="1"/>
  <c r="B4300"/>
  <c r="J4300"/>
  <c r="M4300"/>
  <c r="V4299"/>
  <c r="F696" i="17"/>
  <c r="E696"/>
  <c r="F1215" i="14"/>
  <c r="E1215"/>
  <c r="D1988" i="13"/>
  <c r="B4298" i="6"/>
  <c r="Q4298"/>
  <c r="W4298" s="1"/>
  <c r="J4298"/>
  <c r="N4298"/>
  <c r="M4298"/>
  <c r="E1214" i="14"/>
  <c r="E695" i="17"/>
  <c r="Q4297" i="6"/>
  <c r="W4297" s="1"/>
  <c r="B4297"/>
  <c r="M4297"/>
  <c r="J4297"/>
  <c r="D1987" i="13"/>
  <c r="B4295" i="6"/>
  <c r="B4296"/>
  <c r="M4296"/>
  <c r="M4295"/>
  <c r="Q4296"/>
  <c r="E694" i="17" l="1"/>
  <c r="E1213" i="14"/>
  <c r="D1986" i="13"/>
  <c r="J4296" i="6"/>
  <c r="W4296"/>
  <c r="E693" i="17" l="1"/>
  <c r="E1212" i="14"/>
  <c r="D1985" i="13"/>
  <c r="Q4295" i="6"/>
  <c r="W4295" s="1"/>
  <c r="J4295" l="1"/>
  <c r="J4293"/>
  <c r="Q4294" l="1"/>
  <c r="W4294" s="1"/>
  <c r="F675" i="17"/>
  <c r="E691"/>
  <c r="E1210" i="14"/>
  <c r="D1983" i="13"/>
  <c r="Q4293" i="6"/>
  <c r="W4293" s="1"/>
  <c r="B4293"/>
  <c r="M4293"/>
  <c r="E690" i="17"/>
  <c r="E1209" i="14"/>
  <c r="D1982" i="13"/>
  <c r="Q4292" i="6"/>
  <c r="W4292" s="1"/>
  <c r="B4292"/>
  <c r="J4292"/>
  <c r="M4292"/>
  <c r="E689" i="17"/>
  <c r="E1208" i="14"/>
  <c r="D1981" i="13"/>
  <c r="Q4291" i="6"/>
  <c r="W4291" s="1"/>
  <c r="B4291"/>
  <c r="J4291"/>
  <c r="M4291"/>
  <c r="Q4290"/>
  <c r="W4290" s="1"/>
  <c r="E688" i="17"/>
  <c r="E1207" i="14"/>
  <c r="D1980" i="13"/>
  <c r="B4290" i="6"/>
  <c r="J4290"/>
  <c r="M4290"/>
  <c r="E687" i="17"/>
  <c r="E1206" i="14"/>
  <c r="D1979" i="13"/>
  <c r="O4027" i="6"/>
  <c r="Q4289"/>
  <c r="W4289" s="1"/>
  <c r="B4289"/>
  <c r="J4289"/>
  <c r="M4289"/>
  <c r="E685" i="17"/>
  <c r="Q4287" i="6"/>
  <c r="W4287" s="1"/>
  <c r="Q4288"/>
  <c r="W4288" s="1"/>
  <c r="E686" i="17"/>
  <c r="E1205" i="14"/>
  <c r="E1204"/>
  <c r="D1978" i="13"/>
  <c r="D1977"/>
  <c r="M4288" i="6"/>
  <c r="J4288"/>
  <c r="B4288"/>
  <c r="B4287"/>
  <c r="J4287"/>
  <c r="M4287"/>
  <c r="Q4286"/>
  <c r="W4286" s="1"/>
  <c r="E684" i="17"/>
  <c r="G1194" i="14"/>
  <c r="E1203"/>
  <c r="D1976" i="13"/>
  <c r="B4286" i="6"/>
  <c r="J4286"/>
  <c r="M4286"/>
  <c r="E683" i="17"/>
  <c r="E1202" i="14"/>
  <c r="D1975" i="13"/>
  <c r="Q4285" i="6"/>
  <c r="W4285" s="1"/>
  <c r="B4285"/>
  <c r="J4285"/>
  <c r="M4285"/>
  <c r="E682" i="17"/>
  <c r="E1201" i="14"/>
  <c r="D1974" i="13"/>
  <c r="Q4284" i="6"/>
  <c r="W4284" s="1"/>
  <c r="B4284"/>
  <c r="J4284"/>
  <c r="M4284"/>
  <c r="E681" i="17"/>
  <c r="E1200" i="14"/>
  <c r="D1973" i="13"/>
  <c r="Q4283" i="6"/>
  <c r="W4283" s="1"/>
  <c r="J4283"/>
  <c r="B4283"/>
  <c r="M4283"/>
  <c r="E680" i="17"/>
  <c r="E1199" i="14"/>
  <c r="M4282" i="6"/>
  <c r="Q4282"/>
  <c r="W4282" s="1"/>
  <c r="B4282"/>
  <c r="J4282"/>
  <c r="D1972" i="13"/>
  <c r="E679" i="17"/>
  <c r="E1198" i="14"/>
  <c r="D1971" i="13"/>
  <c r="Q4281" i="6"/>
  <c r="W4281" s="1"/>
  <c r="B4281"/>
  <c r="J4281"/>
  <c r="M4281"/>
  <c r="E678" i="17"/>
  <c r="E1197" i="14"/>
  <c r="D1970" i="13"/>
  <c r="Q4280" i="6"/>
  <c r="W4280" s="1"/>
  <c r="B4280"/>
  <c r="J4280"/>
  <c r="M4280"/>
  <c r="E677" i="17"/>
  <c r="E1196" i="14"/>
  <c r="D1969" i="13"/>
  <c r="Q4279" i="6"/>
  <c r="W4279" s="1"/>
  <c r="B4279"/>
  <c r="J4279"/>
  <c r="M4279"/>
  <c r="G392" i="17"/>
  <c r="G415"/>
  <c r="E676"/>
  <c r="G675"/>
  <c r="E1195" i="14"/>
  <c r="F63" i="22"/>
  <c r="D1968" i="13"/>
  <c r="Q4278" i="6"/>
  <c r="W4278" s="1"/>
  <c r="V4253"/>
  <c r="V4277"/>
  <c r="N4276"/>
  <c r="J4278"/>
  <c r="B4278"/>
  <c r="M4278"/>
  <c r="E675" i="17"/>
  <c r="F1194" i="14"/>
  <c r="E1194"/>
  <c r="D1967" i="13"/>
  <c r="Q4276" i="6"/>
  <c r="W4276" s="1"/>
  <c r="J4276"/>
  <c r="B4276"/>
  <c r="O4276"/>
  <c r="M4276"/>
  <c r="E674" i="17"/>
  <c r="E1193" i="14"/>
  <c r="D1966" i="13"/>
  <c r="Q4275" i="6"/>
  <c r="W4275" s="1"/>
  <c r="B4275"/>
  <c r="J4275"/>
  <c r="M4275"/>
  <c r="Q4274"/>
  <c r="W4274" s="1"/>
  <c r="E673" i="17"/>
  <c r="E1192" i="14"/>
  <c r="D1965" i="13"/>
  <c r="B4274" i="6"/>
  <c r="J4274"/>
  <c r="M4274"/>
  <c r="E672" i="17"/>
  <c r="E1191" i="14"/>
  <c r="D1964" i="13"/>
  <c r="Q4273" i="6"/>
  <c r="W4273" s="1"/>
  <c r="B4273"/>
  <c r="J4273"/>
  <c r="M4273"/>
  <c r="E671" i="17"/>
  <c r="E1190" i="14"/>
  <c r="D1963" i="13"/>
  <c r="Q4272" i="6"/>
  <c r="W4272" s="1"/>
  <c r="B4272"/>
  <c r="J4272"/>
  <c r="M4272"/>
  <c r="Q4271"/>
  <c r="W4271" s="1"/>
  <c r="E670" i="17"/>
  <c r="E1189" i="14"/>
  <c r="D1962" i="13"/>
  <c r="B4271" i="6"/>
  <c r="J4271"/>
  <c r="M4271"/>
  <c r="E669" i="17"/>
  <c r="E1188" i="14"/>
  <c r="D1961" i="13"/>
  <c r="O4004" i="6"/>
  <c r="Q4270"/>
  <c r="W4270" s="1"/>
  <c r="B4270"/>
  <c r="J4270"/>
  <c r="M4270"/>
  <c r="E668" i="17"/>
  <c r="E1187" i="14"/>
  <c r="D1960" i="13"/>
  <c r="Q4269" i="6"/>
  <c r="W4269" s="1"/>
  <c r="J4269"/>
  <c r="B4269"/>
  <c r="M4269"/>
  <c r="E667" i="17"/>
  <c r="E1186" i="14"/>
  <c r="Q4268" i="6"/>
  <c r="W4268" s="1"/>
  <c r="J4268"/>
  <c r="M4268"/>
  <c r="B4268"/>
  <c r="D1959" i="13" l="1"/>
  <c r="Q4267" i="6"/>
  <c r="E666" i="17" l="1"/>
  <c r="E1185" i="14"/>
  <c r="D1958" i="13"/>
  <c r="W4267" i="6"/>
  <c r="J4267"/>
  <c r="B4267"/>
  <c r="M4267"/>
  <c r="E665" i="17"/>
  <c r="E1184" i="14"/>
  <c r="D1957" i="13"/>
  <c r="B4266" i="6"/>
  <c r="Q4266"/>
  <c r="W4266" s="1"/>
  <c r="J4266"/>
  <c r="M4266"/>
  <c r="E664" i="17"/>
  <c r="E1183" i="14"/>
  <c r="D1956" i="13"/>
  <c r="Q4265" i="6"/>
  <c r="W4265" s="1"/>
  <c r="J4265"/>
  <c r="B4265"/>
  <c r="M4265"/>
  <c r="G652" i="17"/>
  <c r="E663"/>
  <c r="E1182" i="14"/>
  <c r="D1955" i="13"/>
  <c r="B4264" i="6"/>
  <c r="Q4264"/>
  <c r="W4264" s="1"/>
  <c r="J4264"/>
  <c r="M4264"/>
  <c r="E662" i="17"/>
  <c r="E1181" i="14"/>
  <c r="Q4263" i="6"/>
  <c r="W4263" s="1"/>
  <c r="B4263"/>
  <c r="J4263"/>
  <c r="D1954" i="13"/>
  <c r="M4263" i="6"/>
  <c r="Q4262"/>
  <c r="W4262" s="1"/>
  <c r="B4262"/>
  <c r="J4262"/>
  <c r="E1180" i="14"/>
  <c r="E661" i="17"/>
  <c r="M4262" i="6"/>
  <c r="D1953" i="13"/>
  <c r="E660" i="17"/>
  <c r="G1171" i="14"/>
  <c r="E1179"/>
  <c r="D1952" i="13"/>
  <c r="Q4261" i="6"/>
  <c r="W4261" s="1"/>
  <c r="B4261"/>
  <c r="J4261"/>
  <c r="N4252"/>
  <c r="M4261"/>
  <c r="E659" i="17"/>
  <c r="E1178" i="14"/>
  <c r="D1951" i="13"/>
  <c r="Q4260" i="6"/>
  <c r="W4260" s="1"/>
  <c r="B4260"/>
  <c r="J4260"/>
  <c r="M4260"/>
  <c r="E658" i="17"/>
  <c r="E1177" i="14"/>
  <c r="D1950" i="13"/>
  <c r="O4252" i="6"/>
  <c r="B4259"/>
  <c r="Q4259"/>
  <c r="W4259" s="1"/>
  <c r="J4259"/>
  <c r="M4259"/>
  <c r="E657" i="17"/>
  <c r="E1176" i="14"/>
  <c r="D1949" i="13"/>
  <c r="Q4258" i="6"/>
  <c r="W4258" s="1"/>
  <c r="B4258"/>
  <c r="J4258"/>
  <c r="M4258"/>
  <c r="Q4257"/>
  <c r="W4257" s="1"/>
  <c r="E656" i="17"/>
  <c r="E1175" i="14"/>
  <c r="J4257" i="6"/>
  <c r="B4257"/>
  <c r="M4257"/>
  <c r="D1948" i="13"/>
  <c r="Q4256" i="6"/>
  <c r="W4256" s="1"/>
  <c r="E655" i="17"/>
  <c r="E1174" i="14"/>
  <c r="D1947" i="13"/>
  <c r="J4256" i="6"/>
  <c r="B4256"/>
  <c r="M4256"/>
  <c r="Q4255"/>
  <c r="E654" i="17"/>
  <c r="E1173" i="14"/>
  <c r="D1946" i="13"/>
  <c r="W4255" i="6"/>
  <c r="B4255"/>
  <c r="J4255"/>
  <c r="M4255"/>
  <c r="F652" i="17"/>
  <c r="E653"/>
  <c r="E1172" i="14"/>
  <c r="D1945" i="13"/>
  <c r="E1967" s="1"/>
  <c r="Q4254" i="6"/>
  <c r="W4254" s="1"/>
  <c r="B4254"/>
  <c r="J4254"/>
  <c r="M4254"/>
  <c r="E652" i="17"/>
  <c r="E1171" i="14"/>
  <c r="F1171"/>
  <c r="D1944" i="13"/>
  <c r="Q4252" i="6"/>
  <c r="W4252" s="1"/>
  <c r="J4252"/>
  <c r="B4252"/>
  <c r="M4252"/>
  <c r="Q4251"/>
  <c r="W4251" s="1"/>
  <c r="E651" i="17"/>
  <c r="E1170" i="14"/>
  <c r="D1943" i="13"/>
  <c r="B4251" i="6"/>
  <c r="J4251"/>
  <c r="M4251"/>
  <c r="E650" i="17"/>
  <c r="E1169" i="14"/>
  <c r="D1942" i="13"/>
  <c r="Q4250" i="6"/>
  <c r="W4250" s="1"/>
  <c r="J4250"/>
  <c r="B4250"/>
  <c r="M4250"/>
  <c r="E649" i="17"/>
  <c r="E1168" i="14"/>
  <c r="D1941" i="13"/>
  <c r="Q4249" i="6"/>
  <c r="W4249" s="1"/>
  <c r="J4249"/>
  <c r="B4249"/>
  <c r="M4249"/>
  <c r="E648" i="17"/>
  <c r="E1167" i="14"/>
  <c r="D1940" i="13"/>
  <c r="Q4248" i="6"/>
  <c r="W4248" s="1"/>
  <c r="B4248"/>
  <c r="J4248"/>
  <c r="M4248"/>
  <c r="Q4247"/>
  <c r="W4247" s="1"/>
  <c r="E647" i="17"/>
  <c r="E1166" i="14"/>
  <c r="D1939" i="13"/>
  <c r="B4247" i="6"/>
  <c r="J4247"/>
  <c r="M4247"/>
  <c r="O3054"/>
  <c r="O3845"/>
  <c r="E646" i="17"/>
  <c r="E1165" i="14"/>
  <c r="O3836" i="6"/>
  <c r="D1938" i="13"/>
  <c r="Q4246" i="6"/>
  <c r="W4246" s="1"/>
  <c r="J4246"/>
  <c r="B4246"/>
  <c r="M4246"/>
  <c r="E645" i="17"/>
  <c r="E1164" i="14"/>
  <c r="D1937" i="13"/>
  <c r="B4245" i="6"/>
  <c r="J4245"/>
  <c r="Q4245"/>
  <c r="W4245" s="1"/>
  <c r="M4245"/>
  <c r="N51" i="10"/>
  <c r="B4244" i="6"/>
  <c r="Q4244"/>
  <c r="W4244" s="1"/>
  <c r="E644" i="17"/>
  <c r="E1163" i="14"/>
  <c r="D1936" i="13"/>
  <c r="J4244" i="6"/>
  <c r="M4244"/>
  <c r="Q4243"/>
  <c r="W4243" s="1"/>
  <c r="E643" i="17"/>
  <c r="E1162" i="14"/>
  <c r="D1935" i="13"/>
  <c r="J4243" i="6"/>
  <c r="B4243"/>
  <c r="M4243"/>
  <c r="Q4242"/>
  <c r="W4242" s="1"/>
  <c r="E642" i="17"/>
  <c r="E641"/>
  <c r="E1161" i="14"/>
  <c r="E1160"/>
  <c r="D1934" i="13"/>
  <c r="B4242" i="6"/>
  <c r="J4242"/>
  <c r="M4242"/>
  <c r="B4241"/>
  <c r="Q4241"/>
  <c r="W4241" s="1"/>
  <c r="J4241"/>
  <c r="M4241"/>
  <c r="D1933" i="13"/>
  <c r="E640" i="17"/>
  <c r="E1159" i="14"/>
  <c r="D1932" i="13"/>
  <c r="Q4240" i="6"/>
  <c r="W4240" s="1"/>
  <c r="M4240"/>
  <c r="J4240"/>
  <c r="B4240"/>
  <c r="E639" i="17"/>
  <c r="E1158" i="14"/>
  <c r="D1931" i="13"/>
  <c r="Q4239" i="6"/>
  <c r="W4239" s="1"/>
  <c r="J4239"/>
  <c r="B4239"/>
  <c r="M4239"/>
  <c r="Q4238"/>
  <c r="W4238" s="1"/>
  <c r="E638" i="17"/>
  <c r="E1157" i="14"/>
  <c r="D1930" i="13"/>
  <c r="J4238" i="6"/>
  <c r="B4238"/>
  <c r="M4238"/>
  <c r="E637" i="17"/>
  <c r="E1156" i="14"/>
  <c r="Q4237" i="6"/>
  <c r="W4237" s="1"/>
  <c r="B4237"/>
  <c r="J4237"/>
  <c r="M4237"/>
  <c r="D1929" i="13"/>
  <c r="Q4236" i="6"/>
  <c r="W4236" s="1"/>
  <c r="Q4235"/>
  <c r="W4235" s="1"/>
  <c r="B4236"/>
  <c r="B4235"/>
  <c r="E636" i="17"/>
  <c r="E635"/>
  <c r="E1155" i="14"/>
  <c r="E1154"/>
  <c r="D1928" i="13"/>
  <c r="D1927"/>
  <c r="M4236" i="6"/>
  <c r="M4235"/>
  <c r="J4235"/>
  <c r="J4236"/>
  <c r="E634" i="17"/>
  <c r="E1153" i="14"/>
  <c r="D1926" i="13"/>
  <c r="J4234" i="6"/>
  <c r="Q4234"/>
  <c r="W4234" s="1"/>
  <c r="Q4233"/>
  <c r="W4233" s="1"/>
  <c r="E633" i="17"/>
  <c r="E1152" i="14"/>
  <c r="D1925" i="13"/>
  <c r="J4233" i="6"/>
  <c r="B4234"/>
  <c r="B4233"/>
  <c r="M4234"/>
  <c r="M4233"/>
  <c r="E632" i="17"/>
  <c r="E1151" i="14"/>
  <c r="J4232" i="6"/>
  <c r="B4232"/>
  <c r="M4232"/>
  <c r="D1924" i="13"/>
  <c r="Q4230" i="6"/>
  <c r="W4230" s="1"/>
  <c r="V4231"/>
  <c r="G631" i="17"/>
  <c r="F631"/>
  <c r="E631"/>
  <c r="E1150" i="14"/>
  <c r="G1150"/>
  <c r="F1150"/>
  <c r="D1923" i="13"/>
  <c r="O4230" i="6"/>
  <c r="N4230"/>
  <c r="M4230"/>
  <c r="J4230"/>
  <c r="B4230"/>
  <c r="E630" i="17"/>
  <c r="E1149" i="14"/>
  <c r="D1922" i="13"/>
  <c r="Q4229" i="6"/>
  <c r="W4229" s="1"/>
  <c r="B4229"/>
  <c r="M4229"/>
  <c r="J4229"/>
  <c r="E1148" i="14"/>
  <c r="E629" i="17"/>
  <c r="D1921" i="13"/>
  <c r="Q4228" i="6"/>
  <c r="W4228" s="1"/>
  <c r="M4228"/>
  <c r="J4228"/>
  <c r="B4228"/>
  <c r="Q4226"/>
  <c r="W4226" s="1"/>
  <c r="Q4227"/>
  <c r="W4227" s="1"/>
  <c r="E1147" i="14"/>
  <c r="E628" i="17"/>
  <c r="D1920" i="13"/>
  <c r="B4227" i="6"/>
  <c r="J4227"/>
  <c r="M4227"/>
  <c r="E1944" i="13" l="1"/>
  <c r="Q4225" i="6"/>
  <c r="W4225" s="1"/>
  <c r="B4225"/>
  <c r="E626" i="17"/>
  <c r="E1145" i="14"/>
  <c r="D1918" i="13"/>
  <c r="J4225" i="6"/>
  <c r="M4225"/>
  <c r="E625" i="17"/>
  <c r="E1144" i="14"/>
  <c r="D1917" i="13"/>
  <c r="Q4224" i="6"/>
  <c r="W4224" s="1"/>
  <c r="M4224"/>
  <c r="J4224"/>
  <c r="B4224"/>
  <c r="Q4223"/>
  <c r="W4223" s="1"/>
  <c r="E624" i="17"/>
  <c r="E1143" i="14"/>
  <c r="D1916" i="13"/>
  <c r="J4223" i="6"/>
  <c r="B4223"/>
  <c r="M4223"/>
  <c r="Q4222"/>
  <c r="W4222" s="1"/>
  <c r="E623" i="17"/>
  <c r="E1142" i="14"/>
  <c r="D1915" i="13"/>
  <c r="M4222" i="6"/>
  <c r="J4222"/>
  <c r="B4222"/>
  <c r="Q4220"/>
  <c r="W4220" s="1"/>
  <c r="Q4221"/>
  <c r="W4221" s="1"/>
  <c r="E622" i="17"/>
  <c r="E621"/>
  <c r="E1141" i="14"/>
  <c r="E1140"/>
  <c r="M4221" i="6"/>
  <c r="M4220"/>
  <c r="B4221"/>
  <c r="J4221"/>
  <c r="J4220"/>
  <c r="B4220"/>
  <c r="D1914" i="13"/>
  <c r="D1913"/>
  <c r="Q4219" i="6" l="1"/>
  <c r="W4219" s="1"/>
  <c r="B4219"/>
  <c r="E1139" i="14" l="1"/>
  <c r="E1138"/>
  <c r="E620" i="17"/>
  <c r="D1912" i="13"/>
  <c r="J4219" i="6"/>
  <c r="M4219"/>
  <c r="Q4218"/>
  <c r="W4218" s="1"/>
  <c r="J4218"/>
  <c r="B4218"/>
  <c r="E619" i="17"/>
  <c r="D1911" i="13"/>
  <c r="M4218" i="6"/>
  <c r="E618" i="17"/>
  <c r="E617"/>
  <c r="E616"/>
  <c r="E615"/>
  <c r="E1137" i="14"/>
  <c r="E1136"/>
  <c r="E1135"/>
  <c r="E1134"/>
  <c r="Q4217" i="6"/>
  <c r="W4217" s="1"/>
  <c r="B4217"/>
  <c r="M4216"/>
  <c r="M4217"/>
  <c r="M4215"/>
  <c r="J4217"/>
  <c r="D1910" i="13"/>
  <c r="W1732" i="6"/>
  <c r="W1733"/>
  <c r="W1734"/>
  <c r="W1735"/>
  <c r="W1736"/>
  <c r="W1737"/>
  <c r="W1738"/>
  <c r="W1739"/>
  <c r="W1740"/>
  <c r="W1741"/>
  <c r="W1742"/>
  <c r="W1743"/>
  <c r="W1744"/>
  <c r="W1745"/>
  <c r="W1746"/>
  <c r="W1747"/>
  <c r="W1748"/>
  <c r="W1749"/>
  <c r="W1750"/>
  <c r="W1751"/>
  <c r="W1752"/>
  <c r="W1753"/>
  <c r="W1754"/>
  <c r="W1755"/>
  <c r="W1756"/>
  <c r="W1757"/>
  <c r="W1758"/>
  <c r="W1759"/>
  <c r="W1760"/>
  <c r="W1761"/>
  <c r="W1762"/>
  <c r="W1763"/>
  <c r="W1764"/>
  <c r="W1765"/>
  <c r="W1766"/>
  <c r="W1767"/>
  <c r="W1768"/>
  <c r="W1769"/>
  <c r="W1770"/>
  <c r="W1771"/>
  <c r="W1772"/>
  <c r="W1773"/>
  <c r="W1774"/>
  <c r="W1775"/>
  <c r="W1776"/>
  <c r="W1777"/>
  <c r="W1778"/>
  <c r="W1779"/>
  <c r="W1780"/>
  <c r="W1781"/>
  <c r="W1782"/>
  <c r="W1783"/>
  <c r="W1784"/>
  <c r="W1785"/>
  <c r="W1786"/>
  <c r="W1787"/>
  <c r="W1788"/>
  <c r="W1789"/>
  <c r="W1790"/>
  <c r="W1791"/>
  <c r="W1792"/>
  <c r="W1793"/>
  <c r="W1794"/>
  <c r="W1795"/>
  <c r="W1796"/>
  <c r="W1797"/>
  <c r="W1798"/>
  <c r="W1799"/>
  <c r="W1800"/>
  <c r="W1801"/>
  <c r="W1802"/>
  <c r="W1803"/>
  <c r="W1804"/>
  <c r="W1805"/>
  <c r="W1806"/>
  <c r="W1807"/>
  <c r="W1808"/>
  <c r="W1809"/>
  <c r="W1810"/>
  <c r="W1811"/>
  <c r="W1812"/>
  <c r="W1813"/>
  <c r="W1814"/>
  <c r="W1815"/>
  <c r="W1816"/>
  <c r="W1817"/>
  <c r="W1818"/>
  <c r="W1819"/>
  <c r="W1820"/>
  <c r="W1821"/>
  <c r="W1822"/>
  <c r="W1823"/>
  <c r="W1824"/>
  <c r="W1825"/>
  <c r="W1826"/>
  <c r="W1827"/>
  <c r="W1828"/>
  <c r="W1829"/>
  <c r="W1830"/>
  <c r="W1831"/>
  <c r="W1832"/>
  <c r="W1833"/>
  <c r="W1834"/>
  <c r="W1835"/>
  <c r="W1836"/>
  <c r="W1837"/>
  <c r="W1838"/>
  <c r="W1839"/>
  <c r="W1840"/>
  <c r="W1841"/>
  <c r="W1842"/>
  <c r="W1843"/>
  <c r="W1844"/>
  <c r="W1845"/>
  <c r="W1846"/>
  <c r="W1847"/>
  <c r="W1848"/>
  <c r="W1849"/>
  <c r="W1850"/>
  <c r="W1851"/>
  <c r="W1852"/>
  <c r="W1853"/>
  <c r="W1854"/>
  <c r="W1855"/>
  <c r="W1856"/>
  <c r="W1857"/>
  <c r="W1858"/>
  <c r="W1859"/>
  <c r="W1860"/>
  <c r="W1861"/>
  <c r="W1862"/>
  <c r="W1863"/>
  <c r="W1864"/>
  <c r="W1865"/>
  <c r="W1866"/>
  <c r="W1867"/>
  <c r="W1868"/>
  <c r="W1869"/>
  <c r="W1870"/>
  <c r="W1871"/>
  <c r="W1872"/>
  <c r="W1873"/>
  <c r="W1874"/>
  <c r="W1875"/>
  <c r="W1876"/>
  <c r="W1877"/>
  <c r="W1878"/>
  <c r="W1879"/>
  <c r="W1880"/>
  <c r="W1881"/>
  <c r="W1882"/>
  <c r="W1883"/>
  <c r="W1884"/>
  <c r="W1885"/>
  <c r="W1886"/>
  <c r="W1887"/>
  <c r="W1888"/>
  <c r="W1889"/>
  <c r="W1890"/>
  <c r="W1891"/>
  <c r="W1892"/>
  <c r="W1893"/>
  <c r="W1894"/>
  <c r="W1895"/>
  <c r="W1896"/>
  <c r="W1897"/>
  <c r="W1898"/>
  <c r="W1899"/>
  <c r="W1900"/>
  <c r="W1901"/>
  <c r="W1902"/>
  <c r="W1903"/>
  <c r="W1904"/>
  <c r="W1905"/>
  <c r="W1906"/>
  <c r="W1907"/>
  <c r="W1908"/>
  <c r="W1909"/>
  <c r="W1910"/>
  <c r="W1911"/>
  <c r="W1912"/>
  <c r="W1913"/>
  <c r="W1914"/>
  <c r="W1915"/>
  <c r="W1916"/>
  <c r="W1917"/>
  <c r="W1918"/>
  <c r="W1919"/>
  <c r="W1920"/>
  <c r="W1921"/>
  <c r="W1922"/>
  <c r="W1923"/>
  <c r="W1924"/>
  <c r="W1925"/>
  <c r="W1926"/>
  <c r="W1927"/>
  <c r="W1928"/>
  <c r="W1929"/>
  <c r="W1930"/>
  <c r="W1931"/>
  <c r="W1932"/>
  <c r="W1933"/>
  <c r="W1934"/>
  <c r="W1935"/>
  <c r="W1936"/>
  <c r="W1937"/>
  <c r="W1938"/>
  <c r="W1939"/>
  <c r="W1940"/>
  <c r="W1941"/>
  <c r="W1942"/>
  <c r="W1943"/>
  <c r="W1944"/>
  <c r="W1945"/>
  <c r="W1946"/>
  <c r="W1947"/>
  <c r="W1948"/>
  <c r="W1949"/>
  <c r="W1950"/>
  <c r="W1951"/>
  <c r="W1952"/>
  <c r="W1953"/>
  <c r="W1954"/>
  <c r="W1955"/>
  <c r="W1956"/>
  <c r="W1957"/>
  <c r="W1958"/>
  <c r="W1959"/>
  <c r="W1960"/>
  <c r="W1961"/>
  <c r="W1962"/>
  <c r="W1963"/>
  <c r="W1964"/>
  <c r="W1965"/>
  <c r="W1966"/>
  <c r="W1967"/>
  <c r="W1968"/>
  <c r="W1969"/>
  <c r="W1970"/>
  <c r="W1971"/>
  <c r="W1972"/>
  <c r="W1973"/>
  <c r="W1974"/>
  <c r="W1975"/>
  <c r="W1976"/>
  <c r="W1977"/>
  <c r="W1978"/>
  <c r="W1979"/>
  <c r="W1980"/>
  <c r="W1981"/>
  <c r="W1982"/>
  <c r="W1983"/>
  <c r="W1984"/>
  <c r="W1985"/>
  <c r="W1986"/>
  <c r="W1987"/>
  <c r="W1988"/>
  <c r="W1989"/>
  <c r="W1990"/>
  <c r="W1991"/>
  <c r="W1992"/>
  <c r="W1993"/>
  <c r="W1994"/>
  <c r="W1995"/>
  <c r="W1996"/>
  <c r="W1997"/>
  <c r="W1998"/>
  <c r="W1999"/>
  <c r="W2000"/>
  <c r="W2001"/>
  <c r="W2002"/>
  <c r="W2003"/>
  <c r="W2004"/>
  <c r="W2005"/>
  <c r="W2006"/>
  <c r="W2007"/>
  <c r="W2008"/>
  <c r="W2009"/>
  <c r="W2010"/>
  <c r="W2011"/>
  <c r="W2012"/>
  <c r="W2013"/>
  <c r="W2014"/>
  <c r="W2015"/>
  <c r="W2016"/>
  <c r="W2017"/>
  <c r="W2018"/>
  <c r="W2019"/>
  <c r="W2020"/>
  <c r="W2021"/>
  <c r="W2022"/>
  <c r="W2023"/>
  <c r="W2024"/>
  <c r="W2025"/>
  <c r="W2026"/>
  <c r="W2027"/>
  <c r="W2028"/>
  <c r="W2029"/>
  <c r="W2030"/>
  <c r="W2031"/>
  <c r="W2032"/>
  <c r="W2033"/>
  <c r="W2034"/>
  <c r="W2035"/>
  <c r="W2036"/>
  <c r="W2037"/>
  <c r="W2038"/>
  <c r="W2039"/>
  <c r="W2040"/>
  <c r="W2041"/>
  <c r="W2042"/>
  <c r="W2043"/>
  <c r="W2044"/>
  <c r="W2045"/>
  <c r="W2046"/>
  <c r="W2047"/>
  <c r="W2048"/>
  <c r="W2049"/>
  <c r="W2050"/>
  <c r="W2051"/>
  <c r="W2052"/>
  <c r="W2053"/>
  <c r="W2054"/>
  <c r="W2055"/>
  <c r="W2056"/>
  <c r="W2057"/>
  <c r="W2058"/>
  <c r="W2059"/>
  <c r="W2060"/>
  <c r="W2061"/>
  <c r="W2062"/>
  <c r="W2063"/>
  <c r="W2064"/>
  <c r="W2065"/>
  <c r="W2066"/>
  <c r="W2067"/>
  <c r="W2068"/>
  <c r="W2069"/>
  <c r="W2070"/>
  <c r="W2071"/>
  <c r="W2072"/>
  <c r="W2073"/>
  <c r="W2074"/>
  <c r="W2075"/>
  <c r="W2076"/>
  <c r="W2077"/>
  <c r="W2078"/>
  <c r="W2079"/>
  <c r="W2080"/>
  <c r="W2081"/>
  <c r="W2082"/>
  <c r="W2083"/>
  <c r="W2084"/>
  <c r="W2085"/>
  <c r="W2086"/>
  <c r="W2087"/>
  <c r="W2088"/>
  <c r="W2089"/>
  <c r="W2090"/>
  <c r="W2091"/>
  <c r="W2092"/>
  <c r="W2093"/>
  <c r="W2094"/>
  <c r="W2095"/>
  <c r="W2096"/>
  <c r="W2097"/>
  <c r="W2098"/>
  <c r="W2099"/>
  <c r="W2100"/>
  <c r="W2101"/>
  <c r="W2102"/>
  <c r="W2103"/>
  <c r="W2104"/>
  <c r="W2105"/>
  <c r="W2106"/>
  <c r="W2107"/>
  <c r="W2108"/>
  <c r="W2109"/>
  <c r="W2110"/>
  <c r="W2111"/>
  <c r="W2112"/>
  <c r="W2113"/>
  <c r="W2114"/>
  <c r="W2115"/>
  <c r="W2116"/>
  <c r="W2117"/>
  <c r="W2118"/>
  <c r="W2119"/>
  <c r="W2120"/>
  <c r="W2121"/>
  <c r="W2122"/>
  <c r="W2123"/>
  <c r="W2124"/>
  <c r="W2125"/>
  <c r="W2126"/>
  <c r="W2127"/>
  <c r="W2128"/>
  <c r="W2129"/>
  <c r="W2130"/>
  <c r="W2131"/>
  <c r="W2132"/>
  <c r="W2133"/>
  <c r="W2134"/>
  <c r="W2135"/>
  <c r="W2136"/>
  <c r="W2137"/>
  <c r="W2138"/>
  <c r="W2139"/>
  <c r="W2140"/>
  <c r="W2141"/>
  <c r="W2142"/>
  <c r="W2143"/>
  <c r="W2144"/>
  <c r="W2145"/>
  <c r="W2146"/>
  <c r="W2147"/>
  <c r="W2148"/>
  <c r="W2149"/>
  <c r="W2150"/>
  <c r="W2151"/>
  <c r="W2152"/>
  <c r="W2153"/>
  <c r="W2154"/>
  <c r="W2155"/>
  <c r="W2156"/>
  <c r="W2157"/>
  <c r="W2158"/>
  <c r="W2159"/>
  <c r="W2160"/>
  <c r="W2161"/>
  <c r="W2162"/>
  <c r="W2163"/>
  <c r="W2164"/>
  <c r="W2165"/>
  <c r="W2166"/>
  <c r="W2167"/>
  <c r="W2168"/>
  <c r="W2169"/>
  <c r="W2170"/>
  <c r="W2171"/>
  <c r="W2172"/>
  <c r="W2173"/>
  <c r="W2174"/>
  <c r="W2175"/>
  <c r="W2176"/>
  <c r="W2177"/>
  <c r="W2178"/>
  <c r="W2179"/>
  <c r="W2180"/>
  <c r="W2181"/>
  <c r="W2182"/>
  <c r="W2183"/>
  <c r="W2184"/>
  <c r="W2185"/>
  <c r="W2186"/>
  <c r="W2187"/>
  <c r="W2188"/>
  <c r="W2189"/>
  <c r="W2190"/>
  <c r="W2191"/>
  <c r="W2192"/>
  <c r="W2193"/>
  <c r="W2194"/>
  <c r="W2195"/>
  <c r="W2196"/>
  <c r="W2197"/>
  <c r="W2198"/>
  <c r="W2199"/>
  <c r="W2200"/>
  <c r="W2201"/>
  <c r="W2202"/>
  <c r="W2203"/>
  <c r="W2204"/>
  <c r="W2205"/>
  <c r="W2206"/>
  <c r="W2207"/>
  <c r="W2208"/>
  <c r="W2209"/>
  <c r="W2210"/>
  <c r="W2211"/>
  <c r="W2212"/>
  <c r="W2213"/>
  <c r="W2214"/>
  <c r="W2215"/>
  <c r="W2216"/>
  <c r="W2217"/>
  <c r="W2218"/>
  <c r="W2219"/>
  <c r="W2220"/>
  <c r="W2221"/>
  <c r="W2222"/>
  <c r="W2223"/>
  <c r="W2224"/>
  <c r="W2225"/>
  <c r="W2226"/>
  <c r="W2227"/>
  <c r="W2228"/>
  <c r="W2229"/>
  <c r="W2230"/>
  <c r="W2231"/>
  <c r="W2232"/>
  <c r="W2233"/>
  <c r="W2234"/>
  <c r="W2235"/>
  <c r="W2236"/>
  <c r="W2237"/>
  <c r="W2238"/>
  <c r="W2239"/>
  <c r="W2240"/>
  <c r="W2241"/>
  <c r="W2242"/>
  <c r="W2243"/>
  <c r="W2244"/>
  <c r="W2245"/>
  <c r="W2246"/>
  <c r="W2247"/>
  <c r="W2248"/>
  <c r="W2249"/>
  <c r="W2250"/>
  <c r="W2251"/>
  <c r="W2252"/>
  <c r="W2253"/>
  <c r="W2254"/>
  <c r="W2255"/>
  <c r="W2256"/>
  <c r="W2257"/>
  <c r="W2258"/>
  <c r="W2259"/>
  <c r="W2260"/>
  <c r="W2261"/>
  <c r="W2262"/>
  <c r="W2263"/>
  <c r="W2264"/>
  <c r="W2265"/>
  <c r="W2266"/>
  <c r="W2267"/>
  <c r="W2268"/>
  <c r="W2269"/>
  <c r="W2270"/>
  <c r="W2271"/>
  <c r="W2272"/>
  <c r="W2273"/>
  <c r="W2274"/>
  <c r="W2275"/>
  <c r="W2276"/>
  <c r="W2277"/>
  <c r="W2278"/>
  <c r="W2279"/>
  <c r="W2280"/>
  <c r="W2281"/>
  <c r="W2282"/>
  <c r="W2283"/>
  <c r="W2284"/>
  <c r="W2285"/>
  <c r="W2286"/>
  <c r="W2287"/>
  <c r="W2288"/>
  <c r="W2289"/>
  <c r="W2290"/>
  <c r="W2291"/>
  <c r="W2292"/>
  <c r="W2293"/>
  <c r="W2294"/>
  <c r="W2295"/>
  <c r="W2296"/>
  <c r="W2297"/>
  <c r="W2298"/>
  <c r="W2299"/>
  <c r="W2300"/>
  <c r="W2301"/>
  <c r="W2302"/>
  <c r="W2303"/>
  <c r="W2304"/>
  <c r="W2305"/>
  <c r="W2306"/>
  <c r="W2307"/>
  <c r="W2308"/>
  <c r="W2309"/>
  <c r="W2310"/>
  <c r="W2311"/>
  <c r="W2312"/>
  <c r="W2313"/>
  <c r="W2314"/>
  <c r="W2315"/>
  <c r="W2316"/>
  <c r="W2317"/>
  <c r="W2318"/>
  <c r="W2319"/>
  <c r="W2320"/>
  <c r="W2321"/>
  <c r="W2322"/>
  <c r="W2323"/>
  <c r="W2324"/>
  <c r="W2325"/>
  <c r="W2326"/>
  <c r="W2327"/>
  <c r="W2328"/>
  <c r="W2329"/>
  <c r="W2330"/>
  <c r="W2331"/>
  <c r="W2332"/>
  <c r="W2333"/>
  <c r="W2334"/>
  <c r="W2335"/>
  <c r="W2336"/>
  <c r="W2337"/>
  <c r="W2338"/>
  <c r="W2339"/>
  <c r="W2340"/>
  <c r="W2341"/>
  <c r="W2342"/>
  <c r="W2343"/>
  <c r="W2344"/>
  <c r="W2345"/>
  <c r="W2346"/>
  <c r="W2347"/>
  <c r="W2348"/>
  <c r="W2349"/>
  <c r="W2350"/>
  <c r="W2351"/>
  <c r="W2352"/>
  <c r="W2353"/>
  <c r="W2354"/>
  <c r="W2355"/>
  <c r="W2356"/>
  <c r="W2357"/>
  <c r="W2358"/>
  <c r="W2359"/>
  <c r="W2360"/>
  <c r="W2361"/>
  <c r="W2362"/>
  <c r="W2363"/>
  <c r="W2364"/>
  <c r="W2365"/>
  <c r="W2366"/>
  <c r="W2367"/>
  <c r="W2368"/>
  <c r="W2369"/>
  <c r="W2370"/>
  <c r="W2371"/>
  <c r="W2372"/>
  <c r="W2373"/>
  <c r="W2374"/>
  <c r="W2375"/>
  <c r="W2376"/>
  <c r="W2377"/>
  <c r="W2378"/>
  <c r="W2379"/>
  <c r="W2380"/>
  <c r="W2381"/>
  <c r="W2382"/>
  <c r="W2383"/>
  <c r="W2384"/>
  <c r="W2385"/>
  <c r="W2386"/>
  <c r="W2387"/>
  <c r="W2388"/>
  <c r="W2389"/>
  <c r="W2390"/>
  <c r="W2391"/>
  <c r="W2392"/>
  <c r="W2393"/>
  <c r="W2394"/>
  <c r="W2395"/>
  <c r="W2396"/>
  <c r="W2397"/>
  <c r="W2398"/>
  <c r="W2399"/>
  <c r="W2400"/>
  <c r="W2401"/>
  <c r="W2402"/>
  <c r="W2403"/>
  <c r="W2404"/>
  <c r="W2405"/>
  <c r="W2406"/>
  <c r="W2407"/>
  <c r="W2408"/>
  <c r="W2409"/>
  <c r="W2410"/>
  <c r="W2411"/>
  <c r="W2412"/>
  <c r="W2413"/>
  <c r="W2414"/>
  <c r="W2415"/>
  <c r="W2416"/>
  <c r="W2417"/>
  <c r="W2418"/>
  <c r="W2419"/>
  <c r="W2420"/>
  <c r="W2421"/>
  <c r="W2422"/>
  <c r="W2423"/>
  <c r="W2424"/>
  <c r="W2425"/>
  <c r="W2426"/>
  <c r="W2427"/>
  <c r="W2428"/>
  <c r="W2429"/>
  <c r="W2430"/>
  <c r="W2431"/>
  <c r="W2432"/>
  <c r="W2433"/>
  <c r="W2434"/>
  <c r="W2435"/>
  <c r="W2436"/>
  <c r="W2437"/>
  <c r="W2438"/>
  <c r="W2439"/>
  <c r="W2440"/>
  <c r="W2441"/>
  <c r="W2442"/>
  <c r="W2443"/>
  <c r="W2444"/>
  <c r="W2445"/>
  <c r="W2446"/>
  <c r="W2447"/>
  <c r="W2448"/>
  <c r="W2449"/>
  <c r="W2450"/>
  <c r="W2451"/>
  <c r="W2452"/>
  <c r="W2453"/>
  <c r="W2454"/>
  <c r="W2455"/>
  <c r="W2456"/>
  <c r="W2457"/>
  <c r="W2458"/>
  <c r="W2459"/>
  <c r="W2460"/>
  <c r="W2461"/>
  <c r="W2462"/>
  <c r="W2463"/>
  <c r="W2464"/>
  <c r="W2465"/>
  <c r="W2466"/>
  <c r="W2467"/>
  <c r="W2468"/>
  <c r="W2469"/>
  <c r="W2470"/>
  <c r="W2471"/>
  <c r="W2472"/>
  <c r="W2473"/>
  <c r="W2474"/>
  <c r="W2475"/>
  <c r="W2476"/>
  <c r="W2477"/>
  <c r="W2478"/>
  <c r="W2479"/>
  <c r="W2480"/>
  <c r="W2481"/>
  <c r="W2482"/>
  <c r="W2483"/>
  <c r="W2484"/>
  <c r="W2485"/>
  <c r="W2486"/>
  <c r="W2487"/>
  <c r="W2488"/>
  <c r="W2489"/>
  <c r="W2490"/>
  <c r="W2491"/>
  <c r="W2492"/>
  <c r="W2493"/>
  <c r="W2494"/>
  <c r="W2495"/>
  <c r="W2496"/>
  <c r="W2497"/>
  <c r="W2498"/>
  <c r="W2499"/>
  <c r="W2500"/>
  <c r="W2501"/>
  <c r="W2502"/>
  <c r="W2503"/>
  <c r="W2504"/>
  <c r="W2505"/>
  <c r="W2506"/>
  <c r="W2507"/>
  <c r="W2508"/>
  <c r="W2509"/>
  <c r="W2510"/>
  <c r="W2511"/>
  <c r="W2512"/>
  <c r="W2513"/>
  <c r="W2514"/>
  <c r="W2515"/>
  <c r="W2516"/>
  <c r="W2517"/>
  <c r="W2518"/>
  <c r="W2519"/>
  <c r="W2520"/>
  <c r="W2521"/>
  <c r="W2522"/>
  <c r="W2523"/>
  <c r="W2524"/>
  <c r="W2525"/>
  <c r="W2526"/>
  <c r="W2527"/>
  <c r="W2528"/>
  <c r="W2529"/>
  <c r="W2530"/>
  <c r="W2531"/>
  <c r="W2532"/>
  <c r="W2533"/>
  <c r="W2534"/>
  <c r="W2535"/>
  <c r="W2536"/>
  <c r="W2537"/>
  <c r="W2538"/>
  <c r="W2539"/>
  <c r="W2540"/>
  <c r="W2541"/>
  <c r="W2542"/>
  <c r="W2543"/>
  <c r="W2544"/>
  <c r="W2545"/>
  <c r="W2546"/>
  <c r="W2547"/>
  <c r="W2548"/>
  <c r="W2549"/>
  <c r="W2550"/>
  <c r="W2551"/>
  <c r="W2552"/>
  <c r="W2553"/>
  <c r="W2554"/>
  <c r="W2555"/>
  <c r="W2556"/>
  <c r="W2557"/>
  <c r="W2558"/>
  <c r="W2559"/>
  <c r="W2560"/>
  <c r="W2561"/>
  <c r="W2562"/>
  <c r="W2563"/>
  <c r="W2564"/>
  <c r="W2565"/>
  <c r="W2566"/>
  <c r="W2567"/>
  <c r="W2568"/>
  <c r="W2569"/>
  <c r="W2570"/>
  <c r="W2571"/>
  <c r="W2572"/>
  <c r="W2573"/>
  <c r="W2574"/>
  <c r="W2575"/>
  <c r="W2576"/>
  <c r="W2577"/>
  <c r="W2578"/>
  <c r="W2579"/>
  <c r="W2580"/>
  <c r="W2581"/>
  <c r="W2582"/>
  <c r="W2583"/>
  <c r="W2584"/>
  <c r="W2585"/>
  <c r="W2586"/>
  <c r="W2587"/>
  <c r="W2588"/>
  <c r="W2589"/>
  <c r="W2590"/>
  <c r="W2591"/>
  <c r="W2592"/>
  <c r="W2593"/>
  <c r="W2594"/>
  <c r="W2595"/>
  <c r="W2596"/>
  <c r="W2597"/>
  <c r="W2598"/>
  <c r="W2599"/>
  <c r="W2600"/>
  <c r="W2601"/>
  <c r="W2602"/>
  <c r="W2603"/>
  <c r="W2604"/>
  <c r="W2605"/>
  <c r="W2606"/>
  <c r="W2607"/>
  <c r="W2608"/>
  <c r="W2609"/>
  <c r="W2610"/>
  <c r="W2611"/>
  <c r="W2612"/>
  <c r="W2613"/>
  <c r="W2614"/>
  <c r="W2615"/>
  <c r="W2616"/>
  <c r="W2617"/>
  <c r="W2618"/>
  <c r="W2619"/>
  <c r="W2620"/>
  <c r="W2621"/>
  <c r="W2622"/>
  <c r="W2623"/>
  <c r="W2624"/>
  <c r="W2625"/>
  <c r="W2626"/>
  <c r="W2627"/>
  <c r="W2628"/>
  <c r="W2629"/>
  <c r="W2630"/>
  <c r="W2631"/>
  <c r="W2632"/>
  <c r="W2633"/>
  <c r="W2634"/>
  <c r="W2635"/>
  <c r="W2636"/>
  <c r="W2637"/>
  <c r="W2638"/>
  <c r="W2639"/>
  <c r="W2640"/>
  <c r="W2641"/>
  <c r="W2642"/>
  <c r="W2643"/>
  <c r="W2644"/>
  <c r="W2645"/>
  <c r="W2646"/>
  <c r="W2647"/>
  <c r="W2648"/>
  <c r="W2649"/>
  <c r="W2650"/>
  <c r="W2651"/>
  <c r="W2652"/>
  <c r="W2653"/>
  <c r="W2654"/>
  <c r="W2655"/>
  <c r="W2656"/>
  <c r="W2657"/>
  <c r="W2658"/>
  <c r="W2659"/>
  <c r="W2660"/>
  <c r="W2661"/>
  <c r="W2662"/>
  <c r="W2663"/>
  <c r="W2664"/>
  <c r="W2665"/>
  <c r="W2666"/>
  <c r="W2667"/>
  <c r="W2668"/>
  <c r="W2669"/>
  <c r="W2670"/>
  <c r="W2671"/>
  <c r="W2672"/>
  <c r="W2673"/>
  <c r="W2674"/>
  <c r="W2675"/>
  <c r="W2676"/>
  <c r="W2677"/>
  <c r="W2678"/>
  <c r="W2679"/>
  <c r="W2680"/>
  <c r="W2681"/>
  <c r="W2682"/>
  <c r="W2683"/>
  <c r="W2684"/>
  <c r="W2685"/>
  <c r="W2686"/>
  <c r="W2687"/>
  <c r="W2688"/>
  <c r="W2689"/>
  <c r="W2690"/>
  <c r="W2691"/>
  <c r="W2692"/>
  <c r="W2693"/>
  <c r="W2694"/>
  <c r="W2695"/>
  <c r="W2696"/>
  <c r="W2697"/>
  <c r="W2698"/>
  <c r="W2699"/>
  <c r="W2700"/>
  <c r="W2701"/>
  <c r="W2702"/>
  <c r="W2703"/>
  <c r="W2704"/>
  <c r="W2705"/>
  <c r="W2706"/>
  <c r="W2707"/>
  <c r="W2708"/>
  <c r="W2709"/>
  <c r="W2710"/>
  <c r="W2711"/>
  <c r="W2712"/>
  <c r="W2713"/>
  <c r="W2714"/>
  <c r="W2715"/>
  <c r="W2716"/>
  <c r="W2717"/>
  <c r="W2718"/>
  <c r="W2719"/>
  <c r="W2720"/>
  <c r="W2721"/>
  <c r="W2722"/>
  <c r="W2723"/>
  <c r="W2724"/>
  <c r="W2725"/>
  <c r="W2726"/>
  <c r="W2727"/>
  <c r="W2728"/>
  <c r="W2729"/>
  <c r="W2730"/>
  <c r="W2731"/>
  <c r="W2732"/>
  <c r="W2733"/>
  <c r="W2734"/>
  <c r="W2735"/>
  <c r="W2736"/>
  <c r="W2737"/>
  <c r="W2738"/>
  <c r="W2739"/>
  <c r="W2740"/>
  <c r="W2741"/>
  <c r="W2742"/>
  <c r="W2743"/>
  <c r="W2744"/>
  <c r="W2745"/>
  <c r="W2746"/>
  <c r="W2747"/>
  <c r="W2748"/>
  <c r="W2749"/>
  <c r="W2750"/>
  <c r="W2751"/>
  <c r="W2752"/>
  <c r="W2753"/>
  <c r="W2754"/>
  <c r="W2755"/>
  <c r="W2756"/>
  <c r="W2757"/>
  <c r="W2758"/>
  <c r="W2759"/>
  <c r="W2760"/>
  <c r="W2761"/>
  <c r="W2762"/>
  <c r="W2763"/>
  <c r="W2764"/>
  <c r="W2765"/>
  <c r="W2766"/>
  <c r="W2767"/>
  <c r="W2768"/>
  <c r="W2769"/>
  <c r="W2770"/>
  <c r="W2771"/>
  <c r="W2772"/>
  <c r="W2773"/>
  <c r="W2774"/>
  <c r="W2775"/>
  <c r="W2776"/>
  <c r="W2777"/>
  <c r="W2778"/>
  <c r="W2779"/>
  <c r="W2780"/>
  <c r="W2781"/>
  <c r="W2782"/>
  <c r="W2783"/>
  <c r="W2784"/>
  <c r="W2785"/>
  <c r="W2786"/>
  <c r="W2787"/>
  <c r="W2788"/>
  <c r="W2789"/>
  <c r="W2790"/>
  <c r="W2791"/>
  <c r="W2792"/>
  <c r="W2793"/>
  <c r="W2794"/>
  <c r="W2795"/>
  <c r="W2796"/>
  <c r="W2797"/>
  <c r="W2798"/>
  <c r="W2799"/>
  <c r="W2800"/>
  <c r="W2801"/>
  <c r="W2802"/>
  <c r="W2803"/>
  <c r="W2804"/>
  <c r="W2805"/>
  <c r="W2806"/>
  <c r="W2807"/>
  <c r="W2808"/>
  <c r="W2809"/>
  <c r="W2810"/>
  <c r="W2811"/>
  <c r="W2812"/>
  <c r="W2813"/>
  <c r="W2814"/>
  <c r="W2815"/>
  <c r="W2816"/>
  <c r="W2817"/>
  <c r="W2818"/>
  <c r="W2819"/>
  <c r="W2820"/>
  <c r="W2821"/>
  <c r="W2822"/>
  <c r="W2823"/>
  <c r="W2824"/>
  <c r="W2825"/>
  <c r="W2826"/>
  <c r="W2827"/>
  <c r="W2828"/>
  <c r="W2829"/>
  <c r="W2830"/>
  <c r="W2831"/>
  <c r="W2832"/>
  <c r="W2833"/>
  <c r="W2834"/>
  <c r="W2835"/>
  <c r="W2836"/>
  <c r="W2837"/>
  <c r="W2838"/>
  <c r="W2839"/>
  <c r="W2840"/>
  <c r="W2841"/>
  <c r="W2842"/>
  <c r="W2843"/>
  <c r="W2844"/>
  <c r="W2845"/>
  <c r="W2846"/>
  <c r="W2847"/>
  <c r="W2848"/>
  <c r="W2849"/>
  <c r="W2850"/>
  <c r="W2851"/>
  <c r="W2852"/>
  <c r="W2853"/>
  <c r="W2854"/>
  <c r="W2855"/>
  <c r="W2856"/>
  <c r="W2857"/>
  <c r="W2858"/>
  <c r="W2859"/>
  <c r="W2860"/>
  <c r="W2861"/>
  <c r="W2862"/>
  <c r="W2863"/>
  <c r="W2864"/>
  <c r="W2865"/>
  <c r="W2866"/>
  <c r="W2867"/>
  <c r="W2868"/>
  <c r="W2869"/>
  <c r="W2870"/>
  <c r="W2871"/>
  <c r="W2872"/>
  <c r="W2873"/>
  <c r="W2874"/>
  <c r="W2875"/>
  <c r="W2876"/>
  <c r="W2877"/>
  <c r="W2878"/>
  <c r="W2879"/>
  <c r="W2880"/>
  <c r="W2881"/>
  <c r="W2882"/>
  <c r="W2883"/>
  <c r="W2884"/>
  <c r="W2885"/>
  <c r="W2886"/>
  <c r="W2887"/>
  <c r="W2888"/>
  <c r="W2889"/>
  <c r="W2890"/>
  <c r="W2891"/>
  <c r="W2892"/>
  <c r="W2893"/>
  <c r="W2894"/>
  <c r="W2895"/>
  <c r="W2896"/>
  <c r="W2897"/>
  <c r="W2898"/>
  <c r="W2899"/>
  <c r="W2900"/>
  <c r="W2901"/>
  <c r="W2902"/>
  <c r="W2903"/>
  <c r="W2904"/>
  <c r="W2905"/>
  <c r="W2906"/>
  <c r="W2907"/>
  <c r="W2908"/>
  <c r="W2909"/>
  <c r="W2910"/>
  <c r="W2911"/>
  <c r="W2912"/>
  <c r="W2913"/>
  <c r="W2914"/>
  <c r="W2915"/>
  <c r="W2916"/>
  <c r="W2917"/>
  <c r="W2918"/>
  <c r="W2919"/>
  <c r="W2920"/>
  <c r="W2921"/>
  <c r="W2922"/>
  <c r="W2923"/>
  <c r="W2924"/>
  <c r="W2925"/>
  <c r="W2926"/>
  <c r="W2927"/>
  <c r="W2928"/>
  <c r="W2929"/>
  <c r="W2930"/>
  <c r="W2931"/>
  <c r="W2932"/>
  <c r="W2933"/>
  <c r="W2934"/>
  <c r="W2935"/>
  <c r="W2936"/>
  <c r="W2937"/>
  <c r="W2938"/>
  <c r="W2939"/>
  <c r="W2940"/>
  <c r="W2941"/>
  <c r="W2942"/>
  <c r="W2943"/>
  <c r="W2944"/>
  <c r="W2945"/>
  <c r="W2946"/>
  <c r="W2947"/>
  <c r="W2948"/>
  <c r="W2949"/>
  <c r="W2950"/>
  <c r="W2951"/>
  <c r="W2952"/>
  <c r="W2953"/>
  <c r="W2954"/>
  <c r="W2955"/>
  <c r="W2956"/>
  <c r="W2957"/>
  <c r="W2958"/>
  <c r="W2959"/>
  <c r="W2960"/>
  <c r="W2961"/>
  <c r="W2962"/>
  <c r="W2963"/>
  <c r="W2964"/>
  <c r="W2965"/>
  <c r="W2966"/>
  <c r="W2967"/>
  <c r="W2968"/>
  <c r="W2969"/>
  <c r="W2970"/>
  <c r="W2971"/>
  <c r="W2972"/>
  <c r="W2973"/>
  <c r="W2974"/>
  <c r="W2975"/>
  <c r="W2976"/>
  <c r="W2977"/>
  <c r="W2978"/>
  <c r="W2979"/>
  <c r="W2980"/>
  <c r="W2981"/>
  <c r="W2982"/>
  <c r="W2983"/>
  <c r="W2984"/>
  <c r="W2985"/>
  <c r="W2986"/>
  <c r="W2987"/>
  <c r="W2988"/>
  <c r="W2989"/>
  <c r="W2990"/>
  <c r="W2991"/>
  <c r="W2992"/>
  <c r="W2993"/>
  <c r="W2994"/>
  <c r="W2995"/>
  <c r="W2996"/>
  <c r="W2997"/>
  <c r="W2998"/>
  <c r="W2999"/>
  <c r="W3000"/>
  <c r="W3001"/>
  <c r="W3002"/>
  <c r="W3003"/>
  <c r="W3004"/>
  <c r="W3005"/>
  <c r="W3006"/>
  <c r="W3007"/>
  <c r="W3008"/>
  <c r="W3009"/>
  <c r="W3010"/>
  <c r="W3011"/>
  <c r="W3012"/>
  <c r="W3013"/>
  <c r="W3014"/>
  <c r="W3015"/>
  <c r="W3016"/>
  <c r="W3017"/>
  <c r="W3018"/>
  <c r="W3019"/>
  <c r="W3020"/>
  <c r="W3021"/>
  <c r="W3022"/>
  <c r="W3023"/>
  <c r="W3024"/>
  <c r="W3025"/>
  <c r="W3026"/>
  <c r="W3027"/>
  <c r="W3028"/>
  <c r="W3029"/>
  <c r="W3030"/>
  <c r="W3031"/>
  <c r="W3032"/>
  <c r="W3033"/>
  <c r="W3034"/>
  <c r="W3035"/>
  <c r="W3036"/>
  <c r="W3037"/>
  <c r="W3038"/>
  <c r="W3039"/>
  <c r="W3040"/>
  <c r="W3041"/>
  <c r="W3042"/>
  <c r="W3043"/>
  <c r="W3044"/>
  <c r="W3045"/>
  <c r="W3046"/>
  <c r="W3047"/>
  <c r="W3048"/>
  <c r="W3050"/>
  <c r="W3051"/>
  <c r="W3052"/>
  <c r="W3053"/>
  <c r="W3085"/>
  <c r="W3086"/>
  <c r="W3087"/>
  <c r="W3088"/>
  <c r="W3089"/>
  <c r="W3120"/>
  <c r="W3140"/>
  <c r="W3162"/>
  <c r="W3170"/>
  <c r="W3171"/>
  <c r="W3172"/>
  <c r="W3200"/>
  <c r="W3201"/>
  <c r="W3241"/>
  <c r="W3242"/>
  <c r="W3243"/>
  <c r="W3244"/>
  <c r="W3249"/>
  <c r="W3250"/>
  <c r="W3251"/>
  <c r="W3252"/>
  <c r="W3253"/>
  <c r="W3270"/>
  <c r="W3271"/>
  <c r="W3306"/>
  <c r="W3310"/>
  <c r="W3311"/>
  <c r="W3336"/>
  <c r="W3337"/>
  <c r="W3338"/>
  <c r="W3339"/>
  <c r="W3340"/>
  <c r="W3379"/>
  <c r="W3380"/>
  <c r="W3393"/>
  <c r="W3394"/>
  <c r="W3399"/>
  <c r="W1710"/>
  <c r="W1711"/>
  <c r="W1712"/>
  <c r="W1713"/>
  <c r="W1714"/>
  <c r="W1715"/>
  <c r="W1716"/>
  <c r="W1717"/>
  <c r="W1718"/>
  <c r="W1719"/>
  <c r="W1720"/>
  <c r="W1721"/>
  <c r="W1722"/>
  <c r="W1723"/>
  <c r="W1724"/>
  <c r="W1725"/>
  <c r="W1726"/>
  <c r="W1727"/>
  <c r="W1728"/>
  <c r="W1729"/>
  <c r="W1730"/>
  <c r="W1731"/>
  <c r="W1704"/>
  <c r="W1705"/>
  <c r="W1706"/>
  <c r="W1707"/>
  <c r="W1708"/>
  <c r="W1703"/>
  <c r="W1709"/>
  <c r="W4151"/>
  <c r="Q4216"/>
  <c r="W4216" s="1"/>
  <c r="J4216" l="1"/>
  <c r="B4216"/>
  <c r="D1909" i="13"/>
  <c r="B4215" i="6"/>
  <c r="Q4215"/>
  <c r="W4215" s="1"/>
  <c r="D1908" i="13"/>
  <c r="J4215" i="6"/>
  <c r="E614" i="17"/>
  <c r="E1133" i="14"/>
  <c r="D1907" i="13"/>
  <c r="Q4214" i="6"/>
  <c r="W4214" s="1"/>
  <c r="J4214"/>
  <c r="B4214"/>
  <c r="M4214"/>
  <c r="Q4213"/>
  <c r="W4213" s="1"/>
  <c r="D1906" i="13" l="1"/>
  <c r="J4213" i="6"/>
  <c r="M4213"/>
  <c r="B4213"/>
  <c r="Q4212"/>
  <c r="W4212" s="1"/>
  <c r="E613" i="17"/>
  <c r="E1132" i="14"/>
  <c r="M4212" i="6"/>
  <c r="J4212"/>
  <c r="B4212"/>
  <c r="D1905" i="13"/>
  <c r="D1903"/>
  <c r="E611" i="17" l="1"/>
  <c r="E1130" i="14"/>
  <c r="J4210" i="6"/>
  <c r="M4210"/>
  <c r="B4209"/>
  <c r="E610" i="17"/>
  <c r="E1129" i="14"/>
  <c r="D1902" i="13"/>
  <c r="E1923" s="1"/>
  <c r="Q4207" i="6"/>
  <c r="W4207" s="1"/>
  <c r="J4209"/>
  <c r="M4209"/>
  <c r="E609" i="17" l="1"/>
  <c r="G609"/>
  <c r="F609"/>
  <c r="G1128" i="14"/>
  <c r="F1128"/>
  <c r="E1128"/>
  <c r="D1901" i="13"/>
  <c r="V4208" i="6"/>
  <c r="O4207"/>
  <c r="N4207"/>
  <c r="M4207"/>
  <c r="J4207"/>
  <c r="B4207"/>
  <c r="Q4206"/>
  <c r="W4206" s="1"/>
  <c r="E608" i="17"/>
  <c r="E1127" i="14"/>
  <c r="D1900" i="13"/>
  <c r="M4206" i="6"/>
  <c r="J4206"/>
  <c r="B4206"/>
  <c r="Q4205"/>
  <c r="W4205" s="1"/>
  <c r="J4205"/>
  <c r="B4205"/>
  <c r="M4205"/>
  <c r="E607" i="17"/>
  <c r="E1126" i="14"/>
  <c r="D1899" i="13"/>
  <c r="Q4204" i="6"/>
  <c r="W4204" s="1"/>
  <c r="B4204"/>
  <c r="D1898" i="13"/>
  <c r="E606" i="17" l="1"/>
  <c r="E1125" i="14"/>
  <c r="M4204" i="6"/>
  <c r="J4204"/>
  <c r="Q4200"/>
  <c r="W4200" s="1"/>
  <c r="Q4199"/>
  <c r="W4199" s="1"/>
  <c r="Q4202"/>
  <c r="W4202" s="1"/>
  <c r="Q4203"/>
  <c r="W4203" s="1"/>
  <c r="Q4201"/>
  <c r="W4201" s="1"/>
  <c r="E605" i="17"/>
  <c r="E604"/>
  <c r="E603"/>
  <c r="E1124" i="14"/>
  <c r="E1123"/>
  <c r="E1122"/>
  <c r="D1896" i="13"/>
  <c r="D1897"/>
  <c r="D1895"/>
  <c r="B4203" i="6"/>
  <c r="J4203"/>
  <c r="M4203"/>
  <c r="B4202"/>
  <c r="J4202"/>
  <c r="M4202"/>
  <c r="M4201"/>
  <c r="B4201"/>
  <c r="J4201"/>
  <c r="E600" i="17"/>
  <c r="E1119" i="14"/>
  <c r="D1892" i="13"/>
  <c r="Q4198" i="6"/>
  <c r="W4198" s="1"/>
  <c r="M4198"/>
  <c r="J4198"/>
  <c r="B4198"/>
  <c r="Q4197"/>
  <c r="W4197" s="1"/>
  <c r="E599" i="17"/>
  <c r="E1118" i="14"/>
  <c r="D1891" i="13"/>
  <c r="B4197" i="6"/>
  <c r="J4197"/>
  <c r="M4197"/>
  <c r="Q4196"/>
  <c r="W4196" s="1"/>
  <c r="E598" i="17"/>
  <c r="E1117" i="14"/>
  <c r="D1890" i="13"/>
  <c r="J4196" i="6"/>
  <c r="B4196"/>
  <c r="M4196"/>
  <c r="Q4195"/>
  <c r="W4195" s="1"/>
  <c r="E597" i="17"/>
  <c r="E1116" i="14"/>
  <c r="D1889" i="13"/>
  <c r="B4195" i="6"/>
  <c r="J4195"/>
  <c r="M4195"/>
  <c r="Q4194"/>
  <c r="W4194" s="1"/>
  <c r="E1115" i="14"/>
  <c r="D1888" i="13"/>
  <c r="E596" i="17" l="1"/>
  <c r="J4194" i="6"/>
  <c r="M4194"/>
  <c r="B4194"/>
  <c r="E595" i="17"/>
  <c r="E1114" i="14"/>
  <c r="D1887" i="13"/>
  <c r="Q4193" i="6"/>
  <c r="W4193" s="1"/>
  <c r="J4193"/>
  <c r="B4193" l="1"/>
  <c r="M4193"/>
  <c r="E594" i="17"/>
  <c r="E1113" i="14"/>
  <c r="Q4192" i="6"/>
  <c r="W4192" s="1"/>
  <c r="M4192"/>
  <c r="J4192"/>
  <c r="B4192"/>
  <c r="D1886" i="13" l="1"/>
  <c r="Q4191" i="6"/>
  <c r="W4191" s="1"/>
  <c r="E593" i="17"/>
  <c r="E1112" i="14"/>
  <c r="D1885" i="13"/>
  <c r="B4191" i="6"/>
  <c r="J4191"/>
  <c r="M4191"/>
  <c r="E592" i="17"/>
  <c r="E1111" i="14"/>
  <c r="J4190" i="6"/>
  <c r="B4190"/>
  <c r="M4190"/>
  <c r="D1884" i="13"/>
  <c r="B4189" i="6"/>
  <c r="Q4189"/>
  <c r="W4189" s="1"/>
  <c r="J4189"/>
  <c r="E591" i="17"/>
  <c r="D1883" i="13"/>
  <c r="E1110" i="14"/>
  <c r="M4189" i="6"/>
  <c r="E590" i="17" l="1"/>
  <c r="E1109" i="14"/>
  <c r="Q4188" i="6"/>
  <c r="W4188" s="1"/>
  <c r="M4188"/>
  <c r="B4188"/>
  <c r="J4188"/>
  <c r="D1882" i="13"/>
  <c r="Q4187" i="6"/>
  <c r="W4187" s="1"/>
  <c r="J4187"/>
  <c r="E589" i="17"/>
  <c r="E1108" i="14"/>
  <c r="D1881" i="13"/>
  <c r="B4187" i="6"/>
  <c r="M4187"/>
  <c r="Q4186"/>
  <c r="W4186" s="1"/>
  <c r="E588" i="17"/>
  <c r="E1107" i="14"/>
  <c r="D1880" i="13"/>
  <c r="E1901" s="1"/>
  <c r="J4186" i="6"/>
  <c r="M4186"/>
  <c r="B4186"/>
  <c r="E1591" i="20"/>
  <c r="E1590"/>
  <c r="E1589"/>
  <c r="E1588"/>
  <c r="E1587"/>
  <c r="E1562"/>
  <c r="E1561"/>
  <c r="E1560"/>
  <c r="E1498"/>
  <c r="E1497"/>
  <c r="E1496"/>
  <c r="E1495"/>
  <c r="E1494"/>
  <c r="E1423"/>
  <c r="E1385"/>
  <c r="E1384"/>
  <c r="E1366"/>
  <c r="E1365"/>
  <c r="E1364"/>
  <c r="E1318"/>
  <c r="E1317"/>
  <c r="E1316"/>
  <c r="E1315"/>
  <c r="E1314"/>
  <c r="E1300"/>
  <c r="E1299"/>
  <c r="E1295"/>
  <c r="E1294"/>
  <c r="E1238"/>
  <c r="E1237"/>
  <c r="E1236"/>
  <c r="E1235"/>
  <c r="E1234"/>
  <c r="E1149"/>
  <c r="E1124"/>
  <c r="E1119"/>
  <c r="E1118"/>
  <c r="E1105"/>
  <c r="E1104"/>
  <c r="E1065"/>
  <c r="E1064"/>
  <c r="E1063"/>
  <c r="E1062"/>
  <c r="E1061"/>
  <c r="E1036"/>
  <c r="E1035"/>
  <c r="E978"/>
  <c r="E977"/>
  <c r="E976"/>
  <c r="E975"/>
  <c r="E974"/>
  <c r="E969"/>
  <c r="E968"/>
  <c r="E967"/>
  <c r="E966"/>
  <c r="E897"/>
  <c r="E896"/>
  <c r="E895"/>
  <c r="E865"/>
  <c r="E845"/>
  <c r="E814"/>
  <c r="E813"/>
  <c r="E812"/>
  <c r="E811"/>
  <c r="E810"/>
  <c r="E719"/>
  <c r="E718"/>
  <c r="E720"/>
  <c r="E717"/>
  <c r="E716"/>
  <c r="E715"/>
  <c r="E714"/>
  <c r="E626"/>
  <c r="E625"/>
  <c r="E606"/>
  <c r="E587"/>
  <c r="E541"/>
  <c r="E540"/>
  <c r="E539"/>
  <c r="E538"/>
  <c r="E537"/>
  <c r="E521"/>
  <c r="E457"/>
  <c r="E456"/>
  <c r="E455"/>
  <c r="E454"/>
  <c r="E453"/>
  <c r="E443"/>
  <c r="E373"/>
  <c r="E347"/>
  <c r="E346"/>
  <c r="E327"/>
  <c r="E289"/>
  <c r="E288"/>
  <c r="E287"/>
  <c r="E286"/>
  <c r="E285"/>
  <c r="E284"/>
  <c r="E259"/>
  <c r="E198"/>
  <c r="E197"/>
  <c r="E196"/>
  <c r="E195"/>
  <c r="E194"/>
  <c r="E90"/>
  <c r="E89"/>
  <c r="E88"/>
  <c r="E87"/>
  <c r="E40"/>
  <c r="E39"/>
  <c r="E38"/>
  <c r="E37"/>
  <c r="E36"/>
  <c r="E35"/>
  <c r="E1626"/>
  <c r="E1625"/>
  <c r="E1644"/>
  <c r="E1643"/>
  <c r="E1642"/>
  <c r="E1674"/>
  <c r="E1673"/>
  <c r="E1672"/>
  <c r="E1756"/>
  <c r="E1757"/>
  <c r="E1755"/>
  <c r="E1754"/>
  <c r="E1753"/>
  <c r="E1746"/>
  <c r="E1745"/>
  <c r="E1844"/>
  <c r="E1843"/>
  <c r="E1842"/>
  <c r="E1841"/>
  <c r="E1840"/>
  <c r="B4184" i="6"/>
  <c r="Q4184"/>
  <c r="W4184" s="1"/>
  <c r="E1106" i="14"/>
  <c r="E1880" i="20"/>
  <c r="E1881"/>
  <c r="J4184" i="6"/>
  <c r="D1879" i="13"/>
  <c r="M4184" i="6"/>
  <c r="E587" i="17" l="1"/>
  <c r="G587"/>
  <c r="F587"/>
  <c r="G1106" i="14"/>
  <c r="F1106"/>
  <c r="O4184" i="6"/>
  <c r="N4184"/>
  <c r="V4185"/>
  <c r="E586" i="17"/>
  <c r="E1105" i="14"/>
  <c r="Q4183" i="6"/>
  <c r="W4183" s="1"/>
  <c r="M4183"/>
  <c r="B4183"/>
  <c r="J4183"/>
  <c r="D1878" i="13"/>
  <c r="G261" i="17"/>
  <c r="G63" i="22"/>
  <c r="D63"/>
  <c r="D62"/>
  <c r="D61"/>
  <c r="E1879" i="20"/>
  <c r="Q4182" i="6"/>
  <c r="W4182" s="1"/>
  <c r="E585" i="17"/>
  <c r="E584"/>
  <c r="E1104" i="14"/>
  <c r="D1877" i="13"/>
  <c r="J4182" i="6"/>
  <c r="B4182"/>
  <c r="B4181"/>
  <c r="M4182"/>
  <c r="Q4181"/>
  <c r="W4181" s="1"/>
  <c r="E1103" i="14"/>
  <c r="D1876" i="13" l="1"/>
  <c r="E1866" i="20"/>
  <c r="E1867"/>
  <c r="E1868"/>
  <c r="E1869"/>
  <c r="E1870"/>
  <c r="E1871"/>
  <c r="E1872"/>
  <c r="E1873"/>
  <c r="E1874"/>
  <c r="E1875"/>
  <c r="E1876"/>
  <c r="E1877"/>
  <c r="E1878"/>
  <c r="J4181" i="6"/>
  <c r="M4181"/>
  <c r="Q4180"/>
  <c r="W4180" s="1"/>
  <c r="B4180"/>
  <c r="E583" i="17" l="1"/>
  <c r="E1102" i="14"/>
  <c r="D1875" i="13"/>
  <c r="J4180" i="6"/>
  <c r="M4180"/>
  <c r="E582" i="17"/>
  <c r="E1101" i="14"/>
  <c r="B4179" i="6"/>
  <c r="M4179" l="1"/>
  <c r="J4179"/>
  <c r="Q4179"/>
  <c r="W4179" s="1"/>
  <c r="D60" i="22"/>
  <c r="D1874" i="13"/>
  <c r="Q4178" i="6"/>
  <c r="W4178" s="1"/>
  <c r="B4178"/>
  <c r="D59" i="22"/>
  <c r="D1873" i="13"/>
  <c r="E581" i="17"/>
  <c r="E1100" i="14"/>
  <c r="J4178" i="6"/>
  <c r="M4178"/>
  <c r="E580" i="17"/>
  <c r="E1099" i="14"/>
  <c r="Q4177" i="6"/>
  <c r="W4177" s="1"/>
  <c r="M4177"/>
  <c r="J4177"/>
  <c r="B4177"/>
  <c r="D58" i="22"/>
  <c r="D1872" i="13"/>
  <c r="E579" i="17"/>
  <c r="E1098" i="14"/>
  <c r="D57" i="22"/>
  <c r="D1871" i="13"/>
  <c r="Q4176" i="6"/>
  <c r="W4176" s="1"/>
  <c r="M4176"/>
  <c r="J4176"/>
  <c r="B4176"/>
  <c r="Q4175"/>
  <c r="W4175" s="1"/>
  <c r="E578" i="17"/>
  <c r="E1097" i="14"/>
  <c r="D56" i="22"/>
  <c r="D1870" i="13"/>
  <c r="M4175" i="6"/>
  <c r="J4175"/>
  <c r="B4175"/>
  <c r="Q4174"/>
  <c r="W4174" s="1"/>
  <c r="E577" i="17"/>
  <c r="E1096" i="14"/>
  <c r="B4174" i="6"/>
  <c r="M4174"/>
  <c r="J4174"/>
  <c r="D55" i="22"/>
  <c r="D1869" i="13"/>
  <c r="Q4173" i="6"/>
  <c r="W4173" s="1"/>
  <c r="D54" i="22" l="1"/>
  <c r="D1868" i="13"/>
  <c r="B4173" i="6"/>
  <c r="J4173"/>
  <c r="J4172"/>
  <c r="E576" i="17"/>
  <c r="E1095" i="14"/>
  <c r="M4173" i="6"/>
  <c r="Q4172"/>
  <c r="W4172" s="1"/>
  <c r="B4172" l="1"/>
  <c r="D1867" i="13"/>
  <c r="D53" i="22"/>
  <c r="E575" i="17"/>
  <c r="E1094" i="14"/>
  <c r="M4172" i="6"/>
  <c r="E574" i="17"/>
  <c r="E1093" i="14"/>
  <c r="Q4171" i="6"/>
  <c r="W4171" s="1"/>
  <c r="D52" i="22"/>
  <c r="D1866" i="13"/>
  <c r="M4171" i="6"/>
  <c r="J4171"/>
  <c r="B4171"/>
  <c r="B4170"/>
  <c r="E573" i="17"/>
  <c r="E1092" i="14"/>
  <c r="D51" i="22"/>
  <c r="D1865" i="13"/>
  <c r="Q4170" i="6"/>
  <c r="W4170" s="1"/>
  <c r="J4170"/>
  <c r="M4170"/>
  <c r="Q4169"/>
  <c r="W4169" s="1"/>
  <c r="B4169"/>
  <c r="E572" i="17"/>
  <c r="E1091" i="14"/>
  <c r="M4169" i="6"/>
  <c r="J4169"/>
  <c r="D50" i="22"/>
  <c r="D1864" i="13"/>
  <c r="B4168" i="6"/>
  <c r="E1862" i="20"/>
  <c r="E1863"/>
  <c r="E1864"/>
  <c r="E1865"/>
  <c r="E1861"/>
  <c r="Q4168" i="6"/>
  <c r="W4168" s="1"/>
  <c r="E571" i="17" l="1"/>
  <c r="D49" i="22"/>
  <c r="D1863" i="13"/>
  <c r="E1090" i="14" l="1"/>
  <c r="J4168" i="6"/>
  <c r="M4168"/>
  <c r="Q4167" l="1"/>
  <c r="W4167" s="1"/>
  <c r="M4167"/>
  <c r="J4167"/>
  <c r="B4167"/>
  <c r="E570" i="17"/>
  <c r="E1089" i="14"/>
  <c r="D1862" i="13"/>
  <c r="D48" i="22"/>
  <c r="E569" i="17"/>
  <c r="E1088" i="14"/>
  <c r="Q4166" i="6"/>
  <c r="W4166" s="1"/>
  <c r="M4166"/>
  <c r="J4166"/>
  <c r="B4166"/>
  <c r="D47" i="22" l="1"/>
  <c r="D1861" i="13"/>
  <c r="Q4165" i="6"/>
  <c r="W4165" s="1"/>
  <c r="E568" i="17"/>
  <c r="E1087" i="14"/>
  <c r="M4165" i="6"/>
  <c r="J4165"/>
  <c r="B4165"/>
  <c r="D46" i="22"/>
  <c r="D1860" i="13"/>
  <c r="B4164" i="6"/>
  <c r="Q4164"/>
  <c r="W4164" s="1"/>
  <c r="E567" i="17"/>
  <c r="E1086" i="14"/>
  <c r="M4164" i="6"/>
  <c r="J4164"/>
  <c r="D45" i="22"/>
  <c r="D1859" i="13"/>
  <c r="E1879" s="1"/>
  <c r="B4162" i="6"/>
  <c r="E1845" i="20"/>
  <c r="E1846"/>
  <c r="E1847"/>
  <c r="E1848"/>
  <c r="E1849"/>
  <c r="E1850"/>
  <c r="E1851"/>
  <c r="E1852"/>
  <c r="E1853"/>
  <c r="E1854"/>
  <c r="E1855"/>
  <c r="E1856"/>
  <c r="E1857"/>
  <c r="E1858"/>
  <c r="E1859"/>
  <c r="E1860"/>
  <c r="Q4161" i="6"/>
  <c r="W4161" s="1"/>
  <c r="Q4162"/>
  <c r="W4162" s="1"/>
  <c r="D44" i="22"/>
  <c r="D1858" i="13"/>
  <c r="V4163" i="6" l="1"/>
  <c r="G1085" i="14"/>
  <c r="F1085"/>
  <c r="D1857" i="13"/>
  <c r="D43" i="22"/>
  <c r="G44"/>
  <c r="F44"/>
  <c r="G566" i="17"/>
  <c r="F566"/>
  <c r="E566"/>
  <c r="E565"/>
  <c r="E1085" i="14"/>
  <c r="E1084"/>
  <c r="J4162" i="6"/>
  <c r="O4162"/>
  <c r="N4162"/>
  <c r="M4162"/>
  <c r="J4161"/>
  <c r="B4161"/>
  <c r="M4161"/>
  <c r="Q4160"/>
  <c r="W4160" s="1"/>
  <c r="B4160"/>
  <c r="D42" i="22" l="1"/>
  <c r="D1856" i="13"/>
  <c r="G788" i="14"/>
  <c r="E564" i="17"/>
  <c r="E1083" i="14"/>
  <c r="J4160" i="6"/>
  <c r="M4160"/>
  <c r="Q4159" l="1"/>
  <c r="W4159" s="1"/>
  <c r="E1082" i="14"/>
  <c r="E1081"/>
  <c r="B4158" i="6"/>
  <c r="B4159"/>
  <c r="J4159"/>
  <c r="B4157"/>
  <c r="N39" i="22"/>
  <c r="D41"/>
  <c r="D1855" i="13"/>
  <c r="D1854"/>
  <c r="E563" i="17"/>
  <c r="M4159" i="6"/>
  <c r="Q4158"/>
  <c r="W4158" s="1"/>
  <c r="D40" i="22" l="1"/>
  <c r="E562" i="17"/>
  <c r="J4158" i="6"/>
  <c r="M4158"/>
  <c r="Q4157"/>
  <c r="W4157" s="1"/>
  <c r="E561" i="17" l="1"/>
  <c r="E1080" i="14"/>
  <c r="D39" i="22"/>
  <c r="D1853" i="13"/>
  <c r="M4157" i="6"/>
  <c r="J4157"/>
  <c r="E560" i="17"/>
  <c r="E1079" i="14"/>
  <c r="Q4156" i="6"/>
  <c r="W4156" s="1"/>
  <c r="M4156"/>
  <c r="J4156"/>
  <c r="B4156"/>
  <c r="D38" i="22"/>
  <c r="D1852" i="13"/>
  <c r="Q4155" i="6"/>
  <c r="W4155" s="1"/>
  <c r="E559" i="17"/>
  <c r="E1078" i="14"/>
  <c r="D37" i="22"/>
  <c r="D1851" i="13"/>
  <c r="J4155" i="6"/>
  <c r="M4155"/>
  <c r="B4155"/>
  <c r="Q4154"/>
  <c r="W4154" s="1"/>
  <c r="E558" i="17"/>
  <c r="E1077" i="14"/>
  <c r="D36" i="22"/>
  <c r="D1850" i="13"/>
  <c r="M4154" i="6"/>
  <c r="J4154"/>
  <c r="B4154"/>
  <c r="Q4153"/>
  <c r="W4153" s="1"/>
  <c r="D35" i="22" l="1"/>
  <c r="D1849" i="13"/>
  <c r="B4153" i="6"/>
  <c r="E557" i="17"/>
  <c r="E1076" i="14"/>
  <c r="M4153" i="6"/>
  <c r="J4153"/>
  <c r="E556" i="17" l="1"/>
  <c r="E555"/>
  <c r="E1075" i="14"/>
  <c r="E1074"/>
  <c r="D34" i="22"/>
  <c r="D33"/>
  <c r="D1848" i="13"/>
  <c r="D1847"/>
  <c r="Q4152" i="6" l="1"/>
  <c r="W4152" s="1"/>
  <c r="B4152" l="1"/>
  <c r="B4151"/>
  <c r="M4152"/>
  <c r="M4151"/>
  <c r="J4152"/>
  <c r="J4151"/>
  <c r="Q4150"/>
  <c r="W4150" s="1"/>
  <c r="B4150"/>
  <c r="D32" i="22"/>
  <c r="D1846" i="13"/>
  <c r="J4150" i="6"/>
  <c r="M4150"/>
  <c r="E554" i="17"/>
  <c r="E1073" i="14"/>
  <c r="Q4149" i="6"/>
  <c r="W4149" s="1"/>
  <c r="B4149"/>
  <c r="D1845" i="13"/>
  <c r="D31" i="22"/>
  <c r="J4149" i="6"/>
  <c r="E553" i="17"/>
  <c r="E1072" i="14"/>
  <c r="M4149" i="6"/>
  <c r="B4148"/>
  <c r="E552" i="17"/>
  <c r="J4148" i="6"/>
  <c r="E1071" i="14"/>
  <c r="D30" i="22"/>
  <c r="Q4148" i="6"/>
  <c r="W4148" s="1"/>
  <c r="M4148"/>
  <c r="D29" i="22"/>
  <c r="D1844" i="13"/>
  <c r="Q4147" i="6"/>
  <c r="W4147" s="1"/>
  <c r="E551" i="17"/>
  <c r="J4147" i="6"/>
  <c r="B4147"/>
  <c r="D1843" i="13" l="1"/>
  <c r="E1070" i="14"/>
  <c r="M4147" i="6"/>
  <c r="N37" i="10"/>
  <c r="N36"/>
  <c r="N35"/>
  <c r="E550" i="17"/>
  <c r="E1069" i="14"/>
  <c r="D28" i="22"/>
  <c r="D1842" i="13"/>
  <c r="M4146" i="6"/>
  <c r="M4145"/>
  <c r="J4146"/>
  <c r="B4146"/>
  <c r="E549" i="17"/>
  <c r="E1068" i="14"/>
  <c r="B4145" i="6"/>
  <c r="J4145"/>
  <c r="D27" i="22"/>
  <c r="D1841" i="13"/>
  <c r="E548" i="17"/>
  <c r="E1067" i="14"/>
  <c r="M4144" i="6"/>
  <c r="J4144"/>
  <c r="B4144"/>
  <c r="D26" i="22"/>
  <c r="D1840" i="13"/>
  <c r="E547" i="17"/>
  <c r="E1066" i="14"/>
  <c r="J4143" i="6"/>
  <c r="M4143"/>
  <c r="B4143"/>
  <c r="D25" i="22" l="1"/>
  <c r="D1839" i="13"/>
  <c r="E1858" s="1"/>
  <c r="G546" i="17"/>
  <c r="F546"/>
  <c r="G1065" i="14"/>
  <c r="F1065"/>
  <c r="F24" i="22"/>
  <c r="D24"/>
  <c r="D23"/>
  <c r="D22"/>
  <c r="E1832" i="20"/>
  <c r="E1833"/>
  <c r="E1834"/>
  <c r="E1835"/>
  <c r="E1836"/>
  <c r="E1837"/>
  <c r="E1838"/>
  <c r="E1839"/>
  <c r="V4142" i="6"/>
  <c r="D1836" i="13" l="1"/>
  <c r="D1837"/>
  <c r="D1838"/>
  <c r="E544" i="17"/>
  <c r="E545"/>
  <c r="E546"/>
  <c r="E1063" i="14"/>
  <c r="E1064"/>
  <c r="E1065"/>
  <c r="Q4139" i="6"/>
  <c r="W4139" s="1"/>
  <c r="Q4140"/>
  <c r="W4140" s="1"/>
  <c r="R4074"/>
  <c r="S4074" s="1"/>
  <c r="T4074" s="1"/>
  <c r="Q4052"/>
  <c r="W4052" s="1"/>
  <c r="Q4053"/>
  <c r="Q4054"/>
  <c r="Q4055"/>
  <c r="Q4051"/>
  <c r="R4042"/>
  <c r="S4042" s="1"/>
  <c r="T4042" s="1"/>
  <c r="R4043"/>
  <c r="C4141"/>
  <c r="B4141" s="1"/>
  <c r="C4140"/>
  <c r="B4140" s="1"/>
  <c r="C4139"/>
  <c r="B4139" s="1"/>
  <c r="J4139"/>
  <c r="J4140"/>
  <c r="J4141"/>
  <c r="O4141"/>
  <c r="N4141"/>
  <c r="M4139"/>
  <c r="M4140"/>
  <c r="M4141"/>
  <c r="R4054" l="1"/>
  <c r="S4054" s="1"/>
  <c r="T4054" s="1"/>
  <c r="W4054"/>
  <c r="R4139"/>
  <c r="S4139" s="1"/>
  <c r="T4139" s="1"/>
  <c r="R4051"/>
  <c r="S4051" s="1"/>
  <c r="T4051" s="1"/>
  <c r="W4051"/>
  <c r="R4055"/>
  <c r="S4055" s="1"/>
  <c r="T4055" s="1"/>
  <c r="W4055"/>
  <c r="R4140"/>
  <c r="S4140" s="1"/>
  <c r="T4140" s="1"/>
  <c r="R4053"/>
  <c r="S4053" s="1"/>
  <c r="T4053" s="1"/>
  <c r="W4053"/>
  <c r="R4052"/>
  <c r="S4052" s="1"/>
  <c r="T4052" s="1"/>
  <c r="S4043"/>
  <c r="T4043" s="1"/>
  <c r="E543" i="17" l="1"/>
  <c r="E1062" i="14"/>
  <c r="Q4138" i="6"/>
  <c r="J4138"/>
  <c r="M4138"/>
  <c r="B4138"/>
  <c r="D21" i="22"/>
  <c r="D1835" i="13"/>
  <c r="D20" i="22"/>
  <c r="Q4137" i="6"/>
  <c r="E542" i="17"/>
  <c r="E1061" i="14"/>
  <c r="B4137" i="6"/>
  <c r="D1834" i="13"/>
  <c r="M4137" i="6"/>
  <c r="J4137"/>
  <c r="Q4136"/>
  <c r="E541" i="17"/>
  <c r="E1060" i="14"/>
  <c r="J4136" i="6"/>
  <c r="B4136"/>
  <c r="M4136"/>
  <c r="D1833" i="13"/>
  <c r="D19" i="22"/>
  <c r="Q4135" i="6"/>
  <c r="E540" i="17"/>
  <c r="E1059" i="14"/>
  <c r="D18" i="22"/>
  <c r="D1832" i="13"/>
  <c r="M4135" i="6"/>
  <c r="J4135"/>
  <c r="B4135"/>
  <c r="E539" i="17"/>
  <c r="E1058" i="14"/>
  <c r="D17" i="22"/>
  <c r="D1831" i="13"/>
  <c r="Q4134" i="6"/>
  <c r="M4134"/>
  <c r="J4134"/>
  <c r="B4134"/>
  <c r="B4133"/>
  <c r="D16" i="22"/>
  <c r="D1830" i="13"/>
  <c r="Q4133" i="6"/>
  <c r="E538" i="17"/>
  <c r="E1057" i="14"/>
  <c r="M4133" i="6"/>
  <c r="J4133"/>
  <c r="E1830" i="20"/>
  <c r="E1831"/>
  <c r="N53" i="10"/>
  <c r="Q4132" i="6"/>
  <c r="E537" i="17"/>
  <c r="E1056" i="14"/>
  <c r="M4132" i="6"/>
  <c r="J4132"/>
  <c r="B4132"/>
  <c r="D15" i="22"/>
  <c r="D1829" i="13"/>
  <c r="G766" i="14"/>
  <c r="Q4131" i="6"/>
  <c r="E536" i="17"/>
  <c r="E1055" i="14"/>
  <c r="M4131" i="6"/>
  <c r="J4131"/>
  <c r="B4131"/>
  <c r="D14" i="22"/>
  <c r="D1828" i="13"/>
  <c r="E1826" i="20"/>
  <c r="E1827"/>
  <c r="E1828"/>
  <c r="E1829"/>
  <c r="Q4130" i="6"/>
  <c r="D4" i="22"/>
  <c r="D5"/>
  <c r="D6"/>
  <c r="D7"/>
  <c r="D8"/>
  <c r="D9"/>
  <c r="D10"/>
  <c r="D11"/>
  <c r="D12"/>
  <c r="D13"/>
  <c r="D3"/>
  <c r="O39"/>
  <c r="P39" s="1"/>
  <c r="D1822" i="13"/>
  <c r="D1823"/>
  <c r="D1818"/>
  <c r="B4126" i="6"/>
  <c r="B4125"/>
  <c r="B4121"/>
  <c r="E535" i="17"/>
  <c r="E1054" i="14"/>
  <c r="D1827" i="13"/>
  <c r="M4130" i="6"/>
  <c r="J4130"/>
  <c r="B4130"/>
  <c r="Q4129"/>
  <c r="E534" i="17"/>
  <c r="E1053" i="14"/>
  <c r="D1826" i="13"/>
  <c r="M4129" i="6"/>
  <c r="J4129"/>
  <c r="B4129"/>
  <c r="Q4128"/>
  <c r="D1825" i="13"/>
  <c r="M4128" i="6"/>
  <c r="J4128"/>
  <c r="B4128"/>
  <c r="E533" i="17"/>
  <c r="E1052" i="14"/>
  <c r="D1820" i="13"/>
  <c r="D1821"/>
  <c r="D1824"/>
  <c r="B4127" i="6"/>
  <c r="E532" i="17"/>
  <c r="E1051" i="14"/>
  <c r="J4127" i="6"/>
  <c r="M4127"/>
  <c r="Q4127"/>
  <c r="E1821" i="20"/>
  <c r="E1822"/>
  <c r="E1823"/>
  <c r="E1824"/>
  <c r="E1825"/>
  <c r="Q4126" i="6"/>
  <c r="E531" i="17"/>
  <c r="E1050" i="14"/>
  <c r="M4126" i="6"/>
  <c r="J4126"/>
  <c r="B4124"/>
  <c r="B4123"/>
  <c r="E530" i="17"/>
  <c r="E1049" i="14"/>
  <c r="Q4125" i="6"/>
  <c r="J4125"/>
  <c r="M4125"/>
  <c r="R4130" l="1"/>
  <c r="S4130" s="1"/>
  <c r="T4130" s="1"/>
  <c r="W4130"/>
  <c r="R4131"/>
  <c r="S4131" s="1"/>
  <c r="T4131" s="1"/>
  <c r="W4131"/>
  <c r="R4134"/>
  <c r="S4134" s="1"/>
  <c r="T4134" s="1"/>
  <c r="W4134"/>
  <c r="R4135"/>
  <c r="S4135" s="1"/>
  <c r="T4135" s="1"/>
  <c r="W4135"/>
  <c r="R4136"/>
  <c r="S4136" s="1"/>
  <c r="T4136" s="1"/>
  <c r="W4136"/>
  <c r="R4128"/>
  <c r="S4128" s="1"/>
  <c r="T4128" s="1"/>
  <c r="W4128"/>
  <c r="R4126"/>
  <c r="S4126" s="1"/>
  <c r="T4126" s="1"/>
  <c r="W4126"/>
  <c r="R4129"/>
  <c r="S4129" s="1"/>
  <c r="T4129" s="1"/>
  <c r="W4129"/>
  <c r="R4137"/>
  <c r="S4137" s="1"/>
  <c r="T4137" s="1"/>
  <c r="W4137"/>
  <c r="R4125"/>
  <c r="W4125"/>
  <c r="R4138"/>
  <c r="S4138" s="1"/>
  <c r="T4138" s="1"/>
  <c r="W4138"/>
  <c r="R4127"/>
  <c r="S4127" s="1"/>
  <c r="T4127" s="1"/>
  <c r="W4127"/>
  <c r="R4132"/>
  <c r="S4132" s="1"/>
  <c r="T4132" s="1"/>
  <c r="W4132"/>
  <c r="R4133"/>
  <c r="S4133" s="1"/>
  <c r="T4133" s="1"/>
  <c r="W4133"/>
  <c r="S4125"/>
  <c r="T4125" s="1"/>
  <c r="B4122"/>
  <c r="D1819" i="13"/>
  <c r="Q4124" i="6"/>
  <c r="W4124" s="1"/>
  <c r="E529" i="17"/>
  <c r="E1048" i="14"/>
  <c r="J4124" i="6"/>
  <c r="M4124"/>
  <c r="Q4123"/>
  <c r="E528" i="17"/>
  <c r="E1047" i="14"/>
  <c r="J4123" i="6"/>
  <c r="M4123"/>
  <c r="E1046" i="14"/>
  <c r="Q4122" i="6"/>
  <c r="E527" i="17"/>
  <c r="M4122" i="6"/>
  <c r="J4122"/>
  <c r="E4120"/>
  <c r="D1817" i="13"/>
  <c r="Q4121" i="6"/>
  <c r="E1820" i="20"/>
  <c r="E1819"/>
  <c r="E526" i="17"/>
  <c r="E1045" i="14"/>
  <c r="M4121" i="6"/>
  <c r="J4121"/>
  <c r="F1838" i="13" l="1"/>
  <c r="F1858"/>
  <c r="F1879"/>
  <c r="F1967"/>
  <c r="F1944"/>
  <c r="F1923"/>
  <c r="F1901"/>
  <c r="E1838"/>
  <c r="R4122" i="6"/>
  <c r="S4122" s="1"/>
  <c r="T4122" s="1"/>
  <c r="W4122"/>
  <c r="R4121"/>
  <c r="S4121" s="1"/>
  <c r="T4121" s="1"/>
  <c r="W4121"/>
  <c r="R4123"/>
  <c r="S4123" s="1"/>
  <c r="T4123" s="1"/>
  <c r="W4123"/>
  <c r="R4124"/>
  <c r="E525" i="17"/>
  <c r="E1044" i="14"/>
  <c r="Q4120" i="6"/>
  <c r="M4120"/>
  <c r="J4120"/>
  <c r="R4120" l="1"/>
  <c r="S4120" s="1"/>
  <c r="T4120" s="1"/>
  <c r="W4120"/>
  <c r="S4124"/>
  <c r="T4124" s="1"/>
  <c r="V4119"/>
  <c r="N4118"/>
  <c r="E4116"/>
  <c r="E4111"/>
  <c r="E4113"/>
  <c r="E1818" i="20"/>
  <c r="Q4118" i="6"/>
  <c r="W4118" s="1"/>
  <c r="J4118"/>
  <c r="M4118"/>
  <c r="G524" i="17"/>
  <c r="F524"/>
  <c r="E524"/>
  <c r="E1043" i="14"/>
  <c r="F1043"/>
  <c r="G1043"/>
  <c r="D1816" i="13"/>
  <c r="D1815"/>
  <c r="E1817" i="20"/>
  <c r="D1814" i="13"/>
  <c r="Q4117" i="6"/>
  <c r="E523" i="17"/>
  <c r="E1042" i="14"/>
  <c r="E1041"/>
  <c r="M4117" i="6"/>
  <c r="J4117"/>
  <c r="E1813" i="20"/>
  <c r="E1814"/>
  <c r="E1815"/>
  <c r="E1816"/>
  <c r="Q4116" i="6"/>
  <c r="W4116" s="1"/>
  <c r="Q4115"/>
  <c r="W4115" s="1"/>
  <c r="E522" i="17"/>
  <c r="J4116" i="6"/>
  <c r="M4116"/>
  <c r="Q4114"/>
  <c r="Q4113"/>
  <c r="W4113" s="1"/>
  <c r="E519" i="17"/>
  <c r="E1038" i="14"/>
  <c r="D1811" i="13"/>
  <c r="M4113" i="6"/>
  <c r="J4113"/>
  <c r="E518" i="17"/>
  <c r="E1037" i="14"/>
  <c r="D1810" i="13"/>
  <c r="E1812" i="20"/>
  <c r="Q4112" i="6"/>
  <c r="M4112"/>
  <c r="J4112"/>
  <c r="E4112"/>
  <c r="E517" i="17"/>
  <c r="E1036" i="14"/>
  <c r="D1809" i="13"/>
  <c r="E1810" i="20"/>
  <c r="E1811"/>
  <c r="Q4111" i="6"/>
  <c r="W4111" s="1"/>
  <c r="J4111"/>
  <c r="M4111"/>
  <c r="E516" i="17"/>
  <c r="E1035" i="14"/>
  <c r="D1808" i="13"/>
  <c r="Q4110" i="6"/>
  <c r="W4110" s="1"/>
  <c r="M4110"/>
  <c r="J4110"/>
  <c r="E4110"/>
  <c r="E1809" i="20"/>
  <c r="Q4109" i="6"/>
  <c r="M4109"/>
  <c r="E515" i="17"/>
  <c r="E1034" i="14"/>
  <c r="D1807" i="13"/>
  <c r="J4109" i="6"/>
  <c r="E4109"/>
  <c r="E514" i="17"/>
  <c r="E1033" i="14"/>
  <c r="D1806" i="13"/>
  <c r="E1808" i="20"/>
  <c r="Q4108" i="6"/>
  <c r="M4108"/>
  <c r="J4108"/>
  <c r="E4108"/>
  <c r="E1797" i="20"/>
  <c r="E1798"/>
  <c r="E1799"/>
  <c r="E1800"/>
  <c r="E1801"/>
  <c r="E1802"/>
  <c r="E1803"/>
  <c r="E1804"/>
  <c r="E1805"/>
  <c r="E1806"/>
  <c r="E1807"/>
  <c r="E1776"/>
  <c r="E1777"/>
  <c r="E1778"/>
  <c r="E1779"/>
  <c r="E1780"/>
  <c r="E1781"/>
  <c r="E1782"/>
  <c r="E1783"/>
  <c r="E1784"/>
  <c r="E1785"/>
  <c r="E1786"/>
  <c r="E1787"/>
  <c r="E1788"/>
  <c r="E1789"/>
  <c r="E1790"/>
  <c r="E1791"/>
  <c r="E1792"/>
  <c r="E1793"/>
  <c r="E1794"/>
  <c r="E1795"/>
  <c r="E1796"/>
  <c r="E1732"/>
  <c r="E1733"/>
  <c r="E1734"/>
  <c r="E1735"/>
  <c r="E1736"/>
  <c r="E1737"/>
  <c r="E1738"/>
  <c r="E1739"/>
  <c r="E1740"/>
  <c r="E1741"/>
  <c r="E1742"/>
  <c r="E1743"/>
  <c r="E1744"/>
  <c r="E1747"/>
  <c r="E1748"/>
  <c r="E1749"/>
  <c r="E1750"/>
  <c r="E1751"/>
  <c r="E1752"/>
  <c r="E1758"/>
  <c r="E1759"/>
  <c r="E1760"/>
  <c r="E1761"/>
  <c r="E1762"/>
  <c r="E1763"/>
  <c r="E1764"/>
  <c r="E1765"/>
  <c r="E1766"/>
  <c r="E1767"/>
  <c r="E1768"/>
  <c r="E1769"/>
  <c r="E1770"/>
  <c r="E1771"/>
  <c r="E1772"/>
  <c r="E1773"/>
  <c r="E1774"/>
  <c r="E1775"/>
  <c r="E1710"/>
  <c r="E1711"/>
  <c r="E1712"/>
  <c r="E1713"/>
  <c r="E1714"/>
  <c r="E1715"/>
  <c r="E1716"/>
  <c r="E1717"/>
  <c r="E1718"/>
  <c r="E1719"/>
  <c r="E1720"/>
  <c r="E1721"/>
  <c r="E1722"/>
  <c r="E1723"/>
  <c r="E1724"/>
  <c r="E1725"/>
  <c r="E1726"/>
  <c r="E1727"/>
  <c r="E1728"/>
  <c r="E1729"/>
  <c r="E1730"/>
  <c r="E1731"/>
  <c r="E1687"/>
  <c r="E1688"/>
  <c r="E1689"/>
  <c r="E1690"/>
  <c r="E1691"/>
  <c r="E1692"/>
  <c r="E1693"/>
  <c r="E1694"/>
  <c r="E1695"/>
  <c r="E1696"/>
  <c r="E1697"/>
  <c r="E1698"/>
  <c r="E1699"/>
  <c r="E1700"/>
  <c r="E1701"/>
  <c r="E1702"/>
  <c r="E1703"/>
  <c r="E1704"/>
  <c r="E1705"/>
  <c r="E1706"/>
  <c r="E1707"/>
  <c r="E1708"/>
  <c r="E1709"/>
  <c r="E1667"/>
  <c r="E1668"/>
  <c r="E1669"/>
  <c r="E1670"/>
  <c r="E1671"/>
  <c r="E1675"/>
  <c r="E1676"/>
  <c r="E1677"/>
  <c r="E1678"/>
  <c r="E1679"/>
  <c r="E1680"/>
  <c r="E1681"/>
  <c r="E1682"/>
  <c r="E1683"/>
  <c r="E1684"/>
  <c r="E1685"/>
  <c r="E1686"/>
  <c r="E1640"/>
  <c r="E1641"/>
  <c r="E1645"/>
  <c r="E1646"/>
  <c r="E1647"/>
  <c r="E1648"/>
  <c r="E1649"/>
  <c r="E1650"/>
  <c r="E1651"/>
  <c r="E1652"/>
  <c r="E1653"/>
  <c r="E1654"/>
  <c r="E1655"/>
  <c r="E1656"/>
  <c r="E1657"/>
  <c r="E1658"/>
  <c r="E1659"/>
  <c r="E1660"/>
  <c r="E1661"/>
  <c r="E1662"/>
  <c r="E1663"/>
  <c r="E1664"/>
  <c r="E1665"/>
  <c r="E1666"/>
  <c r="D1805" i="13"/>
  <c r="E4107" i="6"/>
  <c r="Q4107"/>
  <c r="E513" i="17"/>
  <c r="E1032" i="14"/>
  <c r="J4107" i="6"/>
  <c r="M4107"/>
  <c r="Q4105"/>
  <c r="Q4106"/>
  <c r="E1030" i="14"/>
  <c r="D1803" i="13"/>
  <c r="M4105" i="6"/>
  <c r="J4105"/>
  <c r="E4105"/>
  <c r="E511" i="17"/>
  <c r="E512"/>
  <c r="E1031" i="14"/>
  <c r="D1804" i="13"/>
  <c r="M4106" i="6"/>
  <c r="J4106"/>
  <c r="E4106"/>
  <c r="E510" i="17"/>
  <c r="E1029" i="14"/>
  <c r="D1802" i="13"/>
  <c r="E4104" i="6"/>
  <c r="Q4104"/>
  <c r="W4104" s="1"/>
  <c r="M4104"/>
  <c r="J4104"/>
  <c r="E509" i="17"/>
  <c r="E1028" i="14"/>
  <c r="D1801" i="13"/>
  <c r="E4103" i="6"/>
  <c r="Q4103"/>
  <c r="W4103" s="1"/>
  <c r="M4103"/>
  <c r="J4103"/>
  <c r="Q4102"/>
  <c r="E508" i="17"/>
  <c r="E1027" i="14"/>
  <c r="J4102" i="6"/>
  <c r="M4102"/>
  <c r="E4102"/>
  <c r="D1800" i="13"/>
  <c r="Q4101" i="6"/>
  <c r="W4101" s="1"/>
  <c r="E507" i="17"/>
  <c r="E1026" i="14"/>
  <c r="D1799" i="13"/>
  <c r="M4101" i="6"/>
  <c r="J4101"/>
  <c r="E4101"/>
  <c r="Q4100"/>
  <c r="W4100" s="1"/>
  <c r="E506" i="17"/>
  <c r="E1025" i="14"/>
  <c r="D1798" i="13"/>
  <c r="M4100" i="6"/>
  <c r="J4100"/>
  <c r="E4100"/>
  <c r="D1793" i="13"/>
  <c r="E4094" i="6"/>
  <c r="Q4099"/>
  <c r="W4099" s="1"/>
  <c r="E505" i="17"/>
  <c r="E1024" i="14"/>
  <c r="D1797" i="13"/>
  <c r="M4099" i="6"/>
  <c r="J4099"/>
  <c r="E4099"/>
  <c r="Q4098"/>
  <c r="W4098" s="1"/>
  <c r="E504" i="17"/>
  <c r="E1023" i="14"/>
  <c r="D1796" i="13"/>
  <c r="M4098" i="6"/>
  <c r="J4098"/>
  <c r="E4098"/>
  <c r="Q4097"/>
  <c r="W4097" s="1"/>
  <c r="D1795" i="13"/>
  <c r="E4097" i="6"/>
  <c r="J4097"/>
  <c r="E503" i="17"/>
  <c r="E1022" i="14"/>
  <c r="M4097" i="6"/>
  <c r="V4096"/>
  <c r="E4095"/>
  <c r="D1794" i="13"/>
  <c r="Q4094" i="6"/>
  <c r="Q4095"/>
  <c r="G502" i="17"/>
  <c r="F502"/>
  <c r="E502"/>
  <c r="G1021" i="14"/>
  <c r="F1021"/>
  <c r="E1021"/>
  <c r="N4095" i="6"/>
  <c r="M4095"/>
  <c r="J4095"/>
  <c r="E501" i="17"/>
  <c r="E1020" i="14"/>
  <c r="J4094" i="6"/>
  <c r="M4094"/>
  <c r="D1792" i="13"/>
  <c r="E4093" i="6"/>
  <c r="Q4093"/>
  <c r="W4093" s="1"/>
  <c r="E500" i="17"/>
  <c r="E1019" i="14"/>
  <c r="M4093" i="6"/>
  <c r="J4093"/>
  <c r="Q4092"/>
  <c r="D1791" i="13"/>
  <c r="E4092" i="6"/>
  <c r="E499" i="17"/>
  <c r="E1018" i="14"/>
  <c r="M4092" i="6"/>
  <c r="J4092"/>
  <c r="Q4091"/>
  <c r="E4091"/>
  <c r="D1790" i="13"/>
  <c r="E497" i="17"/>
  <c r="E498"/>
  <c r="E1017" i="14"/>
  <c r="M4091" i="6"/>
  <c r="J4091"/>
  <c r="E496" i="17"/>
  <c r="E1016" i="14"/>
  <c r="D1789" i="13"/>
  <c r="Q4090" i="6"/>
  <c r="M4090"/>
  <c r="J4090"/>
  <c r="E4090"/>
  <c r="Q4089"/>
  <c r="W4089" s="1"/>
  <c r="D1788" i="13"/>
  <c r="E4089" i="6"/>
  <c r="E1015" i="14"/>
  <c r="M4089" i="6"/>
  <c r="J4089"/>
  <c r="D1778" i="13"/>
  <c r="Q4088" i="6"/>
  <c r="W4088" s="1"/>
  <c r="D1787" i="13"/>
  <c r="E4088" i="6"/>
  <c r="E495" i="17"/>
  <c r="E1014" i="14"/>
  <c r="M4088" i="6"/>
  <c r="J4088"/>
  <c r="E494" i="17"/>
  <c r="E1013" i="14"/>
  <c r="D1786" i="13"/>
  <c r="Q4087" i="6"/>
  <c r="M4087"/>
  <c r="J4087"/>
  <c r="E4087"/>
  <c r="E1012" i="14"/>
  <c r="D1785" i="13"/>
  <c r="Q4086" i="6"/>
  <c r="M4086"/>
  <c r="J4086"/>
  <c r="E4086"/>
  <c r="E493" i="17"/>
  <c r="D1783" i="13"/>
  <c r="E4084" i="6"/>
  <c r="E492" i="17"/>
  <c r="E1011" i="14"/>
  <c r="D1784" i="13"/>
  <c r="E4085" i="6"/>
  <c r="Q4085"/>
  <c r="M4085"/>
  <c r="J4085"/>
  <c r="E491" i="17"/>
  <c r="E1010" i="14"/>
  <c r="Q4084" i="6"/>
  <c r="W4084" s="1"/>
  <c r="M4084"/>
  <c r="J4084"/>
  <c r="E490" i="17"/>
  <c r="E1009" i="14"/>
  <c r="D1782" i="13"/>
  <c r="Q4083" i="6"/>
  <c r="W4083" s="1"/>
  <c r="M4083"/>
  <c r="J4083"/>
  <c r="E4083"/>
  <c r="D1781" i="13"/>
  <c r="E4082" i="6"/>
  <c r="Q4082"/>
  <c r="E489" i="17"/>
  <c r="E1008" i="14"/>
  <c r="M4082" i="6"/>
  <c r="J4082"/>
  <c r="E488" i="17"/>
  <c r="E1007" i="14"/>
  <c r="Q4081" i="6"/>
  <c r="M4081"/>
  <c r="J4081"/>
  <c r="E4081"/>
  <c r="D1780" i="13"/>
  <c r="D1779"/>
  <c r="E4079" i="6"/>
  <c r="E4080"/>
  <c r="Q4080"/>
  <c r="E487" i="17"/>
  <c r="E1006" i="14"/>
  <c r="M4080" i="6"/>
  <c r="J4080"/>
  <c r="E486" i="17"/>
  <c r="E1005" i="14"/>
  <c r="Q4079" i="6"/>
  <c r="M4079"/>
  <c r="J4079"/>
  <c r="E485" i="17"/>
  <c r="E1004" i="14"/>
  <c r="D1777" i="13"/>
  <c r="Q4078" i="6"/>
  <c r="M4078"/>
  <c r="J4078"/>
  <c r="E4078"/>
  <c r="E484" i="17"/>
  <c r="E1003" i="14"/>
  <c r="D1776" i="13"/>
  <c r="Q4077" i="6"/>
  <c r="M4077"/>
  <c r="J4077"/>
  <c r="E4077"/>
  <c r="E4076"/>
  <c r="D1775" i="13"/>
  <c r="Q4076" i="6"/>
  <c r="E483" i="17"/>
  <c r="E1002" i="14"/>
  <c r="M4076" i="6"/>
  <c r="J4076"/>
  <c r="E482" i="17"/>
  <c r="E1001" i="14"/>
  <c r="D1774" i="13"/>
  <c r="Q4075" i="6"/>
  <c r="W4075" s="1"/>
  <c r="M4075"/>
  <c r="J4075"/>
  <c r="E4075"/>
  <c r="E481" i="17"/>
  <c r="E1000" i="14"/>
  <c r="G1000"/>
  <c r="F1000"/>
  <c r="D1773" i="13"/>
  <c r="Q4073" i="6"/>
  <c r="W4073" s="1"/>
  <c r="N4073"/>
  <c r="M4073"/>
  <c r="J4073"/>
  <c r="E4073"/>
  <c r="G481" i="17"/>
  <c r="F481"/>
  <c r="V4074" i="6"/>
  <c r="E480" i="17"/>
  <c r="E999" i="14"/>
  <c r="D1772" i="13"/>
  <c r="Q4072" i="6"/>
  <c r="M4072"/>
  <c r="J4072"/>
  <c r="E4072"/>
  <c r="E479" i="17"/>
  <c r="E998" i="14"/>
  <c r="D1771" i="13"/>
  <c r="Q4071" i="6"/>
  <c r="M4071"/>
  <c r="J4071"/>
  <c r="E4071"/>
  <c r="E478" i="17"/>
  <c r="E997" i="14"/>
  <c r="D1770" i="13"/>
  <c r="Q4070" i="6"/>
  <c r="M4070"/>
  <c r="J4070"/>
  <c r="E4070"/>
  <c r="D1769" i="13"/>
  <c r="E4069" i="6"/>
  <c r="Q4069"/>
  <c r="E477" i="17"/>
  <c r="E996" i="14"/>
  <c r="J4069" i="6"/>
  <c r="M4069"/>
  <c r="E995" i="14"/>
  <c r="Q4068" i="6"/>
  <c r="E476" i="17"/>
  <c r="D1768" i="13"/>
  <c r="M4068" i="6"/>
  <c r="J4068"/>
  <c r="E4068"/>
  <c r="E475" i="17"/>
  <c r="E994" i="14"/>
  <c r="D1767" i="13"/>
  <c r="Q4067" i="6"/>
  <c r="M4067"/>
  <c r="J4067"/>
  <c r="E4067"/>
  <c r="Q4066"/>
  <c r="Q4065"/>
  <c r="E474" i="17"/>
  <c r="E993" i="14"/>
  <c r="D1766" i="13"/>
  <c r="E4066" i="6"/>
  <c r="J4066"/>
  <c r="M4066"/>
  <c r="D1765" i="13"/>
  <c r="E4065" i="6"/>
  <c r="E473" i="17"/>
  <c r="E992" i="14"/>
  <c r="M4065" i="6"/>
  <c r="J4065"/>
  <c r="D1764" i="13"/>
  <c r="E4064" i="6"/>
  <c r="Q4064"/>
  <c r="E472" i="17"/>
  <c r="E991" i="14"/>
  <c r="J4064" i="6"/>
  <c r="M4064"/>
  <c r="E471" i="17"/>
  <c r="E990" i="14"/>
  <c r="D1763" i="13"/>
  <c r="Q4063" i="6"/>
  <c r="M4063"/>
  <c r="J4063"/>
  <c r="E4063"/>
  <c r="D1761" i="13"/>
  <c r="D1762"/>
  <c r="D1760"/>
  <c r="Q4062" i="6"/>
  <c r="E4060"/>
  <c r="E4061"/>
  <c r="E470" i="17"/>
  <c r="E988" i="14"/>
  <c r="E989"/>
  <c r="E4062" i="6"/>
  <c r="J4062"/>
  <c r="D1759" i="13"/>
  <c r="M4062" i="6"/>
  <c r="Q4061"/>
  <c r="M4061"/>
  <c r="J4061"/>
  <c r="E469" i="17"/>
  <c r="Q4060" i="6"/>
  <c r="M4060"/>
  <c r="J4060"/>
  <c r="E468" i="17"/>
  <c r="E987" i="14"/>
  <c r="Q4059" i="6"/>
  <c r="E467" i="17"/>
  <c r="E986" i="14"/>
  <c r="M4059" i="6"/>
  <c r="J4059"/>
  <c r="E4059"/>
  <c r="Q4058"/>
  <c r="E466" i="17"/>
  <c r="E985" i="14"/>
  <c r="D1758" i="13"/>
  <c r="M4058" i="6"/>
  <c r="J4058"/>
  <c r="E4058"/>
  <c r="E465" i="17"/>
  <c r="E464"/>
  <c r="E984" i="14"/>
  <c r="E983"/>
  <c r="D1757" i="13"/>
  <c r="D1756"/>
  <c r="Q4057" i="6"/>
  <c r="M4057"/>
  <c r="J4057"/>
  <c r="E4057"/>
  <c r="Q4056"/>
  <c r="M4056"/>
  <c r="J4056"/>
  <c r="E4056"/>
  <c r="E463" i="17"/>
  <c r="E982" i="14"/>
  <c r="D1755" i="13"/>
  <c r="M4055" i="6"/>
  <c r="J4055"/>
  <c r="E4055"/>
  <c r="E462" i="17"/>
  <c r="E981" i="14"/>
  <c r="D1754" i="13"/>
  <c r="M4054" i="6"/>
  <c r="J4054"/>
  <c r="E4054"/>
  <c r="D1753" i="13"/>
  <c r="E4053" i="6"/>
  <c r="D1752" i="13"/>
  <c r="E4052" i="6"/>
  <c r="E461" i="17"/>
  <c r="E460"/>
  <c r="E980" i="14"/>
  <c r="E979"/>
  <c r="M4053" i="6"/>
  <c r="J4053"/>
  <c r="M4052"/>
  <c r="J4052"/>
  <c r="E459" i="17"/>
  <c r="E978" i="14"/>
  <c r="D1751" i="13"/>
  <c r="E1773" s="1"/>
  <c r="M4051" i="6"/>
  <c r="J4051"/>
  <c r="E4051"/>
  <c r="F977" i="14"/>
  <c r="D1750" i="13"/>
  <c r="Q4049" i="6"/>
  <c r="W4049" s="1"/>
  <c r="J4049"/>
  <c r="E4049"/>
  <c r="E458" i="17"/>
  <c r="E977" i="14"/>
  <c r="M4049" i="6"/>
  <c r="G458" i="17"/>
  <c r="F458"/>
  <c r="G977" i="14"/>
  <c r="V4050" i="6"/>
  <c r="O4049"/>
  <c r="N4049"/>
  <c r="Q4048"/>
  <c r="W4048" s="1"/>
  <c r="E457" i="17"/>
  <c r="E976" i="14"/>
  <c r="D1749" i="13"/>
  <c r="M4048" i="6"/>
  <c r="J4048"/>
  <c r="E4048"/>
  <c r="Q4047"/>
  <c r="E456" i="17"/>
  <c r="E975" i="14"/>
  <c r="D1748" i="13"/>
  <c r="M4047" i="6"/>
  <c r="J4047"/>
  <c r="E4047"/>
  <c r="Q4046"/>
  <c r="Q4045"/>
  <c r="E455" i="17"/>
  <c r="E454"/>
  <c r="E974" i="14"/>
  <c r="E973"/>
  <c r="G782"/>
  <c r="G761"/>
  <c r="G956"/>
  <c r="G934"/>
  <c r="G911"/>
  <c r="G868"/>
  <c r="G846"/>
  <c r="G825"/>
  <c r="G805"/>
  <c r="G891"/>
  <c r="F846"/>
  <c r="J826"/>
  <c r="D1747" i="13"/>
  <c r="E4046" i="6"/>
  <c r="J4046"/>
  <c r="M4046"/>
  <c r="E4045"/>
  <c r="O3776"/>
  <c r="N4027"/>
  <c r="D1746" i="13"/>
  <c r="J4045" i="6"/>
  <c r="M4045"/>
  <c r="D1745" i="13"/>
  <c r="Q4044" i="6"/>
  <c r="J4044"/>
  <c r="E4044"/>
  <c r="E453" i="17"/>
  <c r="E972" i="14"/>
  <c r="M4044" i="6"/>
  <c r="D1744" i="13"/>
  <c r="E4043" i="6"/>
  <c r="D1743" i="13"/>
  <c r="D1742"/>
  <c r="D1741"/>
  <c r="D1740"/>
  <c r="Q4041" i="6"/>
  <c r="Q4040"/>
  <c r="W4040" s="1"/>
  <c r="E4042"/>
  <c r="E4041"/>
  <c r="E4040"/>
  <c r="E4039"/>
  <c r="E449" i="17"/>
  <c r="E450"/>
  <c r="E451"/>
  <c r="E452"/>
  <c r="E968" i="14"/>
  <c r="E969"/>
  <c r="E970"/>
  <c r="E971"/>
  <c r="J4040" i="6"/>
  <c r="J4041"/>
  <c r="J4042"/>
  <c r="J4043"/>
  <c r="J4039"/>
  <c r="M4041"/>
  <c r="M4042"/>
  <c r="M4043"/>
  <c r="M4040"/>
  <c r="Q4039"/>
  <c r="W4039" s="1"/>
  <c r="E448" i="17"/>
  <c r="M4039" i="6"/>
  <c r="E967" i="14"/>
  <c r="Q4038" i="6"/>
  <c r="W4038" s="1"/>
  <c r="J4038"/>
  <c r="E4038"/>
  <c r="D1739" i="13"/>
  <c r="Q4037" i="6"/>
  <c r="E447" i="17"/>
  <c r="E966" i="14"/>
  <c r="M4038" i="6"/>
  <c r="E446" i="17"/>
  <c r="E965" i="14"/>
  <c r="D1738" i="13"/>
  <c r="J4037" i="6"/>
  <c r="E4037"/>
  <c r="M4037"/>
  <c r="D1737" i="13"/>
  <c r="Q4036" i="6"/>
  <c r="J4036"/>
  <c r="E4036"/>
  <c r="E445" i="17"/>
  <c r="E964" i="14"/>
  <c r="M4036" i="6"/>
  <c r="E444" i="17"/>
  <c r="E963" i="14"/>
  <c r="D1736" i="13"/>
  <c r="Q4035" i="6"/>
  <c r="M4035"/>
  <c r="J4035"/>
  <c r="E4035"/>
  <c r="Q4034"/>
  <c r="E443" i="17"/>
  <c r="E962" i="14"/>
  <c r="D1735" i="13"/>
  <c r="M4034" i="6"/>
  <c r="J4034"/>
  <c r="E4034"/>
  <c r="D1734" i="13"/>
  <c r="E4033" i="6"/>
  <c r="Q4033"/>
  <c r="W4033" s="1"/>
  <c r="E442" i="17"/>
  <c r="E961" i="14"/>
  <c r="M4033" i="6"/>
  <c r="J4033"/>
  <c r="D1733" i="13"/>
  <c r="Q4032" i="6"/>
  <c r="W4032" s="1"/>
  <c r="E441" i="17"/>
  <c r="E960" i="14"/>
  <c r="M4032" i="6"/>
  <c r="J4032"/>
  <c r="E4032"/>
  <c r="D1732" i="13"/>
  <c r="Q4031" i="6"/>
  <c r="J4031"/>
  <c r="E440" i="17"/>
  <c r="E959" i="14"/>
  <c r="M4031" i="6"/>
  <c r="E4031"/>
  <c r="D1731" i="13"/>
  <c r="Q4030" i="6"/>
  <c r="J4030"/>
  <c r="E4030"/>
  <c r="E439" i="17"/>
  <c r="E958" i="14"/>
  <c r="M4030" i="6"/>
  <c r="D1730" i="13"/>
  <c r="E1750" s="1"/>
  <c r="J4029" i="6"/>
  <c r="E4029"/>
  <c r="M4029"/>
  <c r="Q4029"/>
  <c r="E438" i="17"/>
  <c r="E957" i="14"/>
  <c r="V4028" i="6"/>
  <c r="Q4027"/>
  <c r="F437" i="17"/>
  <c r="E437"/>
  <c r="F956" i="14"/>
  <c r="E956"/>
  <c r="D1729" i="13"/>
  <c r="M4027" i="6"/>
  <c r="J4027"/>
  <c r="E4027"/>
  <c r="Q4026"/>
  <c r="W4026" s="1"/>
  <c r="E436" i="17"/>
  <c r="E955" i="14"/>
  <c r="E954"/>
  <c r="D1728" i="13"/>
  <c r="M4026" i="6"/>
  <c r="J4026"/>
  <c r="E4026"/>
  <c r="Q4025"/>
  <c r="W4025" s="1"/>
  <c r="J4025"/>
  <c r="E435" i="17"/>
  <c r="D1727" i="13"/>
  <c r="E4025" i="6"/>
  <c r="M4025"/>
  <c r="Q4024"/>
  <c r="W4024" s="1"/>
  <c r="E434" i="17"/>
  <c r="E953" i="14"/>
  <c r="D1726" i="13"/>
  <c r="M4024" i="6"/>
  <c r="J4024"/>
  <c r="E4024"/>
  <c r="Q4023"/>
  <c r="W4023" s="1"/>
  <c r="Q4022"/>
  <c r="E432" i="17"/>
  <c r="E951" i="14"/>
  <c r="D1724" i="13"/>
  <c r="M4022" i="6"/>
  <c r="J4022"/>
  <c r="E4022"/>
  <c r="E431" i="17"/>
  <c r="E430"/>
  <c r="E950" i="14"/>
  <c r="D1723" i="13"/>
  <c r="Q4021" i="6"/>
  <c r="J4021"/>
  <c r="E4021"/>
  <c r="M4021"/>
  <c r="E949" i="14"/>
  <c r="D1722" i="13"/>
  <c r="Q4020" i="6"/>
  <c r="M4020"/>
  <c r="J4020"/>
  <c r="E4020"/>
  <c r="E429" i="17"/>
  <c r="D1721" i="13"/>
  <c r="Q4019" i="6"/>
  <c r="W4019" s="1"/>
  <c r="J4019"/>
  <c r="E4019"/>
  <c r="E948" i="14"/>
  <c r="M4019" i="6"/>
  <c r="Q4018"/>
  <c r="E428" i="17"/>
  <c r="E947" i="14"/>
  <c r="D1720" i="13"/>
  <c r="M4018" i="6"/>
  <c r="J4018"/>
  <c r="E4018"/>
  <c r="Q4017"/>
  <c r="E427" i="17"/>
  <c r="E946" i="14"/>
  <c r="D1719" i="13"/>
  <c r="M4017" i="6"/>
  <c r="J4017"/>
  <c r="E4017"/>
  <c r="Q4015"/>
  <c r="W4015" s="1"/>
  <c r="D1718" i="13"/>
  <c r="D1717"/>
  <c r="Q4016" i="6"/>
  <c r="J4016"/>
  <c r="E4016"/>
  <c r="J4015"/>
  <c r="E4015"/>
  <c r="E425" i="17"/>
  <c r="E426"/>
  <c r="E944" i="14"/>
  <c r="E945"/>
  <c r="M4016" i="6"/>
  <c r="M4015"/>
  <c r="D1716" i="13"/>
  <c r="E4014" i="6"/>
  <c r="J4014"/>
  <c r="Q4014"/>
  <c r="W4014" s="1"/>
  <c r="E424" i="17"/>
  <c r="E943" i="14"/>
  <c r="M4014" i="6"/>
  <c r="D1715" i="13"/>
  <c r="Q4013" i="6"/>
  <c r="J4013"/>
  <c r="E4013"/>
  <c r="E423" i="17"/>
  <c r="E942" i="14"/>
  <c r="M4013" i="6"/>
  <c r="D1714" i="13"/>
  <c r="Q4012" i="6"/>
  <c r="E4012"/>
  <c r="E422" i="17"/>
  <c r="E941" i="14"/>
  <c r="J4012" i="6"/>
  <c r="M4012"/>
  <c r="Q4011"/>
  <c r="E421" i="17"/>
  <c r="E940" i="14"/>
  <c r="D1713" i="13"/>
  <c r="M4011" i="6"/>
  <c r="J4011"/>
  <c r="E4011"/>
  <c r="D1712" i="13"/>
  <c r="E4010" i="6"/>
  <c r="E420" i="17"/>
  <c r="E939" i="14"/>
  <c r="Q4010" i="6"/>
  <c r="J4010"/>
  <c r="M4010"/>
  <c r="Q4009"/>
  <c r="W4009" s="1"/>
  <c r="E419" i="17"/>
  <c r="E938" i="14"/>
  <c r="D1711" i="13"/>
  <c r="M4009" i="6"/>
  <c r="J4009"/>
  <c r="E4009"/>
  <c r="D1710" i="13"/>
  <c r="Q4008" i="6"/>
  <c r="W4008" s="1"/>
  <c r="J4008"/>
  <c r="E4008"/>
  <c r="E418" i="17"/>
  <c r="E937" i="14"/>
  <c r="M4008" i="6"/>
  <c r="D1709" i="13"/>
  <c r="Q4007" i="6"/>
  <c r="W4007" s="1"/>
  <c r="E4007"/>
  <c r="E417" i="17"/>
  <c r="E936" i="14"/>
  <c r="J4007" i="6"/>
  <c r="M4007"/>
  <c r="D1708" i="13"/>
  <c r="Q4006" i="6"/>
  <c r="J4006"/>
  <c r="E416" i="17"/>
  <c r="E935" i="14"/>
  <c r="M4006" i="6"/>
  <c r="E4006"/>
  <c r="N4004"/>
  <c r="E415" i="17"/>
  <c r="E934" i="14"/>
  <c r="D1707" i="13"/>
  <c r="J4004" i="6"/>
  <c r="Q4004"/>
  <c r="W4004" s="1"/>
  <c r="F415" i="17"/>
  <c r="F934" i="14"/>
  <c r="M4004" i="6"/>
  <c r="E4004"/>
  <c r="E933" i="14"/>
  <c r="D1706" i="13"/>
  <c r="Q4003" i="6"/>
  <c r="J4003"/>
  <c r="E4003"/>
  <c r="E414" i="17"/>
  <c r="M4003" i="6"/>
  <c r="Q4002"/>
  <c r="D1705" i="13"/>
  <c r="D1704"/>
  <c r="E413" i="17"/>
  <c r="E932" i="14"/>
  <c r="M4002" i="6"/>
  <c r="J4002"/>
  <c r="E4001"/>
  <c r="E4002"/>
  <c r="E412" i="17"/>
  <c r="Q4001" i="6"/>
  <c r="J4001"/>
  <c r="E931" i="14"/>
  <c r="M4001" i="6"/>
  <c r="E930" i="14"/>
  <c r="D1703" i="13"/>
  <c r="Q4000" i="6"/>
  <c r="J4000"/>
  <c r="E411" i="17"/>
  <c r="M4000" i="6"/>
  <c r="E4000"/>
  <c r="Q3999"/>
  <c r="D1702" i="13"/>
  <c r="E3999" i="6"/>
  <c r="E410" i="17"/>
  <c r="E929" i="14"/>
  <c r="M3999" i="6"/>
  <c r="J3999"/>
  <c r="E409" i="17"/>
  <c r="E928" i="14"/>
  <c r="D1701" i="13"/>
  <c r="Q3998" i="6"/>
  <c r="M3998"/>
  <c r="J3998"/>
  <c r="E3998"/>
  <c r="V4005"/>
  <c r="E3997"/>
  <c r="D1700" i="13"/>
  <c r="D1699"/>
  <c r="D1692"/>
  <c r="Q3997" i="6"/>
  <c r="W3997" s="1"/>
  <c r="J3997"/>
  <c r="E408" i="17"/>
  <c r="E927" i="14"/>
  <c r="M3997" i="6"/>
  <c r="E3996"/>
  <c r="Q3996"/>
  <c r="W3996" s="1"/>
  <c r="E407" i="17"/>
  <c r="E926" i="14"/>
  <c r="M3996" i="6"/>
  <c r="J3996"/>
  <c r="D1698" i="13"/>
  <c r="E3995" i="6"/>
  <c r="Q3995"/>
  <c r="J3994"/>
  <c r="J3995"/>
  <c r="E406" i="17"/>
  <c r="E925" i="14"/>
  <c r="M3995" i="6"/>
  <c r="D1697" i="13"/>
  <c r="Q3994" i="6"/>
  <c r="W3994" s="1"/>
  <c r="E3994"/>
  <c r="E405" i="17"/>
  <c r="E924" i="14"/>
  <c r="M3994" i="6"/>
  <c r="D1696" i="13"/>
  <c r="Q3993" i="6"/>
  <c r="J3993"/>
  <c r="E3993"/>
  <c r="E404" i="17"/>
  <c r="E923" i="14"/>
  <c r="M3993" i="6"/>
  <c r="Q3992"/>
  <c r="W3992" s="1"/>
  <c r="E403" i="17"/>
  <c r="E922" i="14"/>
  <c r="D1695" i="13"/>
  <c r="J3992" i="6"/>
  <c r="E3992"/>
  <c r="M3992"/>
  <c r="D1694" i="13"/>
  <c r="Q3991" i="6"/>
  <c r="E3991"/>
  <c r="E402" i="17"/>
  <c r="E921" i="14"/>
  <c r="J3991" i="6"/>
  <c r="M3991"/>
  <c r="E3989"/>
  <c r="D1693" i="13"/>
  <c r="Q3990" i="6"/>
  <c r="W3990" s="1"/>
  <c r="E401" i="17"/>
  <c r="E920" i="14"/>
  <c r="J3990" i="6"/>
  <c r="E3990"/>
  <c r="M3990"/>
  <c r="Q3989"/>
  <c r="W3989" s="1"/>
  <c r="E919" i="14"/>
  <c r="J3989" i="6"/>
  <c r="E400" i="17"/>
  <c r="M3989" i="6"/>
  <c r="E399" i="17"/>
  <c r="E918" i="14"/>
  <c r="D1691" i="13"/>
  <c r="Q3988" i="6"/>
  <c r="W3988" s="1"/>
  <c r="J3988"/>
  <c r="M3988"/>
  <c r="Q3987"/>
  <c r="W3987" s="1"/>
  <c r="D1690" i="13"/>
  <c r="J3987" i="6"/>
  <c r="E398" i="17"/>
  <c r="E917" i="14"/>
  <c r="M3987" i="6"/>
  <c r="Q3986"/>
  <c r="W3986" s="1"/>
  <c r="E916" i="14"/>
  <c r="J3986" i="6"/>
  <c r="E3986"/>
  <c r="E397" i="17"/>
  <c r="M3986" i="6"/>
  <c r="Q3985"/>
  <c r="E396" i="17"/>
  <c r="E915" i="14"/>
  <c r="D1688" i="13"/>
  <c r="D1689"/>
  <c r="J3985" i="6"/>
  <c r="E3985"/>
  <c r="E3987"/>
  <c r="E3988"/>
  <c r="M3985"/>
  <c r="Q3984"/>
  <c r="E3984"/>
  <c r="E395" i="17"/>
  <c r="E914" i="14"/>
  <c r="D1687" i="13"/>
  <c r="J3984" i="6"/>
  <c r="M3984"/>
  <c r="Q3983"/>
  <c r="D1686" i="13"/>
  <c r="E3983" i="6"/>
  <c r="E394" i="17"/>
  <c r="E913" i="14"/>
  <c r="M3983" i="6"/>
  <c r="J3983"/>
  <c r="O3935"/>
  <c r="O3980"/>
  <c r="V3981"/>
  <c r="Q3982"/>
  <c r="W3982" s="1"/>
  <c r="E393" i="17"/>
  <c r="E912" i="14"/>
  <c r="D1685" i="13"/>
  <c r="E3982" i="6"/>
  <c r="J3982"/>
  <c r="M3982"/>
  <c r="F392" i="17"/>
  <c r="F651" i="14"/>
  <c r="F911"/>
  <c r="N3980" i="6"/>
  <c r="Q3980"/>
  <c r="E911" i="14"/>
  <c r="D1684" i="13"/>
  <c r="J3980" i="6"/>
  <c r="E3980"/>
  <c r="E392" i="17"/>
  <c r="M3980" i="6"/>
  <c r="Q3979"/>
  <c r="E391" i="17"/>
  <c r="E910" i="14"/>
  <c r="D1683" i="13"/>
  <c r="J3979" i="6"/>
  <c r="E3979"/>
  <c r="M3979"/>
  <c r="Q3978"/>
  <c r="D1682" i="13"/>
  <c r="J3978" i="6"/>
  <c r="E3978"/>
  <c r="E390" i="17"/>
  <c r="E909" i="14"/>
  <c r="M3978" i="6"/>
  <c r="Q3977"/>
  <c r="E389" i="17"/>
  <c r="D1681" i="13"/>
  <c r="J3977" i="6"/>
  <c r="E3977"/>
  <c r="E908" i="14"/>
  <c r="M3977" i="6"/>
  <c r="Q3976"/>
  <c r="D1680" i="13"/>
  <c r="J3976" i="6"/>
  <c r="E388" i="17"/>
  <c r="E907" i="14"/>
  <c r="M3976" i="6"/>
  <c r="E3976"/>
  <c r="Q3975"/>
  <c r="D1679" i="13"/>
  <c r="E387" i="17"/>
  <c r="E906" i="14"/>
  <c r="M3975" i="6"/>
  <c r="E3975"/>
  <c r="J3975"/>
  <c r="Q3974"/>
  <c r="W3974" s="1"/>
  <c r="E386" i="17"/>
  <c r="E905" i="14"/>
  <c r="D1678" i="13"/>
  <c r="J3974" i="6"/>
  <c r="E3974"/>
  <c r="M3974"/>
  <c r="Q3973"/>
  <c r="D1677" i="13"/>
  <c r="E385" i="17"/>
  <c r="E904" i="14"/>
  <c r="M3973" i="6"/>
  <c r="J3973"/>
  <c r="E3973"/>
  <c r="Q3972"/>
  <c r="D1676" i="13"/>
  <c r="E384" i="17"/>
  <c r="E903" i="14"/>
  <c r="M3972" i="6"/>
  <c r="J3972"/>
  <c r="E3972"/>
  <c r="Q3971"/>
  <c r="E383" i="17"/>
  <c r="E902" i="14"/>
  <c r="D1675" i="13"/>
  <c r="M3971" i="6"/>
  <c r="J3971"/>
  <c r="E3971"/>
  <c r="Q3970"/>
  <c r="W3970" s="1"/>
  <c r="E382" i="17"/>
  <c r="E901" i="14"/>
  <c r="D1674" i="13"/>
  <c r="M3970" i="6"/>
  <c r="J3970"/>
  <c r="E3970"/>
  <c r="Q3969"/>
  <c r="E3969"/>
  <c r="E381" i="17"/>
  <c r="E900" i="14"/>
  <c r="D1673" i="13"/>
  <c r="M3969" i="6"/>
  <c r="J3969"/>
  <c r="D1672" i="13"/>
  <c r="E3968" i="6"/>
  <c r="E380" i="17"/>
  <c r="E899" i="14"/>
  <c r="M3968" i="6"/>
  <c r="J3968"/>
  <c r="D1671" i="13"/>
  <c r="E3967" i="6"/>
  <c r="Q3965"/>
  <c r="E379" i="17"/>
  <c r="E898" i="14"/>
  <c r="M3967" i="6"/>
  <c r="J3967"/>
  <c r="J3" i="17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F24"/>
  <c r="G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F45"/>
  <c r="G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F67"/>
  <c r="G67"/>
  <c r="E68"/>
  <c r="E69"/>
  <c r="E70"/>
  <c r="E71"/>
  <c r="E74"/>
  <c r="E75"/>
  <c r="E76"/>
  <c r="E77"/>
  <c r="E78"/>
  <c r="E79"/>
  <c r="E80"/>
  <c r="E81"/>
  <c r="E82"/>
  <c r="E83"/>
  <c r="E84"/>
  <c r="E85"/>
  <c r="E86"/>
  <c r="E87"/>
  <c r="E88"/>
  <c r="F88"/>
  <c r="G88"/>
  <c r="E89"/>
  <c r="E90"/>
  <c r="E91"/>
  <c r="E92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F111"/>
  <c r="G111"/>
  <c r="E112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F132"/>
  <c r="G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F154"/>
  <c r="G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4"/>
  <c r="E175"/>
  <c r="E176"/>
  <c r="E177"/>
  <c r="F177"/>
  <c r="G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F197"/>
  <c r="G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F220"/>
  <c r="G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F242"/>
  <c r="G242"/>
  <c r="E243"/>
  <c r="E244"/>
  <c r="E245"/>
  <c r="E246"/>
  <c r="E247"/>
  <c r="E248"/>
  <c r="E249"/>
  <c r="E250"/>
  <c r="E251"/>
  <c r="E252"/>
  <c r="E253"/>
  <c r="E254"/>
  <c r="E255"/>
  <c r="E256"/>
  <c r="E257"/>
  <c r="E258"/>
  <c r="E261"/>
  <c r="E262"/>
  <c r="E263"/>
  <c r="F263"/>
  <c r="G263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F286"/>
  <c r="G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F306"/>
  <c r="G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F327"/>
  <c r="G327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F349"/>
  <c r="G349"/>
  <c r="E350"/>
  <c r="E351"/>
  <c r="E352"/>
  <c r="E354"/>
  <c r="E355"/>
  <c r="E356"/>
  <c r="E357"/>
  <c r="E358"/>
  <c r="E359"/>
  <c r="E360"/>
  <c r="E361"/>
  <c r="E362"/>
  <c r="E363"/>
  <c r="E364"/>
  <c r="E365"/>
  <c r="E366"/>
  <c r="E367"/>
  <c r="E369"/>
  <c r="E370"/>
  <c r="E371"/>
  <c r="E372"/>
  <c r="F372"/>
  <c r="G372"/>
  <c r="E373"/>
  <c r="E374"/>
  <c r="E375"/>
  <c r="E376"/>
  <c r="E377"/>
  <c r="E378"/>
  <c r="N3" i="15"/>
  <c r="G3" i="14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F22"/>
  <c r="G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F42"/>
  <c r="G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F65"/>
  <c r="G65"/>
  <c r="E66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F87"/>
  <c r="G87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F107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F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F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4"/>
  <c r="F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F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F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F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60"/>
  <c r="E261"/>
  <c r="E262"/>
  <c r="F262"/>
  <c r="E263"/>
  <c r="G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F282"/>
  <c r="G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F302"/>
  <c r="G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F325"/>
  <c r="G325"/>
  <c r="E326"/>
  <c r="E327"/>
  <c r="E328"/>
  <c r="E329"/>
  <c r="E330"/>
  <c r="E331"/>
  <c r="E332"/>
  <c r="E333"/>
  <c r="E334"/>
  <c r="E335"/>
  <c r="E336"/>
  <c r="E337"/>
  <c r="E338"/>
  <c r="E339"/>
  <c r="E340"/>
  <c r="E343"/>
  <c r="E344"/>
  <c r="E345"/>
  <c r="F346"/>
  <c r="G346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8"/>
  <c r="F368"/>
  <c r="G368"/>
  <c r="E369"/>
  <c r="E370"/>
  <c r="E371"/>
  <c r="E372"/>
  <c r="E373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F390"/>
  <c r="G390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F411"/>
  <c r="G411"/>
  <c r="E412"/>
  <c r="E413"/>
  <c r="E414"/>
  <c r="E415"/>
  <c r="E416"/>
  <c r="E417"/>
  <c r="E418"/>
  <c r="E419"/>
  <c r="E420"/>
  <c r="E421"/>
  <c r="E422"/>
  <c r="E423"/>
  <c r="E424"/>
  <c r="E425"/>
  <c r="E426"/>
  <c r="E427"/>
  <c r="E428"/>
  <c r="E429"/>
  <c r="E430"/>
  <c r="E431"/>
  <c r="E433"/>
  <c r="E434"/>
  <c r="F434"/>
  <c r="G434"/>
  <c r="E435"/>
  <c r="E436"/>
  <c r="E437"/>
  <c r="E438"/>
  <c r="E439"/>
  <c r="E440"/>
  <c r="E441"/>
  <c r="E442"/>
  <c r="E443"/>
  <c r="E444"/>
  <c r="E445"/>
  <c r="E446"/>
  <c r="E447"/>
  <c r="E448"/>
  <c r="E449"/>
  <c r="E450"/>
  <c r="E451"/>
  <c r="E452"/>
  <c r="E453"/>
  <c r="E454"/>
  <c r="E455"/>
  <c r="E456"/>
  <c r="F456"/>
  <c r="G456"/>
  <c r="E457"/>
  <c r="E458"/>
  <c r="E459"/>
  <c r="E460"/>
  <c r="E461"/>
  <c r="E462"/>
  <c r="E463"/>
  <c r="E464"/>
  <c r="E465"/>
  <c r="E466"/>
  <c r="E467"/>
  <c r="E468"/>
  <c r="E469"/>
  <c r="E470"/>
  <c r="E471"/>
  <c r="E472"/>
  <c r="E473"/>
  <c r="E474"/>
  <c r="E475"/>
  <c r="E476"/>
  <c r="E477"/>
  <c r="F477"/>
  <c r="G477"/>
  <c r="E478"/>
  <c r="E479"/>
  <c r="E480"/>
  <c r="E481"/>
  <c r="E482"/>
  <c r="E483"/>
  <c r="E484"/>
  <c r="E485"/>
  <c r="E486"/>
  <c r="E487"/>
  <c r="E488"/>
  <c r="E489"/>
  <c r="E490"/>
  <c r="E491"/>
  <c r="E492"/>
  <c r="E493"/>
  <c r="E494"/>
  <c r="E495"/>
  <c r="E496"/>
  <c r="E497"/>
  <c r="E498"/>
  <c r="E499"/>
  <c r="F499"/>
  <c r="G499"/>
  <c r="E500"/>
  <c r="E501"/>
  <c r="E502"/>
  <c r="E503"/>
  <c r="E504"/>
  <c r="E505"/>
  <c r="E506"/>
  <c r="E507"/>
  <c r="E508"/>
  <c r="E509"/>
  <c r="E510"/>
  <c r="E511"/>
  <c r="E512"/>
  <c r="E513"/>
  <c r="E514"/>
  <c r="E515"/>
  <c r="E516"/>
  <c r="E519"/>
  <c r="E520"/>
  <c r="E521"/>
  <c r="F521"/>
  <c r="G521"/>
  <c r="E523"/>
  <c r="E524"/>
  <c r="E525"/>
  <c r="E526"/>
  <c r="E527"/>
  <c r="E528"/>
  <c r="E529"/>
  <c r="E530"/>
  <c r="E531"/>
  <c r="E532"/>
  <c r="E533"/>
  <c r="E534"/>
  <c r="E535"/>
  <c r="E536"/>
  <c r="E537"/>
  <c r="E538"/>
  <c r="E539"/>
  <c r="E540"/>
  <c r="E541"/>
  <c r="E542"/>
  <c r="E543"/>
  <c r="F543"/>
  <c r="G543"/>
  <c r="E544"/>
  <c r="E545"/>
  <c r="E546"/>
  <c r="E547"/>
  <c r="E548"/>
  <c r="E549"/>
  <c r="E550"/>
  <c r="E551"/>
  <c r="E552"/>
  <c r="E553"/>
  <c r="E554"/>
  <c r="E555"/>
  <c r="E556"/>
  <c r="E557"/>
  <c r="E558"/>
  <c r="E559"/>
  <c r="E560"/>
  <c r="E561"/>
  <c r="E562"/>
  <c r="E563"/>
  <c r="E564"/>
  <c r="F564"/>
  <c r="G564"/>
  <c r="E565"/>
  <c r="E566"/>
  <c r="E567"/>
  <c r="E568"/>
  <c r="E569"/>
  <c r="E570"/>
  <c r="E571"/>
  <c r="E572"/>
  <c r="E573"/>
  <c r="E574"/>
  <c r="E575"/>
  <c r="E576"/>
  <c r="E577"/>
  <c r="E578"/>
  <c r="E579"/>
  <c r="E580"/>
  <c r="E581"/>
  <c r="E582"/>
  <c r="E583"/>
  <c r="E584"/>
  <c r="E585"/>
  <c r="E586"/>
  <c r="F586"/>
  <c r="G586"/>
  <c r="E587"/>
  <c r="E588"/>
  <c r="E589"/>
  <c r="E590"/>
  <c r="E593"/>
  <c r="E594"/>
  <c r="E595"/>
  <c r="E596"/>
  <c r="E597"/>
  <c r="E598"/>
  <c r="E599"/>
  <c r="E600"/>
  <c r="E601"/>
  <c r="E602"/>
  <c r="E603"/>
  <c r="E604"/>
  <c r="E605"/>
  <c r="E606"/>
  <c r="E607"/>
  <c r="F607"/>
  <c r="G607"/>
  <c r="E608"/>
  <c r="E609"/>
  <c r="E610"/>
  <c r="E611"/>
  <c r="E613"/>
  <c r="E614"/>
  <c r="E615"/>
  <c r="E616"/>
  <c r="E617"/>
  <c r="E618"/>
  <c r="E619"/>
  <c r="E620"/>
  <c r="E621"/>
  <c r="E622"/>
  <c r="E623"/>
  <c r="E624"/>
  <c r="E625"/>
  <c r="E626"/>
  <c r="E627"/>
  <c r="E628"/>
  <c r="E629"/>
  <c r="E630"/>
  <c r="F630"/>
  <c r="G630"/>
  <c r="E631"/>
  <c r="E634"/>
  <c r="E635"/>
  <c r="E636"/>
  <c r="E637"/>
  <c r="E638"/>
  <c r="E639"/>
  <c r="E640"/>
  <c r="E641"/>
  <c r="E642"/>
  <c r="E643"/>
  <c r="E644"/>
  <c r="E645"/>
  <c r="E646"/>
  <c r="E647"/>
  <c r="E648"/>
  <c r="E649"/>
  <c r="E650"/>
  <c r="E651"/>
  <c r="G651"/>
  <c r="E652"/>
  <c r="E653"/>
  <c r="E654"/>
  <c r="E655"/>
  <c r="E656"/>
  <c r="E657"/>
  <c r="E658"/>
  <c r="E659"/>
  <c r="E660"/>
  <c r="E661"/>
  <c r="E662"/>
  <c r="E663"/>
  <c r="E664"/>
  <c r="E665"/>
  <c r="E666"/>
  <c r="E667"/>
  <c r="E668"/>
  <c r="E669"/>
  <c r="E670"/>
  <c r="E671"/>
  <c r="E672"/>
  <c r="E673"/>
  <c r="F673"/>
  <c r="G673"/>
  <c r="E674"/>
  <c r="E675"/>
  <c r="E676"/>
  <c r="E677"/>
  <c r="E678"/>
  <c r="E679"/>
  <c r="E680"/>
  <c r="E681"/>
  <c r="E682"/>
  <c r="E683"/>
  <c r="E684"/>
  <c r="E685"/>
  <c r="E686"/>
  <c r="E687"/>
  <c r="E688"/>
  <c r="E689"/>
  <c r="E690"/>
  <c r="E691"/>
  <c r="E693"/>
  <c r="E694"/>
  <c r="E695"/>
  <c r="E696"/>
  <c r="F696"/>
  <c r="G696"/>
  <c r="E697"/>
  <c r="E698"/>
  <c r="E699"/>
  <c r="E700"/>
  <c r="E701"/>
  <c r="E702"/>
  <c r="E703"/>
  <c r="E704"/>
  <c r="E705"/>
  <c r="E706"/>
  <c r="E707"/>
  <c r="E708"/>
  <c r="E709"/>
  <c r="E710"/>
  <c r="E711"/>
  <c r="E712"/>
  <c r="E713"/>
  <c r="E714"/>
  <c r="E715"/>
  <c r="E716"/>
  <c r="F716"/>
  <c r="G716"/>
  <c r="E717"/>
  <c r="E718"/>
  <c r="E719"/>
  <c r="E720"/>
  <c r="E721"/>
  <c r="E722"/>
  <c r="E723"/>
  <c r="E724"/>
  <c r="E725"/>
  <c r="E726"/>
  <c r="E727"/>
  <c r="E728"/>
  <c r="E729"/>
  <c r="E730"/>
  <c r="E731"/>
  <c r="E732"/>
  <c r="E733"/>
  <c r="E734"/>
  <c r="E735"/>
  <c r="E736"/>
  <c r="E737"/>
  <c r="E738"/>
  <c r="E739"/>
  <c r="F739"/>
  <c r="G739"/>
  <c r="E740"/>
  <c r="E741"/>
  <c r="E742"/>
  <c r="E743"/>
  <c r="E744"/>
  <c r="E745"/>
  <c r="E746"/>
  <c r="E747"/>
  <c r="E748"/>
  <c r="E749"/>
  <c r="E750"/>
  <c r="E751"/>
  <c r="E752"/>
  <c r="E753"/>
  <c r="E754"/>
  <c r="E755"/>
  <c r="E756"/>
  <c r="E757"/>
  <c r="E758"/>
  <c r="E759"/>
  <c r="E760"/>
  <c r="E761"/>
  <c r="F761"/>
  <c r="E762"/>
  <c r="E763"/>
  <c r="E764"/>
  <c r="E765"/>
  <c r="E766"/>
  <c r="E767"/>
  <c r="E768"/>
  <c r="E769"/>
  <c r="J769"/>
  <c r="E770"/>
  <c r="E771"/>
  <c r="E772"/>
  <c r="E773"/>
  <c r="E774"/>
  <c r="E775"/>
  <c r="E776"/>
  <c r="E777"/>
  <c r="E780"/>
  <c r="E781"/>
  <c r="E782"/>
  <c r="F782"/>
  <c r="E784"/>
  <c r="E785"/>
  <c r="J785"/>
  <c r="E786"/>
  <c r="E787"/>
  <c r="E788"/>
  <c r="E789"/>
  <c r="E790"/>
  <c r="E791"/>
  <c r="E792"/>
  <c r="E793"/>
  <c r="E794"/>
  <c r="E795"/>
  <c r="E796"/>
  <c r="E797"/>
  <c r="E798"/>
  <c r="E799"/>
  <c r="E800"/>
  <c r="E801"/>
  <c r="E802"/>
  <c r="E803"/>
  <c r="E804"/>
  <c r="E805"/>
  <c r="F805"/>
  <c r="E806"/>
  <c r="E807"/>
  <c r="E808"/>
  <c r="E809"/>
  <c r="E810"/>
  <c r="E811"/>
  <c r="E812"/>
  <c r="E813"/>
  <c r="E814"/>
  <c r="E815"/>
  <c r="E816"/>
  <c r="E817"/>
  <c r="E818"/>
  <c r="E819"/>
  <c r="E820"/>
  <c r="E821"/>
  <c r="E822"/>
  <c r="E823"/>
  <c r="E824"/>
  <c r="E825"/>
  <c r="F825"/>
  <c r="E826"/>
  <c r="E827"/>
  <c r="E828"/>
  <c r="E829"/>
  <c r="E830"/>
  <c r="E831"/>
  <c r="E832"/>
  <c r="E833"/>
  <c r="E834"/>
  <c r="E835"/>
  <c r="E836"/>
  <c r="E837"/>
  <c r="E838"/>
  <c r="E839"/>
  <c r="E840"/>
  <c r="E841"/>
  <c r="E842"/>
  <c r="E843"/>
  <c r="E844"/>
  <c r="E845"/>
  <c r="E848"/>
  <c r="E849"/>
  <c r="E850"/>
  <c r="E851"/>
  <c r="E852"/>
  <c r="E853"/>
  <c r="E854"/>
  <c r="E855"/>
  <c r="E856"/>
  <c r="E857"/>
  <c r="E858"/>
  <c r="E859"/>
  <c r="E860"/>
  <c r="E861"/>
  <c r="E862"/>
  <c r="E863"/>
  <c r="E864"/>
  <c r="E865"/>
  <c r="E866"/>
  <c r="E867"/>
  <c r="E868"/>
  <c r="F868"/>
  <c r="E869"/>
  <c r="E870"/>
  <c r="E871"/>
  <c r="E873"/>
  <c r="E874"/>
  <c r="E875"/>
  <c r="E876"/>
  <c r="E877"/>
  <c r="E878"/>
  <c r="E879"/>
  <c r="E880"/>
  <c r="H880"/>
  <c r="E881"/>
  <c r="E882"/>
  <c r="E883"/>
  <c r="E884"/>
  <c r="E885"/>
  <c r="E886"/>
  <c r="E888"/>
  <c r="E889"/>
  <c r="E890"/>
  <c r="E891"/>
  <c r="F891"/>
  <c r="E892"/>
  <c r="E893"/>
  <c r="E894"/>
  <c r="E895"/>
  <c r="E896"/>
  <c r="E897"/>
  <c r="E21" i="13"/>
  <c r="E41"/>
  <c r="E63"/>
  <c r="G63"/>
  <c r="D64"/>
  <c r="D65"/>
  <c r="D66"/>
  <c r="D67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5"/>
  <c r="D346"/>
  <c r="D347"/>
  <c r="D348"/>
  <c r="D349"/>
  <c r="D350"/>
  <c r="D351"/>
  <c r="D352"/>
  <c r="D353"/>
  <c r="D354"/>
  <c r="D355"/>
  <c r="D356"/>
  <c r="D357"/>
  <c r="D358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505"/>
  <c r="D506"/>
  <c r="D507"/>
  <c r="D508"/>
  <c r="D509"/>
  <c r="D510"/>
  <c r="D513"/>
  <c r="D514"/>
  <c r="D515"/>
  <c r="D516"/>
  <c r="D517"/>
  <c r="D518"/>
  <c r="D519"/>
  <c r="D520"/>
  <c r="D521"/>
  <c r="D522"/>
  <c r="D523"/>
  <c r="D524"/>
  <c r="D525"/>
  <c r="D526"/>
  <c r="D527"/>
  <c r="D528"/>
  <c r="D529"/>
  <c r="D530"/>
  <c r="D531"/>
  <c r="D532"/>
  <c r="D533"/>
  <c r="D534"/>
  <c r="D535"/>
  <c r="D536"/>
  <c r="D537"/>
  <c r="D538"/>
  <c r="D539"/>
  <c r="D540"/>
  <c r="D541"/>
  <c r="D542"/>
  <c r="D543"/>
  <c r="D544"/>
  <c r="D545"/>
  <c r="D546"/>
  <c r="D547"/>
  <c r="D548"/>
  <c r="D549"/>
  <c r="D550"/>
  <c r="D551"/>
  <c r="D552"/>
  <c r="D553"/>
  <c r="D554"/>
  <c r="D555"/>
  <c r="D556"/>
  <c r="D557"/>
  <c r="D558"/>
  <c r="D559"/>
  <c r="D560"/>
  <c r="D561"/>
  <c r="D562"/>
  <c r="D563"/>
  <c r="D564"/>
  <c r="D565"/>
  <c r="D566"/>
  <c r="D567"/>
  <c r="D568"/>
  <c r="D569"/>
  <c r="D570"/>
  <c r="D571"/>
  <c r="D572"/>
  <c r="D573"/>
  <c r="D574"/>
  <c r="D575"/>
  <c r="D576"/>
  <c r="D577"/>
  <c r="D578"/>
  <c r="D579"/>
  <c r="D580"/>
  <c r="D581"/>
  <c r="D582"/>
  <c r="D583"/>
  <c r="D584"/>
  <c r="D585"/>
  <c r="D586"/>
  <c r="D589"/>
  <c r="D590"/>
  <c r="D591"/>
  <c r="D592"/>
  <c r="D593"/>
  <c r="D594"/>
  <c r="D595"/>
  <c r="D596"/>
  <c r="D597"/>
  <c r="D598"/>
  <c r="D599"/>
  <c r="D600"/>
  <c r="D601"/>
  <c r="D602"/>
  <c r="D604"/>
  <c r="D605"/>
  <c r="D606"/>
  <c r="D607"/>
  <c r="D608"/>
  <c r="D609"/>
  <c r="D610"/>
  <c r="D611"/>
  <c r="D612"/>
  <c r="D613"/>
  <c r="D614"/>
  <c r="D615"/>
  <c r="D616"/>
  <c r="D617"/>
  <c r="D619"/>
  <c r="D620"/>
  <c r="D621"/>
  <c r="D622"/>
  <c r="D623"/>
  <c r="D624"/>
  <c r="D625"/>
  <c r="D626"/>
  <c r="D627"/>
  <c r="D628"/>
  <c r="D629"/>
  <c r="D630"/>
  <c r="D631"/>
  <c r="D632"/>
  <c r="D633"/>
  <c r="D634"/>
  <c r="D635"/>
  <c r="D636"/>
  <c r="D637"/>
  <c r="D638"/>
  <c r="D639"/>
  <c r="D640"/>
  <c r="D641"/>
  <c r="D642"/>
  <c r="D643"/>
  <c r="D644"/>
  <c r="D645"/>
  <c r="D646"/>
  <c r="D647"/>
  <c r="D648"/>
  <c r="D649"/>
  <c r="D650"/>
  <c r="D651"/>
  <c r="D652"/>
  <c r="D653"/>
  <c r="D654"/>
  <c r="D655"/>
  <c r="D656"/>
  <c r="D657"/>
  <c r="D658"/>
  <c r="D659"/>
  <c r="D660"/>
  <c r="D661"/>
  <c r="D662"/>
  <c r="D663"/>
  <c r="D664"/>
  <c r="D665"/>
  <c r="D666"/>
  <c r="D667"/>
  <c r="D668"/>
  <c r="D669"/>
  <c r="D670"/>
  <c r="D671"/>
  <c r="D672"/>
  <c r="D673"/>
  <c r="D674"/>
  <c r="D675"/>
  <c r="D676"/>
  <c r="D677"/>
  <c r="D678"/>
  <c r="D679"/>
  <c r="D680"/>
  <c r="D681"/>
  <c r="D682"/>
  <c r="D683"/>
  <c r="D684"/>
  <c r="D685"/>
  <c r="D686"/>
  <c r="D687"/>
  <c r="D688"/>
  <c r="D689"/>
  <c r="D690"/>
  <c r="D691"/>
  <c r="D692"/>
  <c r="D693"/>
  <c r="D694"/>
  <c r="D695"/>
  <c r="D696"/>
  <c r="D697"/>
  <c r="D698"/>
  <c r="D699"/>
  <c r="D700"/>
  <c r="D701"/>
  <c r="D702"/>
  <c r="D703"/>
  <c r="D704"/>
  <c r="D705"/>
  <c r="D706"/>
  <c r="D707"/>
  <c r="D708"/>
  <c r="D709"/>
  <c r="D710"/>
  <c r="D711"/>
  <c r="D712"/>
  <c r="D713"/>
  <c r="D714"/>
  <c r="D715"/>
  <c r="D716"/>
  <c r="D717"/>
  <c r="D718"/>
  <c r="D719"/>
  <c r="D720"/>
  <c r="D721"/>
  <c r="D722"/>
  <c r="D723"/>
  <c r="D724"/>
  <c r="D725"/>
  <c r="D726"/>
  <c r="D727"/>
  <c r="D728"/>
  <c r="D729"/>
  <c r="D730"/>
  <c r="D731"/>
  <c r="D732"/>
  <c r="D733"/>
  <c r="D734"/>
  <c r="D735"/>
  <c r="D736"/>
  <c r="D737"/>
  <c r="D738"/>
  <c r="D739"/>
  <c r="D740"/>
  <c r="D741"/>
  <c r="D742"/>
  <c r="D743"/>
  <c r="D744"/>
  <c r="D745"/>
  <c r="D746"/>
  <c r="D747"/>
  <c r="D748"/>
  <c r="D749"/>
  <c r="D750"/>
  <c r="D751"/>
  <c r="D752"/>
  <c r="D753"/>
  <c r="D754"/>
  <c r="D755"/>
  <c r="D756"/>
  <c r="D757"/>
  <c r="D758"/>
  <c r="D759"/>
  <c r="D760"/>
  <c r="D761"/>
  <c r="D762"/>
  <c r="D763"/>
  <c r="D764"/>
  <c r="D765"/>
  <c r="D766"/>
  <c r="D767"/>
  <c r="D768"/>
  <c r="D769"/>
  <c r="D770"/>
  <c r="D773"/>
  <c r="D774"/>
  <c r="D775"/>
  <c r="D776"/>
  <c r="D777"/>
  <c r="D778"/>
  <c r="D779"/>
  <c r="D780"/>
  <c r="D781"/>
  <c r="D782"/>
  <c r="D783"/>
  <c r="D784"/>
  <c r="D785"/>
  <c r="D786"/>
  <c r="D787"/>
  <c r="D788"/>
  <c r="D789"/>
  <c r="D790"/>
  <c r="D791"/>
  <c r="D792"/>
  <c r="D793"/>
  <c r="D794"/>
  <c r="D795"/>
  <c r="D796"/>
  <c r="D797"/>
  <c r="D798"/>
  <c r="D799"/>
  <c r="D800"/>
  <c r="D801"/>
  <c r="D802"/>
  <c r="D803"/>
  <c r="D804"/>
  <c r="D805"/>
  <c r="D806"/>
  <c r="D807"/>
  <c r="D808"/>
  <c r="D809"/>
  <c r="D810"/>
  <c r="D811"/>
  <c r="D812"/>
  <c r="D813"/>
  <c r="D814"/>
  <c r="D815"/>
  <c r="D816"/>
  <c r="D817"/>
  <c r="D818"/>
  <c r="D819"/>
  <c r="D820"/>
  <c r="D821"/>
  <c r="D822"/>
  <c r="D823"/>
  <c r="D824"/>
  <c r="D825"/>
  <c r="D826"/>
  <c r="D827"/>
  <c r="D828"/>
  <c r="D829"/>
  <c r="D830"/>
  <c r="D831"/>
  <c r="D832"/>
  <c r="D833"/>
  <c r="D834"/>
  <c r="D835"/>
  <c r="D836"/>
  <c r="D837"/>
  <c r="D838"/>
  <c r="D839"/>
  <c r="D842"/>
  <c r="D843"/>
  <c r="D844"/>
  <c r="D845"/>
  <c r="D846"/>
  <c r="D847"/>
  <c r="D848"/>
  <c r="D849"/>
  <c r="D850"/>
  <c r="D851"/>
  <c r="D852"/>
  <c r="D853"/>
  <c r="D854"/>
  <c r="D855"/>
  <c r="D856"/>
  <c r="D857"/>
  <c r="D858"/>
  <c r="D859"/>
  <c r="D860"/>
  <c r="D861"/>
  <c r="D862"/>
  <c r="D863"/>
  <c r="D864"/>
  <c r="D865"/>
  <c r="D866"/>
  <c r="D867"/>
  <c r="D868"/>
  <c r="D869"/>
  <c r="D870"/>
  <c r="D871"/>
  <c r="D872"/>
  <c r="D873"/>
  <c r="D874"/>
  <c r="D875"/>
  <c r="D876"/>
  <c r="D877"/>
  <c r="D878"/>
  <c r="D879"/>
  <c r="D881"/>
  <c r="D882"/>
  <c r="D883"/>
  <c r="D884"/>
  <c r="D885"/>
  <c r="D886"/>
  <c r="D887"/>
  <c r="D888"/>
  <c r="D889"/>
  <c r="D890"/>
  <c r="D891"/>
  <c r="D892"/>
  <c r="D893"/>
  <c r="D894"/>
  <c r="D895"/>
  <c r="D896"/>
  <c r="D897"/>
  <c r="D898"/>
  <c r="D899"/>
  <c r="D900"/>
  <c r="D901"/>
  <c r="D902"/>
  <c r="D903"/>
  <c r="D904"/>
  <c r="D905"/>
  <c r="D906"/>
  <c r="D907"/>
  <c r="D908"/>
  <c r="D909"/>
  <c r="D910"/>
  <c r="D911"/>
  <c r="D912"/>
  <c r="D913"/>
  <c r="D914"/>
  <c r="D915"/>
  <c r="D916"/>
  <c r="D917"/>
  <c r="D918"/>
  <c r="D919"/>
  <c r="D920"/>
  <c r="D921"/>
  <c r="D922"/>
  <c r="D923"/>
  <c r="D924"/>
  <c r="D925"/>
  <c r="D926"/>
  <c r="D927"/>
  <c r="D928"/>
  <c r="D929"/>
  <c r="D930"/>
  <c r="D931"/>
  <c r="D932"/>
  <c r="D933"/>
  <c r="D934"/>
  <c r="D935"/>
  <c r="D936"/>
  <c r="D937"/>
  <c r="D938"/>
  <c r="D939"/>
  <c r="D940"/>
  <c r="D941"/>
  <c r="D942"/>
  <c r="D943"/>
  <c r="D944"/>
  <c r="D946"/>
  <c r="D947"/>
  <c r="D948"/>
  <c r="D949"/>
  <c r="D950"/>
  <c r="D951"/>
  <c r="D952"/>
  <c r="D953"/>
  <c r="D954"/>
  <c r="D955"/>
  <c r="D956"/>
  <c r="D957"/>
  <c r="D958"/>
  <c r="D959"/>
  <c r="D960"/>
  <c r="D961"/>
  <c r="D962"/>
  <c r="D963"/>
  <c r="D964"/>
  <c r="D965"/>
  <c r="D966"/>
  <c r="D967"/>
  <c r="D968"/>
  <c r="D969"/>
  <c r="D970"/>
  <c r="D971"/>
  <c r="D972"/>
  <c r="D973"/>
  <c r="D974"/>
  <c r="D975"/>
  <c r="D976"/>
  <c r="D977"/>
  <c r="D978"/>
  <c r="D979"/>
  <c r="D980"/>
  <c r="D981"/>
  <c r="D982"/>
  <c r="D983"/>
  <c r="D984"/>
  <c r="D985"/>
  <c r="D986"/>
  <c r="D987"/>
  <c r="D988"/>
  <c r="D989"/>
  <c r="D990"/>
  <c r="D991"/>
  <c r="D992"/>
  <c r="D993"/>
  <c r="D994"/>
  <c r="D995"/>
  <c r="D996"/>
  <c r="D997"/>
  <c r="D998"/>
  <c r="D999"/>
  <c r="D1000"/>
  <c r="D1001"/>
  <c r="D1002"/>
  <c r="D1003"/>
  <c r="D1004"/>
  <c r="D1005"/>
  <c r="D1006"/>
  <c r="D1007"/>
  <c r="D1008"/>
  <c r="D1009"/>
  <c r="D1010"/>
  <c r="D1011"/>
  <c r="D1012"/>
  <c r="D1013"/>
  <c r="D1014"/>
  <c r="D1015"/>
  <c r="D1016"/>
  <c r="D1017"/>
  <c r="D1018"/>
  <c r="D1019"/>
  <c r="D1020"/>
  <c r="D1021"/>
  <c r="D1022"/>
  <c r="D1023"/>
  <c r="D1024"/>
  <c r="D1025"/>
  <c r="D1026"/>
  <c r="D1027"/>
  <c r="D1028"/>
  <c r="D1029"/>
  <c r="D1032"/>
  <c r="D1033"/>
  <c r="D1034"/>
  <c r="D1036"/>
  <c r="D1037"/>
  <c r="D1038"/>
  <c r="D1039"/>
  <c r="D1040"/>
  <c r="D1041"/>
  <c r="D1042"/>
  <c r="D1043"/>
  <c r="D1044"/>
  <c r="D1045"/>
  <c r="D1046"/>
  <c r="D1047"/>
  <c r="D1048"/>
  <c r="D1049"/>
  <c r="D1050"/>
  <c r="D1051"/>
  <c r="D1052"/>
  <c r="D1053"/>
  <c r="D1054"/>
  <c r="D1055"/>
  <c r="D1056"/>
  <c r="D1057"/>
  <c r="D1058"/>
  <c r="D1059"/>
  <c r="D1060"/>
  <c r="D1061"/>
  <c r="D1062"/>
  <c r="D1063"/>
  <c r="D1064"/>
  <c r="D1065"/>
  <c r="D1066"/>
  <c r="D1067"/>
  <c r="D1068"/>
  <c r="D1069"/>
  <c r="D1070"/>
  <c r="D1071"/>
  <c r="D1072"/>
  <c r="D1073"/>
  <c r="D1074"/>
  <c r="D1075"/>
  <c r="D1076"/>
  <c r="D1077"/>
  <c r="D1078"/>
  <c r="D1079"/>
  <c r="D1080"/>
  <c r="D1081"/>
  <c r="D1082"/>
  <c r="D1083"/>
  <c r="D1084"/>
  <c r="D1085"/>
  <c r="D1086"/>
  <c r="D1087"/>
  <c r="D1088"/>
  <c r="D1089"/>
  <c r="D1090"/>
  <c r="D1091"/>
  <c r="D1092"/>
  <c r="D1093"/>
  <c r="D1094"/>
  <c r="D1095"/>
  <c r="D1096"/>
  <c r="D1097"/>
  <c r="D1098"/>
  <c r="D1099"/>
  <c r="D1100"/>
  <c r="D1101"/>
  <c r="D1102"/>
  <c r="D1103"/>
  <c r="D1104"/>
  <c r="D1105"/>
  <c r="D1106"/>
  <c r="D1107"/>
  <c r="D1108"/>
  <c r="D1109"/>
  <c r="D1110"/>
  <c r="D1111"/>
  <c r="D1112"/>
  <c r="D1113"/>
  <c r="D1116"/>
  <c r="D1117"/>
  <c r="D1118"/>
  <c r="D1121"/>
  <c r="D1122"/>
  <c r="D1123"/>
  <c r="D1124"/>
  <c r="D1125"/>
  <c r="D1126"/>
  <c r="D1127"/>
  <c r="D1128"/>
  <c r="D1129"/>
  <c r="D1130"/>
  <c r="D1131"/>
  <c r="D1132"/>
  <c r="D1133"/>
  <c r="D1134"/>
  <c r="D1135"/>
  <c r="D1136"/>
  <c r="D1137"/>
  <c r="D1138"/>
  <c r="D1139"/>
  <c r="D1141"/>
  <c r="D1142"/>
  <c r="D1143"/>
  <c r="D1144"/>
  <c r="D1145"/>
  <c r="D1146"/>
  <c r="D1147"/>
  <c r="D1148"/>
  <c r="D1149"/>
  <c r="D1150"/>
  <c r="D1151"/>
  <c r="D1152"/>
  <c r="D1153"/>
  <c r="D1154"/>
  <c r="D1155"/>
  <c r="D1156"/>
  <c r="D1157"/>
  <c r="D1158"/>
  <c r="D1159"/>
  <c r="D1160"/>
  <c r="D1161"/>
  <c r="D1162"/>
  <c r="D1163"/>
  <c r="D1164"/>
  <c r="D1165"/>
  <c r="D1166"/>
  <c r="D1167"/>
  <c r="D1168"/>
  <c r="D1169"/>
  <c r="D1170"/>
  <c r="D1171"/>
  <c r="D1172"/>
  <c r="D1173"/>
  <c r="D1174"/>
  <c r="D1175"/>
  <c r="D1176"/>
  <c r="D1177"/>
  <c r="D1178"/>
  <c r="D1179"/>
  <c r="D1180"/>
  <c r="D1181"/>
  <c r="D1182"/>
  <c r="D1183"/>
  <c r="D1184"/>
  <c r="D1185"/>
  <c r="D1186"/>
  <c r="D1187"/>
  <c r="D1188"/>
  <c r="D1189"/>
  <c r="D1190"/>
  <c r="D1191"/>
  <c r="D1192"/>
  <c r="D1193"/>
  <c r="D1194"/>
  <c r="D1195"/>
  <c r="D1196"/>
  <c r="D1197"/>
  <c r="D1198"/>
  <c r="D1199"/>
  <c r="D1200"/>
  <c r="D1201"/>
  <c r="D1202"/>
  <c r="D1203"/>
  <c r="D1204"/>
  <c r="D1206"/>
  <c r="D1207"/>
  <c r="D1208"/>
  <c r="D1209"/>
  <c r="D1210"/>
  <c r="D1211"/>
  <c r="D1212"/>
  <c r="D1213"/>
  <c r="D1214"/>
  <c r="D1215"/>
  <c r="D1216"/>
  <c r="D1217"/>
  <c r="D1218"/>
  <c r="D1219"/>
  <c r="D1220"/>
  <c r="D1221"/>
  <c r="D1222"/>
  <c r="D1223"/>
  <c r="D1224"/>
  <c r="D1225"/>
  <c r="D1226"/>
  <c r="D1227"/>
  <c r="D1228"/>
  <c r="D1229"/>
  <c r="D1230"/>
  <c r="D1231"/>
  <c r="D1232"/>
  <c r="D1233"/>
  <c r="D1234"/>
  <c r="D1235"/>
  <c r="D1236"/>
  <c r="D1237"/>
  <c r="D1238"/>
  <c r="D1239"/>
  <c r="D1240"/>
  <c r="D1241"/>
  <c r="D1242"/>
  <c r="D1243"/>
  <c r="D1244"/>
  <c r="D1245"/>
  <c r="D1246"/>
  <c r="D1247"/>
  <c r="D1248"/>
  <c r="D1249"/>
  <c r="D1250"/>
  <c r="D1251"/>
  <c r="D1252"/>
  <c r="D1253"/>
  <c r="D1254"/>
  <c r="D1255"/>
  <c r="D1256"/>
  <c r="D1257"/>
  <c r="D1258"/>
  <c r="D1259"/>
  <c r="D1260"/>
  <c r="D1261"/>
  <c r="D1262"/>
  <c r="D1263"/>
  <c r="D1264"/>
  <c r="D1265"/>
  <c r="D1266"/>
  <c r="D1267"/>
  <c r="D1268"/>
  <c r="D1269"/>
  <c r="D1270"/>
  <c r="D1271"/>
  <c r="D1272"/>
  <c r="D1273"/>
  <c r="D1274"/>
  <c r="D1275"/>
  <c r="D1276"/>
  <c r="D1277"/>
  <c r="D1278"/>
  <c r="D1279"/>
  <c r="D1280"/>
  <c r="D1281"/>
  <c r="D1282"/>
  <c r="D1283"/>
  <c r="D1284"/>
  <c r="D1285"/>
  <c r="D1286"/>
  <c r="D1287"/>
  <c r="D1288"/>
  <c r="D1289"/>
  <c r="D1292"/>
  <c r="D1293"/>
  <c r="D1294"/>
  <c r="D1296"/>
  <c r="D1297"/>
  <c r="D1298"/>
  <c r="D1299"/>
  <c r="D1300"/>
  <c r="D1301"/>
  <c r="D1302"/>
  <c r="D1303"/>
  <c r="D1304"/>
  <c r="D1305"/>
  <c r="D1306"/>
  <c r="D1307"/>
  <c r="D1308"/>
  <c r="D1309"/>
  <c r="D1310"/>
  <c r="D1311"/>
  <c r="D1312"/>
  <c r="D1313"/>
  <c r="D1314"/>
  <c r="D1315"/>
  <c r="D1316"/>
  <c r="D1317"/>
  <c r="D1318"/>
  <c r="D1319"/>
  <c r="D1320"/>
  <c r="D1321"/>
  <c r="D1322"/>
  <c r="D1323"/>
  <c r="D1324"/>
  <c r="D1325"/>
  <c r="D1326"/>
  <c r="D1327"/>
  <c r="D1328"/>
  <c r="D1329"/>
  <c r="D1330"/>
  <c r="D1331"/>
  <c r="D1332"/>
  <c r="D1333"/>
  <c r="D1334"/>
  <c r="D1335"/>
  <c r="D1336"/>
  <c r="D1337"/>
  <c r="D1338"/>
  <c r="D1339"/>
  <c r="D1340"/>
  <c r="D1341"/>
  <c r="D1342"/>
  <c r="D1343"/>
  <c r="D1344"/>
  <c r="D1345"/>
  <c r="D1346"/>
  <c r="D1347"/>
  <c r="D1348"/>
  <c r="D1349"/>
  <c r="D1350"/>
  <c r="D1351"/>
  <c r="D1352"/>
  <c r="D1353"/>
  <c r="D1354"/>
  <c r="D1355"/>
  <c r="D1356"/>
  <c r="D1357"/>
  <c r="D1358"/>
  <c r="D1359"/>
  <c r="D1360"/>
  <c r="D1361"/>
  <c r="D1362"/>
  <c r="D1363"/>
  <c r="D1366"/>
  <c r="D1367"/>
  <c r="D1368"/>
  <c r="D1369"/>
  <c r="D1370"/>
  <c r="D1371"/>
  <c r="D1372"/>
  <c r="D1373"/>
  <c r="D1374"/>
  <c r="D1375"/>
  <c r="D1376"/>
  <c r="D1377"/>
  <c r="D1378"/>
  <c r="D1379"/>
  <c r="D1380"/>
  <c r="D1381"/>
  <c r="D1382"/>
  <c r="D1383"/>
  <c r="D1384"/>
  <c r="D1386"/>
  <c r="D1387"/>
  <c r="D1388"/>
  <c r="D1389"/>
  <c r="D1390"/>
  <c r="D1391"/>
  <c r="D1392"/>
  <c r="D1393"/>
  <c r="D1394"/>
  <c r="D1395"/>
  <c r="D1396"/>
  <c r="D1397"/>
  <c r="D1398"/>
  <c r="D1399"/>
  <c r="D1400"/>
  <c r="D1401"/>
  <c r="D1402"/>
  <c r="D1403"/>
  <c r="D1404"/>
  <c r="D1407"/>
  <c r="D1408"/>
  <c r="D1409"/>
  <c r="D1410"/>
  <c r="D1411"/>
  <c r="D1412"/>
  <c r="D1413"/>
  <c r="D1414"/>
  <c r="D1415"/>
  <c r="D1416"/>
  <c r="D1417"/>
  <c r="D1418"/>
  <c r="D1419"/>
  <c r="D1420"/>
  <c r="D1421"/>
  <c r="D1422"/>
  <c r="D1423"/>
  <c r="D1424"/>
  <c r="D1425"/>
  <c r="D1426"/>
  <c r="D1427"/>
  <c r="D1428"/>
  <c r="D1429"/>
  <c r="D1430"/>
  <c r="D1431"/>
  <c r="D1432"/>
  <c r="D1433"/>
  <c r="D1434"/>
  <c r="D1435"/>
  <c r="D1436"/>
  <c r="D1437"/>
  <c r="D1438"/>
  <c r="D1439"/>
  <c r="D1440"/>
  <c r="D1441"/>
  <c r="D1442"/>
  <c r="D1443"/>
  <c r="D1444"/>
  <c r="D1445"/>
  <c r="D1446"/>
  <c r="D1447"/>
  <c r="D1448"/>
  <c r="D1449"/>
  <c r="D1450"/>
  <c r="D1451"/>
  <c r="D1452"/>
  <c r="D1453"/>
  <c r="D1454"/>
  <c r="D1455"/>
  <c r="D1456"/>
  <c r="D1457"/>
  <c r="D1458"/>
  <c r="D1459"/>
  <c r="D1460"/>
  <c r="D1461"/>
  <c r="D1462"/>
  <c r="D1463"/>
  <c r="D1464"/>
  <c r="D1466"/>
  <c r="D1467"/>
  <c r="D1468"/>
  <c r="D1469"/>
  <c r="D1470"/>
  <c r="D1471"/>
  <c r="D1472"/>
  <c r="D1473"/>
  <c r="D1474"/>
  <c r="D1475"/>
  <c r="D1476"/>
  <c r="D1477"/>
  <c r="D1478"/>
  <c r="D1479"/>
  <c r="D1480"/>
  <c r="D1481"/>
  <c r="D1482"/>
  <c r="D1483"/>
  <c r="D1484"/>
  <c r="D1485"/>
  <c r="D1486"/>
  <c r="D1487"/>
  <c r="D1488"/>
  <c r="D1489"/>
  <c r="D1490"/>
  <c r="D1491"/>
  <c r="D1492"/>
  <c r="D1493"/>
  <c r="D1494"/>
  <c r="D1495"/>
  <c r="D1496"/>
  <c r="D1497"/>
  <c r="D1498"/>
  <c r="D1499"/>
  <c r="D1500"/>
  <c r="D1501"/>
  <c r="D1502"/>
  <c r="D1503"/>
  <c r="D1504"/>
  <c r="D1505"/>
  <c r="D1506"/>
  <c r="D1507"/>
  <c r="D1508"/>
  <c r="D1509"/>
  <c r="D1510"/>
  <c r="D1511"/>
  <c r="D1512"/>
  <c r="D1513"/>
  <c r="D1514"/>
  <c r="D1515"/>
  <c r="D1516"/>
  <c r="D1517"/>
  <c r="D1518"/>
  <c r="D1519"/>
  <c r="D1520"/>
  <c r="D1521"/>
  <c r="D1522"/>
  <c r="D1523"/>
  <c r="D1524"/>
  <c r="D1525"/>
  <c r="D1526"/>
  <c r="D1527"/>
  <c r="D1528"/>
  <c r="D1529"/>
  <c r="D1530"/>
  <c r="D1531"/>
  <c r="D1532"/>
  <c r="D1533"/>
  <c r="D1534"/>
  <c r="D1535"/>
  <c r="D1536"/>
  <c r="D1537"/>
  <c r="D1538"/>
  <c r="D1539"/>
  <c r="D1540"/>
  <c r="D1541"/>
  <c r="D1542"/>
  <c r="D1543"/>
  <c r="D1544"/>
  <c r="D1545"/>
  <c r="D1546"/>
  <c r="D1547"/>
  <c r="D1548"/>
  <c r="D1549"/>
  <c r="D1550"/>
  <c r="D1553"/>
  <c r="D1554"/>
  <c r="D1555"/>
  <c r="D1557"/>
  <c r="D1558"/>
  <c r="D1559"/>
  <c r="D1560"/>
  <c r="D1561"/>
  <c r="D1562"/>
  <c r="D1563"/>
  <c r="D1564"/>
  <c r="D1565"/>
  <c r="D1566"/>
  <c r="D1567"/>
  <c r="D1568"/>
  <c r="D1569"/>
  <c r="D1570"/>
  <c r="D1571"/>
  <c r="D1572"/>
  <c r="D1573"/>
  <c r="D1574"/>
  <c r="D1575"/>
  <c r="D1576"/>
  <c r="D1577"/>
  <c r="D1578"/>
  <c r="D1579"/>
  <c r="D1580"/>
  <c r="D1581"/>
  <c r="D1582"/>
  <c r="D1583"/>
  <c r="D1584"/>
  <c r="D1585"/>
  <c r="D1586"/>
  <c r="D1587"/>
  <c r="D1588"/>
  <c r="D1589"/>
  <c r="D1590"/>
  <c r="D1591"/>
  <c r="D1592"/>
  <c r="D1593"/>
  <c r="D1594"/>
  <c r="D1595"/>
  <c r="D1596"/>
  <c r="D1597"/>
  <c r="D1598"/>
  <c r="D1599"/>
  <c r="D1600"/>
  <c r="D1601"/>
  <c r="D1602"/>
  <c r="D1603"/>
  <c r="D1604"/>
  <c r="D1605"/>
  <c r="D1606"/>
  <c r="D1607"/>
  <c r="D1608"/>
  <c r="D1609"/>
  <c r="D1610"/>
  <c r="D1611"/>
  <c r="D1612"/>
  <c r="D1613"/>
  <c r="D1614"/>
  <c r="D1615"/>
  <c r="D1616"/>
  <c r="D1617"/>
  <c r="D1618"/>
  <c r="D1621"/>
  <c r="D1622"/>
  <c r="D1623"/>
  <c r="D1624"/>
  <c r="D1625"/>
  <c r="D1626"/>
  <c r="D1627"/>
  <c r="D1628"/>
  <c r="D1629"/>
  <c r="D1630"/>
  <c r="D1631"/>
  <c r="D1632"/>
  <c r="D1633"/>
  <c r="D1634"/>
  <c r="D1635"/>
  <c r="D1636"/>
  <c r="D1637"/>
  <c r="D1638"/>
  <c r="D1639"/>
  <c r="D1640"/>
  <c r="D1641"/>
  <c r="D1642"/>
  <c r="D1643"/>
  <c r="D1644"/>
  <c r="D1646"/>
  <c r="D1647"/>
  <c r="D1648"/>
  <c r="D1649"/>
  <c r="D1650"/>
  <c r="D1651"/>
  <c r="D1652"/>
  <c r="D1653"/>
  <c r="D1654"/>
  <c r="D1655"/>
  <c r="D1656"/>
  <c r="D1657"/>
  <c r="D1658"/>
  <c r="D1659"/>
  <c r="D1661"/>
  <c r="D1662"/>
  <c r="D1663"/>
  <c r="D1664"/>
  <c r="D1665"/>
  <c r="D1666"/>
  <c r="D1667"/>
  <c r="D1668"/>
  <c r="D1669"/>
  <c r="D1670"/>
  <c r="E2" i="20"/>
  <c r="E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7"/>
  <c r="E368"/>
  <c r="E369"/>
  <c r="E370"/>
  <c r="E371"/>
  <c r="E372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E412"/>
  <c r="E413"/>
  <c r="E414"/>
  <c r="E415"/>
  <c r="E416"/>
  <c r="E417"/>
  <c r="E418"/>
  <c r="E419"/>
  <c r="E420"/>
  <c r="E421"/>
  <c r="E422"/>
  <c r="E423"/>
  <c r="E424"/>
  <c r="E425"/>
  <c r="E426"/>
  <c r="E427"/>
  <c r="E428"/>
  <c r="E429"/>
  <c r="E430"/>
  <c r="E431"/>
  <c r="E432"/>
  <c r="E433"/>
  <c r="E434"/>
  <c r="E435"/>
  <c r="E436"/>
  <c r="E437"/>
  <c r="E438"/>
  <c r="E439"/>
  <c r="E440"/>
  <c r="E441"/>
  <c r="E442"/>
  <c r="E444"/>
  <c r="E445"/>
  <c r="E446"/>
  <c r="E447"/>
  <c r="E448"/>
  <c r="E449"/>
  <c r="E450"/>
  <c r="E451"/>
  <c r="E452"/>
  <c r="E458"/>
  <c r="E459"/>
  <c r="E460"/>
  <c r="E461"/>
  <c r="E462"/>
  <c r="E463"/>
  <c r="E464"/>
  <c r="E465"/>
  <c r="E466"/>
  <c r="E467"/>
  <c r="E468"/>
  <c r="E469"/>
  <c r="E470"/>
  <c r="E471"/>
  <c r="E472"/>
  <c r="E473"/>
  <c r="E474"/>
  <c r="E475"/>
  <c r="E476"/>
  <c r="E477"/>
  <c r="E478"/>
  <c r="E479"/>
  <c r="E480"/>
  <c r="E481"/>
  <c r="E482"/>
  <c r="E483"/>
  <c r="E484"/>
  <c r="E485"/>
  <c r="E486"/>
  <c r="E487"/>
  <c r="E488"/>
  <c r="E489"/>
  <c r="E490"/>
  <c r="E491"/>
  <c r="E492"/>
  <c r="E493"/>
  <c r="E494"/>
  <c r="E495"/>
  <c r="E496"/>
  <c r="E497"/>
  <c r="E498"/>
  <c r="E499"/>
  <c r="E500"/>
  <c r="E501"/>
  <c r="E502"/>
  <c r="E503"/>
  <c r="E504"/>
  <c r="E505"/>
  <c r="E506"/>
  <c r="E507"/>
  <c r="E508"/>
  <c r="E509"/>
  <c r="E510"/>
  <c r="E511"/>
  <c r="E512"/>
  <c r="E513"/>
  <c r="E514"/>
  <c r="E515"/>
  <c r="E516"/>
  <c r="E517"/>
  <c r="E518"/>
  <c r="E519"/>
  <c r="E520"/>
  <c r="E522"/>
  <c r="E523"/>
  <c r="E524"/>
  <c r="E525"/>
  <c r="E526"/>
  <c r="E527"/>
  <c r="E528"/>
  <c r="E529"/>
  <c r="E530"/>
  <c r="E531"/>
  <c r="E532"/>
  <c r="E533"/>
  <c r="E534"/>
  <c r="E535"/>
  <c r="E536"/>
  <c r="E542"/>
  <c r="E543"/>
  <c r="E544"/>
  <c r="E545"/>
  <c r="E546"/>
  <c r="E547"/>
  <c r="E548"/>
  <c r="E549"/>
  <c r="E550"/>
  <c r="E551"/>
  <c r="E552"/>
  <c r="E553"/>
  <c r="E554"/>
  <c r="E555"/>
  <c r="E556"/>
  <c r="E557"/>
  <c r="E558"/>
  <c r="E559"/>
  <c r="E560"/>
  <c r="E561"/>
  <c r="E562"/>
  <c r="E563"/>
  <c r="E564"/>
  <c r="E565"/>
  <c r="E566"/>
  <c r="E567"/>
  <c r="E568"/>
  <c r="E569"/>
  <c r="E570"/>
  <c r="E571"/>
  <c r="E572"/>
  <c r="E573"/>
  <c r="E574"/>
  <c r="E575"/>
  <c r="E576"/>
  <c r="E577"/>
  <c r="E578"/>
  <c r="E579"/>
  <c r="E580"/>
  <c r="E581"/>
  <c r="E582"/>
  <c r="E583"/>
  <c r="E584"/>
  <c r="E585"/>
  <c r="E586"/>
  <c r="E588"/>
  <c r="E589"/>
  <c r="E590"/>
  <c r="E591"/>
  <c r="E592"/>
  <c r="E593"/>
  <c r="E594"/>
  <c r="E595"/>
  <c r="E596"/>
  <c r="E597"/>
  <c r="E598"/>
  <c r="E599"/>
  <c r="E600"/>
  <c r="E601"/>
  <c r="E602"/>
  <c r="E603"/>
  <c r="E604"/>
  <c r="E605"/>
  <c r="E607"/>
  <c r="E608"/>
  <c r="E609"/>
  <c r="E610"/>
  <c r="E611"/>
  <c r="E612"/>
  <c r="E613"/>
  <c r="E614"/>
  <c r="E615"/>
  <c r="E616"/>
  <c r="E617"/>
  <c r="E618"/>
  <c r="E619"/>
  <c r="E620"/>
  <c r="E621"/>
  <c r="E622"/>
  <c r="E623"/>
  <c r="E624"/>
  <c r="E627"/>
  <c r="E628"/>
  <c r="E629"/>
  <c r="E630"/>
  <c r="E631"/>
  <c r="E632"/>
  <c r="E633"/>
  <c r="E634"/>
  <c r="E635"/>
  <c r="E636"/>
  <c r="E637"/>
  <c r="E638"/>
  <c r="E639"/>
  <c r="E640"/>
  <c r="E641"/>
  <c r="E642"/>
  <c r="E643"/>
  <c r="E644"/>
  <c r="E645"/>
  <c r="E646"/>
  <c r="E647"/>
  <c r="E648"/>
  <c r="E649"/>
  <c r="E650"/>
  <c r="E651"/>
  <c r="E652"/>
  <c r="E653"/>
  <c r="E654"/>
  <c r="E655"/>
  <c r="E656"/>
  <c r="E657"/>
  <c r="E658"/>
  <c r="E659"/>
  <c r="E660"/>
  <c r="E661"/>
  <c r="E662"/>
  <c r="E663"/>
  <c r="E664"/>
  <c r="E665"/>
  <c r="E666"/>
  <c r="E667"/>
  <c r="E668"/>
  <c r="E669"/>
  <c r="E670"/>
  <c r="E671"/>
  <c r="E672"/>
  <c r="E673"/>
  <c r="E674"/>
  <c r="E675"/>
  <c r="E676"/>
  <c r="E677"/>
  <c r="E678"/>
  <c r="E679"/>
  <c r="E680"/>
  <c r="E681"/>
  <c r="E682"/>
  <c r="E683"/>
  <c r="E684"/>
  <c r="E685"/>
  <c r="E686"/>
  <c r="E687"/>
  <c r="E688"/>
  <c r="E689"/>
  <c r="E690"/>
  <c r="E691"/>
  <c r="E692"/>
  <c r="E693"/>
  <c r="E694"/>
  <c r="E695"/>
  <c r="E696"/>
  <c r="E697"/>
  <c r="E698"/>
  <c r="E699"/>
  <c r="E700"/>
  <c r="E701"/>
  <c r="E702"/>
  <c r="E703"/>
  <c r="E704"/>
  <c r="E705"/>
  <c r="E706"/>
  <c r="E707"/>
  <c r="E708"/>
  <c r="E709"/>
  <c r="E710"/>
  <c r="E711"/>
  <c r="E712"/>
  <c r="E713"/>
  <c r="E721"/>
  <c r="E722"/>
  <c r="E723"/>
  <c r="E724"/>
  <c r="E725"/>
  <c r="E726"/>
  <c r="E727"/>
  <c r="E728"/>
  <c r="E729"/>
  <c r="E730"/>
  <c r="E731"/>
  <c r="E732"/>
  <c r="E733"/>
  <c r="E734"/>
  <c r="E735"/>
  <c r="E736"/>
  <c r="E737"/>
  <c r="E738"/>
  <c r="E739"/>
  <c r="E740"/>
  <c r="E741"/>
  <c r="E742"/>
  <c r="E743"/>
  <c r="E744"/>
  <c r="E745"/>
  <c r="E746"/>
  <c r="E747"/>
  <c r="E748"/>
  <c r="E749"/>
  <c r="E750"/>
  <c r="E751"/>
  <c r="E752"/>
  <c r="E753"/>
  <c r="E754"/>
  <c r="E755"/>
  <c r="E756"/>
  <c r="E757"/>
  <c r="E758"/>
  <c r="E759"/>
  <c r="E760"/>
  <c r="E761"/>
  <c r="E762"/>
  <c r="E763"/>
  <c r="E764"/>
  <c r="E765"/>
  <c r="E766"/>
  <c r="E767"/>
  <c r="E768"/>
  <c r="E769"/>
  <c r="E770"/>
  <c r="E771"/>
  <c r="E772"/>
  <c r="E773"/>
  <c r="E774"/>
  <c r="E775"/>
  <c r="E776"/>
  <c r="E777"/>
  <c r="E778"/>
  <c r="E779"/>
  <c r="E780"/>
  <c r="E781"/>
  <c r="E782"/>
  <c r="E783"/>
  <c r="E784"/>
  <c r="E785"/>
  <c r="E786"/>
  <c r="E787"/>
  <c r="E788"/>
  <c r="E789"/>
  <c r="E790"/>
  <c r="E791"/>
  <c r="E792"/>
  <c r="E793"/>
  <c r="E794"/>
  <c r="E795"/>
  <c r="E796"/>
  <c r="E797"/>
  <c r="E798"/>
  <c r="E799"/>
  <c r="E800"/>
  <c r="E801"/>
  <c r="E802"/>
  <c r="E803"/>
  <c r="E804"/>
  <c r="E805"/>
  <c r="E806"/>
  <c r="E807"/>
  <c r="E808"/>
  <c r="E809"/>
  <c r="E815"/>
  <c r="E816"/>
  <c r="E817"/>
  <c r="E818"/>
  <c r="E819"/>
  <c r="E820"/>
  <c r="E821"/>
  <c r="E822"/>
  <c r="E823"/>
  <c r="E824"/>
  <c r="E825"/>
  <c r="E826"/>
  <c r="E827"/>
  <c r="E828"/>
  <c r="E829"/>
  <c r="E830"/>
  <c r="E831"/>
  <c r="E832"/>
  <c r="E833"/>
  <c r="E834"/>
  <c r="E835"/>
  <c r="E836"/>
  <c r="E837"/>
  <c r="E838"/>
  <c r="E839"/>
  <c r="E840"/>
  <c r="E841"/>
  <c r="E842"/>
  <c r="E843"/>
  <c r="E844"/>
  <c r="E846"/>
  <c r="E847"/>
  <c r="E848"/>
  <c r="E849"/>
  <c r="E850"/>
  <c r="E851"/>
  <c r="E852"/>
  <c r="E853"/>
  <c r="E854"/>
  <c r="E855"/>
  <c r="E856"/>
  <c r="E857"/>
  <c r="E858"/>
  <c r="E859"/>
  <c r="E860"/>
  <c r="E861"/>
  <c r="E862"/>
  <c r="E863"/>
  <c r="E864"/>
  <c r="E866"/>
  <c r="E867"/>
  <c r="E868"/>
  <c r="E869"/>
  <c r="E870"/>
  <c r="E871"/>
  <c r="E872"/>
  <c r="E873"/>
  <c r="E874"/>
  <c r="E875"/>
  <c r="E876"/>
  <c r="E877"/>
  <c r="E878"/>
  <c r="E879"/>
  <c r="E880"/>
  <c r="E881"/>
  <c r="E882"/>
  <c r="E883"/>
  <c r="E884"/>
  <c r="E885"/>
  <c r="E886"/>
  <c r="E887"/>
  <c r="E888"/>
  <c r="E889"/>
  <c r="E890"/>
  <c r="E891"/>
  <c r="E892"/>
  <c r="E893"/>
  <c r="E894"/>
  <c r="E898"/>
  <c r="E899"/>
  <c r="E900"/>
  <c r="E901"/>
  <c r="E902"/>
  <c r="E903"/>
  <c r="E904"/>
  <c r="E905"/>
  <c r="E906"/>
  <c r="E907"/>
  <c r="E908"/>
  <c r="E909"/>
  <c r="E910"/>
  <c r="E911"/>
  <c r="E912"/>
  <c r="E913"/>
  <c r="E914"/>
  <c r="E915"/>
  <c r="E916"/>
  <c r="E917"/>
  <c r="E918"/>
  <c r="E919"/>
  <c r="E920"/>
  <c r="E921"/>
  <c r="E922"/>
  <c r="E923"/>
  <c r="E924"/>
  <c r="E925"/>
  <c r="E926"/>
  <c r="E927"/>
  <c r="E928"/>
  <c r="E929"/>
  <c r="E930"/>
  <c r="E931"/>
  <c r="E932"/>
  <c r="E933"/>
  <c r="E934"/>
  <c r="E935"/>
  <c r="E936"/>
  <c r="E937"/>
  <c r="E938"/>
  <c r="E939"/>
  <c r="E940"/>
  <c r="E941"/>
  <c r="E942"/>
  <c r="E943"/>
  <c r="E944"/>
  <c r="E945"/>
  <c r="E946"/>
  <c r="E947"/>
  <c r="E948"/>
  <c r="E949"/>
  <c r="E950"/>
  <c r="E951"/>
  <c r="E952"/>
  <c r="E953"/>
  <c r="E954"/>
  <c r="E955"/>
  <c r="E956"/>
  <c r="E957"/>
  <c r="E958"/>
  <c r="E959"/>
  <c r="E960"/>
  <c r="E961"/>
  <c r="E962"/>
  <c r="E963"/>
  <c r="E964"/>
  <c r="E965"/>
  <c r="E970"/>
  <c r="E971"/>
  <c r="E972"/>
  <c r="E973"/>
  <c r="E979"/>
  <c r="E980"/>
  <c r="E981"/>
  <c r="E982"/>
  <c r="E983"/>
  <c r="E984"/>
  <c r="E985"/>
  <c r="E986"/>
  <c r="E987"/>
  <c r="E988"/>
  <c r="E989"/>
  <c r="E990"/>
  <c r="E991"/>
  <c r="E992"/>
  <c r="E993"/>
  <c r="E994"/>
  <c r="E995"/>
  <c r="E996"/>
  <c r="E997"/>
  <c r="E998"/>
  <c r="E999"/>
  <c r="E1000"/>
  <c r="E1001"/>
  <c r="E1002"/>
  <c r="E1003"/>
  <c r="E1004"/>
  <c r="E1005"/>
  <c r="E1006"/>
  <c r="E1007"/>
  <c r="E1008"/>
  <c r="E1009"/>
  <c r="E1010"/>
  <c r="E1011"/>
  <c r="E1012"/>
  <c r="E1013"/>
  <c r="E1014"/>
  <c r="E1015"/>
  <c r="E1016"/>
  <c r="E1017"/>
  <c r="E1018"/>
  <c r="E1019"/>
  <c r="E1020"/>
  <c r="E1021"/>
  <c r="E1022"/>
  <c r="E1023"/>
  <c r="E1024"/>
  <c r="E1025"/>
  <c r="E1026"/>
  <c r="E1027"/>
  <c r="E1028"/>
  <c r="E1029"/>
  <c r="E1030"/>
  <c r="E1031"/>
  <c r="E1032"/>
  <c r="E1033"/>
  <c r="E1034"/>
  <c r="E1037"/>
  <c r="E1038"/>
  <c r="E1039"/>
  <c r="E1040"/>
  <c r="E1041"/>
  <c r="E1042"/>
  <c r="E1043"/>
  <c r="E1044"/>
  <c r="E1045"/>
  <c r="E1046"/>
  <c r="E1047"/>
  <c r="E1048"/>
  <c r="E1049"/>
  <c r="E1050"/>
  <c r="E1051"/>
  <c r="E1052"/>
  <c r="E1053"/>
  <c r="E1054"/>
  <c r="E1055"/>
  <c r="E1056"/>
  <c r="E1057"/>
  <c r="E1058"/>
  <c r="E1059"/>
  <c r="E1060"/>
  <c r="E1066"/>
  <c r="E1067"/>
  <c r="E1068"/>
  <c r="E1069"/>
  <c r="E1070"/>
  <c r="E1071"/>
  <c r="E1072"/>
  <c r="E1073"/>
  <c r="E1074"/>
  <c r="E1075"/>
  <c r="E1076"/>
  <c r="E1077"/>
  <c r="E1078"/>
  <c r="E1079"/>
  <c r="E1080"/>
  <c r="E1081"/>
  <c r="E1082"/>
  <c r="E1083"/>
  <c r="E1084"/>
  <c r="E1085"/>
  <c r="E1086"/>
  <c r="E1087"/>
  <c r="E1088"/>
  <c r="E1089"/>
  <c r="E1090"/>
  <c r="E1091"/>
  <c r="E1092"/>
  <c r="E1093"/>
  <c r="E1094"/>
  <c r="E1095"/>
  <c r="E1096"/>
  <c r="E1097"/>
  <c r="E1098"/>
  <c r="E1099"/>
  <c r="E1100"/>
  <c r="E1101"/>
  <c r="E1102"/>
  <c r="E1103"/>
  <c r="E1106"/>
  <c r="E1107"/>
  <c r="E1108"/>
  <c r="E1109"/>
  <c r="E1110"/>
  <c r="E1111"/>
  <c r="E1112"/>
  <c r="E1113"/>
  <c r="E1114"/>
  <c r="E1115"/>
  <c r="E1116"/>
  <c r="E1117"/>
  <c r="E1120"/>
  <c r="E1121"/>
  <c r="E1122"/>
  <c r="E1123"/>
  <c r="E1125"/>
  <c r="E1126"/>
  <c r="E1127"/>
  <c r="E1128"/>
  <c r="E1129"/>
  <c r="E1130"/>
  <c r="E1131"/>
  <c r="E1132"/>
  <c r="E1133"/>
  <c r="E1134"/>
  <c r="E1135"/>
  <c r="E1136"/>
  <c r="E1137"/>
  <c r="E1138"/>
  <c r="E1139"/>
  <c r="E1140"/>
  <c r="E1141"/>
  <c r="E1142"/>
  <c r="E1143"/>
  <c r="E1144"/>
  <c r="E1145"/>
  <c r="E1146"/>
  <c r="E1147"/>
  <c r="E1148"/>
  <c r="E1150"/>
  <c r="E1151"/>
  <c r="E1152"/>
  <c r="E1153"/>
  <c r="E1154"/>
  <c r="E1155"/>
  <c r="E1156"/>
  <c r="E1157"/>
  <c r="E1158"/>
  <c r="E1159"/>
  <c r="E1160"/>
  <c r="E1161"/>
  <c r="E1162"/>
  <c r="E1163"/>
  <c r="E1164"/>
  <c r="E1165"/>
  <c r="E1166"/>
  <c r="E1167"/>
  <c r="E1168"/>
  <c r="E1169"/>
  <c r="E1170"/>
  <c r="E1171"/>
  <c r="E1172"/>
  <c r="E1173"/>
  <c r="E1174"/>
  <c r="E1175"/>
  <c r="E1176"/>
  <c r="E1177"/>
  <c r="E1178"/>
  <c r="E1179"/>
  <c r="E1180"/>
  <c r="E1181"/>
  <c r="E1182"/>
  <c r="E1183"/>
  <c r="E1184"/>
  <c r="E1185"/>
  <c r="E1186"/>
  <c r="E1187"/>
  <c r="E1188"/>
  <c r="E1189"/>
  <c r="E1190"/>
  <c r="E1191"/>
  <c r="E1192"/>
  <c r="E1193"/>
  <c r="E1194"/>
  <c r="E1195"/>
  <c r="E1196"/>
  <c r="E1197"/>
  <c r="E1198"/>
  <c r="E1199"/>
  <c r="E1200"/>
  <c r="E1201"/>
  <c r="E1202"/>
  <c r="E1203"/>
  <c r="E1204"/>
  <c r="E1205"/>
  <c r="E1206"/>
  <c r="E1207"/>
  <c r="E1208"/>
  <c r="E1209"/>
  <c r="E1210"/>
  <c r="E1211"/>
  <c r="E1212"/>
  <c r="E1213"/>
  <c r="E1214"/>
  <c r="E1215"/>
  <c r="E1216"/>
  <c r="E1217"/>
  <c r="E1218"/>
  <c r="E1219"/>
  <c r="E1220"/>
  <c r="E1221"/>
  <c r="E1222"/>
  <c r="E1223"/>
  <c r="E1224"/>
  <c r="E1225"/>
  <c r="E1226"/>
  <c r="E1227"/>
  <c r="E1228"/>
  <c r="E1229"/>
  <c r="E1230"/>
  <c r="E1231"/>
  <c r="E1232"/>
  <c r="E1233"/>
  <c r="E1239"/>
  <c r="E1240"/>
  <c r="E1241"/>
  <c r="E1242"/>
  <c r="E1243"/>
  <c r="E1244"/>
  <c r="E1245"/>
  <c r="E1246"/>
  <c r="E1247"/>
  <c r="E1248"/>
  <c r="E1249"/>
  <c r="E1250"/>
  <c r="E1251"/>
  <c r="E1252"/>
  <c r="E1253"/>
  <c r="E1254"/>
  <c r="E1255"/>
  <c r="E1256"/>
  <c r="E1257"/>
  <c r="E1258"/>
  <c r="E1259"/>
  <c r="E1260"/>
  <c r="E1261"/>
  <c r="E1262"/>
  <c r="E1263"/>
  <c r="E1264"/>
  <c r="E1265"/>
  <c r="E1266"/>
  <c r="E1267"/>
  <c r="E1268"/>
  <c r="E1269"/>
  <c r="E1270"/>
  <c r="E1271"/>
  <c r="E1272"/>
  <c r="E1273"/>
  <c r="E1274"/>
  <c r="E1275"/>
  <c r="E1276"/>
  <c r="E1277"/>
  <c r="E1278"/>
  <c r="E1279"/>
  <c r="E1280"/>
  <c r="E1281"/>
  <c r="E1282"/>
  <c r="E1283"/>
  <c r="E1284"/>
  <c r="E1285"/>
  <c r="E1286"/>
  <c r="E1287"/>
  <c r="E1288"/>
  <c r="E1289"/>
  <c r="E1290"/>
  <c r="E1291"/>
  <c r="E1292"/>
  <c r="E1293"/>
  <c r="E1296"/>
  <c r="E1297"/>
  <c r="E1298"/>
  <c r="E1301"/>
  <c r="E1302"/>
  <c r="E1303"/>
  <c r="E1304"/>
  <c r="E1305"/>
  <c r="E1306"/>
  <c r="E1307"/>
  <c r="E1308"/>
  <c r="E1309"/>
  <c r="E1310"/>
  <c r="E1311"/>
  <c r="E1312"/>
  <c r="E1313"/>
  <c r="E1319"/>
  <c r="E1320"/>
  <c r="E1321"/>
  <c r="E1322"/>
  <c r="E1323"/>
  <c r="E1324"/>
  <c r="E1325"/>
  <c r="E1326"/>
  <c r="E1327"/>
  <c r="E1328"/>
  <c r="E1329"/>
  <c r="E1330"/>
  <c r="E1331"/>
  <c r="E1332"/>
  <c r="E1333"/>
  <c r="E1334"/>
  <c r="E1335"/>
  <c r="E1336"/>
  <c r="E1337"/>
  <c r="E1338"/>
  <c r="E1339"/>
  <c r="E1340"/>
  <c r="E1341"/>
  <c r="E1342"/>
  <c r="E1343"/>
  <c r="E1344"/>
  <c r="E1345"/>
  <c r="E1346"/>
  <c r="E1347"/>
  <c r="E1348"/>
  <c r="E1349"/>
  <c r="E1350"/>
  <c r="E1351"/>
  <c r="E1352"/>
  <c r="E1353"/>
  <c r="E1354"/>
  <c r="E1355"/>
  <c r="E1356"/>
  <c r="E1357"/>
  <c r="E1358"/>
  <c r="E1359"/>
  <c r="E1360"/>
  <c r="E1361"/>
  <c r="E1362"/>
  <c r="E1363"/>
  <c r="E1367"/>
  <c r="E1368"/>
  <c r="E1369"/>
  <c r="E1370"/>
  <c r="E1371"/>
  <c r="E1372"/>
  <c r="E1373"/>
  <c r="E1374"/>
  <c r="E1375"/>
  <c r="E1376"/>
  <c r="E1377"/>
  <c r="E1378"/>
  <c r="E1379"/>
  <c r="E1380"/>
  <c r="E1381"/>
  <c r="E1382"/>
  <c r="E1383"/>
  <c r="E1386"/>
  <c r="E1387"/>
  <c r="E1388"/>
  <c r="E1389"/>
  <c r="E1390"/>
  <c r="E1391"/>
  <c r="E1392"/>
  <c r="E1393"/>
  <c r="E1394"/>
  <c r="E1395"/>
  <c r="E1396"/>
  <c r="E1397"/>
  <c r="E1398"/>
  <c r="E1399"/>
  <c r="E1400"/>
  <c r="E1401"/>
  <c r="E1402"/>
  <c r="E1403"/>
  <c r="E1404"/>
  <c r="E1405"/>
  <c r="E1406"/>
  <c r="E1407"/>
  <c r="E1408"/>
  <c r="E1409"/>
  <c r="E1410"/>
  <c r="E1411"/>
  <c r="E1412"/>
  <c r="E1413"/>
  <c r="E1414"/>
  <c r="E1415"/>
  <c r="E1416"/>
  <c r="E1417"/>
  <c r="E1418"/>
  <c r="E1419"/>
  <c r="E1420"/>
  <c r="E1421"/>
  <c r="E1422"/>
  <c r="E1424"/>
  <c r="E1425"/>
  <c r="E1426"/>
  <c r="E1427"/>
  <c r="E1428"/>
  <c r="E1429"/>
  <c r="E1430"/>
  <c r="E1431"/>
  <c r="E1432"/>
  <c r="E1433"/>
  <c r="E1434"/>
  <c r="E1435"/>
  <c r="E1436"/>
  <c r="E1437"/>
  <c r="E1438"/>
  <c r="E1439"/>
  <c r="E1440"/>
  <c r="E1441"/>
  <c r="E1442"/>
  <c r="E1443"/>
  <c r="E1444"/>
  <c r="E1445"/>
  <c r="E1446"/>
  <c r="E1447"/>
  <c r="E1448"/>
  <c r="E1449"/>
  <c r="E1450"/>
  <c r="E1451"/>
  <c r="E1452"/>
  <c r="E1453"/>
  <c r="E1454"/>
  <c r="E1455"/>
  <c r="E1456"/>
  <c r="E1457"/>
  <c r="E1458"/>
  <c r="E1459"/>
  <c r="E1460"/>
  <c r="E1461"/>
  <c r="E1462"/>
  <c r="E1463"/>
  <c r="E1464"/>
  <c r="E1465"/>
  <c r="E1466"/>
  <c r="E1467"/>
  <c r="E1468"/>
  <c r="E1469"/>
  <c r="E1470"/>
  <c r="E1471"/>
  <c r="E1472"/>
  <c r="E1473"/>
  <c r="E1474"/>
  <c r="E1475"/>
  <c r="E1476"/>
  <c r="E1477"/>
  <c r="E1478"/>
  <c r="E1479"/>
  <c r="E1480"/>
  <c r="E1481"/>
  <c r="E1482"/>
  <c r="E1483"/>
  <c r="E1484"/>
  <c r="E1485"/>
  <c r="E1486"/>
  <c r="E1487"/>
  <c r="E1488"/>
  <c r="E1489"/>
  <c r="E1490"/>
  <c r="E1491"/>
  <c r="E1492"/>
  <c r="E1493"/>
  <c r="E1499"/>
  <c r="E1500"/>
  <c r="E1501"/>
  <c r="E1502"/>
  <c r="E1503"/>
  <c r="E1504"/>
  <c r="E1505"/>
  <c r="E1506"/>
  <c r="E1507"/>
  <c r="E1508"/>
  <c r="E1509"/>
  <c r="E1510"/>
  <c r="E1511"/>
  <c r="E1512"/>
  <c r="E1513"/>
  <c r="E1514"/>
  <c r="E1515"/>
  <c r="E1516"/>
  <c r="E1517"/>
  <c r="E1518"/>
  <c r="E1519"/>
  <c r="E1520"/>
  <c r="E1521"/>
  <c r="E1522"/>
  <c r="E1523"/>
  <c r="E1524"/>
  <c r="E1525"/>
  <c r="E1526"/>
  <c r="E1527"/>
  <c r="E1528"/>
  <c r="E1529"/>
  <c r="E1530"/>
  <c r="E1531"/>
  <c r="E1532"/>
  <c r="E1533"/>
  <c r="E1534"/>
  <c r="E1535"/>
  <c r="E1536"/>
  <c r="E1537"/>
  <c r="E1538"/>
  <c r="E1539"/>
  <c r="E1540"/>
  <c r="E1541"/>
  <c r="E1542"/>
  <c r="E1543"/>
  <c r="E1544"/>
  <c r="E1545"/>
  <c r="E1546"/>
  <c r="E1547"/>
  <c r="E1548"/>
  <c r="E1549"/>
  <c r="E1550"/>
  <c r="E1551"/>
  <c r="E1552"/>
  <c r="E1553"/>
  <c r="E1554"/>
  <c r="E1555"/>
  <c r="E1556"/>
  <c r="E1557"/>
  <c r="E1558"/>
  <c r="E1559"/>
  <c r="E1563"/>
  <c r="E1564"/>
  <c r="E1565"/>
  <c r="E1566"/>
  <c r="E1567"/>
  <c r="E1568"/>
  <c r="E1569"/>
  <c r="E1570"/>
  <c r="E1571"/>
  <c r="E1572"/>
  <c r="E1573"/>
  <c r="E1574"/>
  <c r="E1575"/>
  <c r="E1576"/>
  <c r="E1577"/>
  <c r="E1578"/>
  <c r="E1579"/>
  <c r="E1580"/>
  <c r="E1581"/>
  <c r="E1582"/>
  <c r="E1583"/>
  <c r="E1584"/>
  <c r="E1585"/>
  <c r="E1586"/>
  <c r="E1592"/>
  <c r="E1593"/>
  <c r="E1594"/>
  <c r="E1595"/>
  <c r="E1596"/>
  <c r="E1597"/>
  <c r="E1598"/>
  <c r="E1599"/>
  <c r="E1600"/>
  <c r="E1601"/>
  <c r="E1602"/>
  <c r="E1603"/>
  <c r="E1604"/>
  <c r="E1605"/>
  <c r="E1606"/>
  <c r="E1607"/>
  <c r="E1608"/>
  <c r="E1609"/>
  <c r="E1610"/>
  <c r="E1611"/>
  <c r="E1612"/>
  <c r="E1613"/>
  <c r="E1614"/>
  <c r="E1615"/>
  <c r="E1616"/>
  <c r="E1617"/>
  <c r="E1618"/>
  <c r="E1619"/>
  <c r="E1620"/>
  <c r="E1621"/>
  <c r="E1622"/>
  <c r="E1623"/>
  <c r="E1624"/>
  <c r="E1627"/>
  <c r="E1628"/>
  <c r="E1629"/>
  <c r="E1630"/>
  <c r="E1631"/>
  <c r="E1632"/>
  <c r="E1633"/>
  <c r="E1634"/>
  <c r="E1635"/>
  <c r="E1636"/>
  <c r="E1637"/>
  <c r="E1638"/>
  <c r="E1639"/>
  <c r="N3" i="10"/>
  <c r="N4"/>
  <c r="N5"/>
  <c r="N6"/>
  <c r="N7"/>
  <c r="N8"/>
  <c r="N9"/>
  <c r="N10"/>
  <c r="N11"/>
  <c r="N12"/>
  <c r="N13"/>
  <c r="N14"/>
  <c r="N15"/>
  <c r="N16"/>
  <c r="N17"/>
  <c r="N18"/>
  <c r="N52"/>
  <c r="M4" i="6"/>
  <c r="M5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141"/>
  <c r="M142"/>
  <c r="M143"/>
  <c r="M144"/>
  <c r="M145"/>
  <c r="M146"/>
  <c r="M147"/>
  <c r="M148"/>
  <c r="M149"/>
  <c r="M150"/>
  <c r="M151"/>
  <c r="M152"/>
  <c r="M153"/>
  <c r="M154"/>
  <c r="M155"/>
  <c r="M156"/>
  <c r="M157"/>
  <c r="M158"/>
  <c r="M159"/>
  <c r="M160"/>
  <c r="M161"/>
  <c r="M162"/>
  <c r="M163"/>
  <c r="M164"/>
  <c r="M165"/>
  <c r="M166"/>
  <c r="M167"/>
  <c r="M168"/>
  <c r="M169"/>
  <c r="M170"/>
  <c r="M171"/>
  <c r="M172"/>
  <c r="M173"/>
  <c r="M174"/>
  <c r="M175"/>
  <c r="M176"/>
  <c r="M177"/>
  <c r="M178"/>
  <c r="M179"/>
  <c r="M180"/>
  <c r="M181"/>
  <c r="M182"/>
  <c r="M183"/>
  <c r="M184"/>
  <c r="M185"/>
  <c r="M186"/>
  <c r="M187"/>
  <c r="M188"/>
  <c r="M189"/>
  <c r="M190"/>
  <c r="M191"/>
  <c r="M192"/>
  <c r="M193"/>
  <c r="M194"/>
  <c r="M195"/>
  <c r="M196"/>
  <c r="M197"/>
  <c r="M198"/>
  <c r="M199"/>
  <c r="M200"/>
  <c r="M201"/>
  <c r="M202"/>
  <c r="M203"/>
  <c r="M204"/>
  <c r="M205"/>
  <c r="M206"/>
  <c r="M207"/>
  <c r="M208"/>
  <c r="M209"/>
  <c r="M210"/>
  <c r="M211"/>
  <c r="M212"/>
  <c r="M213"/>
  <c r="M214"/>
  <c r="M215"/>
  <c r="M216"/>
  <c r="M217"/>
  <c r="M218"/>
  <c r="M219"/>
  <c r="M220"/>
  <c r="M221"/>
  <c r="M222"/>
  <c r="M223"/>
  <c r="M224"/>
  <c r="M225"/>
  <c r="M226"/>
  <c r="M227"/>
  <c r="M228"/>
  <c r="M229"/>
  <c r="M230"/>
  <c r="M231"/>
  <c r="M232"/>
  <c r="M233"/>
  <c r="M234"/>
  <c r="M235"/>
  <c r="M236"/>
  <c r="M237"/>
  <c r="M238"/>
  <c r="M239"/>
  <c r="M240"/>
  <c r="M241"/>
  <c r="M242"/>
  <c r="M243"/>
  <c r="M244"/>
  <c r="M245"/>
  <c r="M246"/>
  <c r="M247"/>
  <c r="M248"/>
  <c r="M249"/>
  <c r="M250"/>
  <c r="M251"/>
  <c r="M252"/>
  <c r="M253"/>
  <c r="M254"/>
  <c r="M255"/>
  <c r="M256"/>
  <c r="M257"/>
  <c r="M258"/>
  <c r="M259"/>
  <c r="M260"/>
  <c r="M261"/>
  <c r="M262"/>
  <c r="M263"/>
  <c r="M264"/>
  <c r="M265"/>
  <c r="M266"/>
  <c r="M267"/>
  <c r="M268"/>
  <c r="M269"/>
  <c r="M270"/>
  <c r="M271"/>
  <c r="M272"/>
  <c r="M273"/>
  <c r="M274"/>
  <c r="M275"/>
  <c r="M276"/>
  <c r="M277"/>
  <c r="M278"/>
  <c r="M279"/>
  <c r="M280"/>
  <c r="M281"/>
  <c r="M282"/>
  <c r="M283"/>
  <c r="M284"/>
  <c r="M285"/>
  <c r="M286"/>
  <c r="M287"/>
  <c r="M288"/>
  <c r="M289"/>
  <c r="M290"/>
  <c r="M291"/>
  <c r="M292"/>
  <c r="M293"/>
  <c r="M294"/>
  <c r="M295"/>
  <c r="M296"/>
  <c r="M297"/>
  <c r="M298"/>
  <c r="M299"/>
  <c r="M300"/>
  <c r="M301"/>
  <c r="M302"/>
  <c r="M303"/>
  <c r="M304"/>
  <c r="M305"/>
  <c r="M306"/>
  <c r="M307"/>
  <c r="M308"/>
  <c r="M309"/>
  <c r="M310"/>
  <c r="M311"/>
  <c r="M312"/>
  <c r="M313"/>
  <c r="M314"/>
  <c r="M315"/>
  <c r="M316"/>
  <c r="M317"/>
  <c r="M318"/>
  <c r="M319"/>
  <c r="M320"/>
  <c r="M321"/>
  <c r="M322"/>
  <c r="M323"/>
  <c r="M324"/>
  <c r="M325"/>
  <c r="M326"/>
  <c r="M327"/>
  <c r="M328"/>
  <c r="M329"/>
  <c r="M330"/>
  <c r="M331"/>
  <c r="M332"/>
  <c r="M333"/>
  <c r="M334"/>
  <c r="M335"/>
  <c r="M336"/>
  <c r="M337"/>
  <c r="M338"/>
  <c r="M339"/>
  <c r="M340"/>
  <c r="M341"/>
  <c r="M342"/>
  <c r="M343"/>
  <c r="M344"/>
  <c r="M345"/>
  <c r="M346"/>
  <c r="M347"/>
  <c r="M348"/>
  <c r="M349"/>
  <c r="M350"/>
  <c r="M351"/>
  <c r="M352"/>
  <c r="M353"/>
  <c r="M354"/>
  <c r="M355"/>
  <c r="M356"/>
  <c r="M357"/>
  <c r="M358"/>
  <c r="M359"/>
  <c r="M360"/>
  <c r="M361"/>
  <c r="M362"/>
  <c r="M363"/>
  <c r="M364"/>
  <c r="M365"/>
  <c r="M366"/>
  <c r="M367"/>
  <c r="M368"/>
  <c r="M369"/>
  <c r="M370"/>
  <c r="M371"/>
  <c r="M372"/>
  <c r="M373"/>
  <c r="M374"/>
  <c r="M375"/>
  <c r="M376"/>
  <c r="M377"/>
  <c r="M378"/>
  <c r="M379"/>
  <c r="M380"/>
  <c r="M381"/>
  <c r="M382"/>
  <c r="M383"/>
  <c r="M384"/>
  <c r="M385"/>
  <c r="M386"/>
  <c r="M387"/>
  <c r="M388"/>
  <c r="M389"/>
  <c r="M390"/>
  <c r="M391"/>
  <c r="M392"/>
  <c r="M393"/>
  <c r="M394"/>
  <c r="M395"/>
  <c r="M396"/>
  <c r="M397"/>
  <c r="M398"/>
  <c r="M399"/>
  <c r="M400"/>
  <c r="M401"/>
  <c r="M402"/>
  <c r="M403"/>
  <c r="M404"/>
  <c r="M405"/>
  <c r="M406"/>
  <c r="M407"/>
  <c r="M408"/>
  <c r="M409"/>
  <c r="M410"/>
  <c r="M411"/>
  <c r="M412"/>
  <c r="M413"/>
  <c r="M414"/>
  <c r="M415"/>
  <c r="M416"/>
  <c r="M417"/>
  <c r="M418"/>
  <c r="M419"/>
  <c r="M420"/>
  <c r="M421"/>
  <c r="M422"/>
  <c r="M423"/>
  <c r="M424"/>
  <c r="M425"/>
  <c r="M426"/>
  <c r="M427"/>
  <c r="M428"/>
  <c r="M429"/>
  <c r="M430"/>
  <c r="M431"/>
  <c r="M432"/>
  <c r="M433"/>
  <c r="M434"/>
  <c r="M435"/>
  <c r="M436"/>
  <c r="M437"/>
  <c r="M438"/>
  <c r="M439"/>
  <c r="M440"/>
  <c r="M441"/>
  <c r="M442"/>
  <c r="M443"/>
  <c r="M444"/>
  <c r="M445"/>
  <c r="M446"/>
  <c r="M447"/>
  <c r="M448"/>
  <c r="M449"/>
  <c r="M450"/>
  <c r="M451"/>
  <c r="M452"/>
  <c r="M453"/>
  <c r="M454"/>
  <c r="M455"/>
  <c r="M456"/>
  <c r="M457"/>
  <c r="M458"/>
  <c r="M459"/>
  <c r="M460"/>
  <c r="M461"/>
  <c r="M462"/>
  <c r="M463"/>
  <c r="M464"/>
  <c r="M465"/>
  <c r="M466"/>
  <c r="M467"/>
  <c r="M468"/>
  <c r="M469"/>
  <c r="M470"/>
  <c r="M471"/>
  <c r="M472"/>
  <c r="M473"/>
  <c r="M474"/>
  <c r="M475"/>
  <c r="M476"/>
  <c r="M477"/>
  <c r="M478"/>
  <c r="M479"/>
  <c r="M480"/>
  <c r="M481"/>
  <c r="M482"/>
  <c r="M483"/>
  <c r="M484"/>
  <c r="M485"/>
  <c r="M486"/>
  <c r="M487"/>
  <c r="M488"/>
  <c r="M489"/>
  <c r="M490"/>
  <c r="M491"/>
  <c r="M492"/>
  <c r="M493"/>
  <c r="M494"/>
  <c r="M495"/>
  <c r="M496"/>
  <c r="M497"/>
  <c r="M498"/>
  <c r="M499"/>
  <c r="M500"/>
  <c r="M501"/>
  <c r="M502"/>
  <c r="M503"/>
  <c r="M504"/>
  <c r="M505"/>
  <c r="M506"/>
  <c r="M507"/>
  <c r="M508"/>
  <c r="M509"/>
  <c r="M510"/>
  <c r="M511"/>
  <c r="M512"/>
  <c r="M513"/>
  <c r="M514"/>
  <c r="M515"/>
  <c r="M516"/>
  <c r="M517"/>
  <c r="M518"/>
  <c r="M519"/>
  <c r="M520"/>
  <c r="M521"/>
  <c r="M522"/>
  <c r="M523"/>
  <c r="M524"/>
  <c r="M525"/>
  <c r="M526"/>
  <c r="M527"/>
  <c r="M528"/>
  <c r="M529"/>
  <c r="M530"/>
  <c r="M531"/>
  <c r="M532"/>
  <c r="M533"/>
  <c r="M534"/>
  <c r="M535"/>
  <c r="M536"/>
  <c r="M537"/>
  <c r="M538"/>
  <c r="M539"/>
  <c r="M540"/>
  <c r="M541"/>
  <c r="M542"/>
  <c r="M543"/>
  <c r="M544"/>
  <c r="M545"/>
  <c r="M546"/>
  <c r="M547"/>
  <c r="M548"/>
  <c r="M549"/>
  <c r="M550"/>
  <c r="M551"/>
  <c r="M552"/>
  <c r="M553"/>
  <c r="M554"/>
  <c r="M555"/>
  <c r="M556"/>
  <c r="M557"/>
  <c r="M558"/>
  <c r="M559"/>
  <c r="M560"/>
  <c r="M561"/>
  <c r="M562"/>
  <c r="M563"/>
  <c r="M564"/>
  <c r="M565"/>
  <c r="M566"/>
  <c r="M567"/>
  <c r="M568"/>
  <c r="M569"/>
  <c r="M570"/>
  <c r="M571"/>
  <c r="M572"/>
  <c r="M573"/>
  <c r="M574"/>
  <c r="M575"/>
  <c r="M576"/>
  <c r="M577"/>
  <c r="M578"/>
  <c r="M579"/>
  <c r="M580"/>
  <c r="M581"/>
  <c r="M582"/>
  <c r="M583"/>
  <c r="M584"/>
  <c r="M585"/>
  <c r="M586"/>
  <c r="M587"/>
  <c r="M588"/>
  <c r="M589"/>
  <c r="M590"/>
  <c r="M591"/>
  <c r="M592"/>
  <c r="M593"/>
  <c r="M594"/>
  <c r="M595"/>
  <c r="M596"/>
  <c r="M597"/>
  <c r="M598"/>
  <c r="M599"/>
  <c r="M600"/>
  <c r="M601"/>
  <c r="M602"/>
  <c r="M603"/>
  <c r="M604"/>
  <c r="M605"/>
  <c r="M606"/>
  <c r="M607"/>
  <c r="M608"/>
  <c r="M609"/>
  <c r="M610"/>
  <c r="M611"/>
  <c r="M612"/>
  <c r="M613"/>
  <c r="M614"/>
  <c r="M615"/>
  <c r="M616"/>
  <c r="M617"/>
  <c r="M618"/>
  <c r="M619"/>
  <c r="M620"/>
  <c r="M621"/>
  <c r="M622"/>
  <c r="M623"/>
  <c r="M624"/>
  <c r="M625"/>
  <c r="M626"/>
  <c r="M627"/>
  <c r="M628"/>
  <c r="M629"/>
  <c r="M630"/>
  <c r="M631"/>
  <c r="M632"/>
  <c r="M633"/>
  <c r="M634"/>
  <c r="M635"/>
  <c r="M636"/>
  <c r="M637"/>
  <c r="M638"/>
  <c r="M639"/>
  <c r="M640"/>
  <c r="M641"/>
  <c r="M642"/>
  <c r="M643"/>
  <c r="M644"/>
  <c r="M645"/>
  <c r="M646"/>
  <c r="M647"/>
  <c r="M648"/>
  <c r="M649"/>
  <c r="M650"/>
  <c r="M651"/>
  <c r="M652"/>
  <c r="M653"/>
  <c r="M654"/>
  <c r="M655"/>
  <c r="M656"/>
  <c r="M657"/>
  <c r="M658"/>
  <c r="M659"/>
  <c r="M660"/>
  <c r="M661"/>
  <c r="M662"/>
  <c r="M663"/>
  <c r="M664"/>
  <c r="M665"/>
  <c r="M666"/>
  <c r="M667"/>
  <c r="M668"/>
  <c r="M669"/>
  <c r="M670"/>
  <c r="M671"/>
  <c r="M672"/>
  <c r="M673"/>
  <c r="M674"/>
  <c r="M675"/>
  <c r="M676"/>
  <c r="M677"/>
  <c r="M678"/>
  <c r="M679"/>
  <c r="M680"/>
  <c r="M681"/>
  <c r="M682"/>
  <c r="M683"/>
  <c r="M684"/>
  <c r="M685"/>
  <c r="M686"/>
  <c r="M687"/>
  <c r="M688"/>
  <c r="M689"/>
  <c r="M690"/>
  <c r="M691"/>
  <c r="M692"/>
  <c r="M693"/>
  <c r="M694"/>
  <c r="M695"/>
  <c r="M696"/>
  <c r="M697"/>
  <c r="M698"/>
  <c r="M699"/>
  <c r="M700"/>
  <c r="M701"/>
  <c r="M702"/>
  <c r="M703"/>
  <c r="M704"/>
  <c r="M705"/>
  <c r="M706"/>
  <c r="M707"/>
  <c r="M708"/>
  <c r="M709"/>
  <c r="M710"/>
  <c r="M711"/>
  <c r="M712"/>
  <c r="M713"/>
  <c r="M714"/>
  <c r="M715"/>
  <c r="M716"/>
  <c r="M717"/>
  <c r="M718"/>
  <c r="M719"/>
  <c r="M720"/>
  <c r="M721"/>
  <c r="M722"/>
  <c r="M723"/>
  <c r="M724"/>
  <c r="M725"/>
  <c r="M726"/>
  <c r="M727"/>
  <c r="M728"/>
  <c r="M729"/>
  <c r="M730"/>
  <c r="M731"/>
  <c r="M732"/>
  <c r="M733"/>
  <c r="M734"/>
  <c r="M735"/>
  <c r="M736"/>
  <c r="M737"/>
  <c r="M738"/>
  <c r="M739"/>
  <c r="M740"/>
  <c r="M741"/>
  <c r="M742"/>
  <c r="M743"/>
  <c r="M744"/>
  <c r="M745"/>
  <c r="M746"/>
  <c r="M747"/>
  <c r="M748"/>
  <c r="M749"/>
  <c r="M750"/>
  <c r="M751"/>
  <c r="M752"/>
  <c r="M753"/>
  <c r="M754"/>
  <c r="M755"/>
  <c r="M756"/>
  <c r="M757"/>
  <c r="M758"/>
  <c r="E759"/>
  <c r="M759"/>
  <c r="E760"/>
  <c r="M760"/>
  <c r="E761"/>
  <c r="M761"/>
  <c r="E762"/>
  <c r="M762"/>
  <c r="E763"/>
  <c r="M763"/>
  <c r="E764"/>
  <c r="M764"/>
  <c r="E765"/>
  <c r="M765"/>
  <c r="E766"/>
  <c r="M766"/>
  <c r="E767"/>
  <c r="M767"/>
  <c r="E768"/>
  <c r="M768"/>
  <c r="E769"/>
  <c r="M769"/>
  <c r="E770"/>
  <c r="M770"/>
  <c r="E771"/>
  <c r="M771"/>
  <c r="E772"/>
  <c r="M772"/>
  <c r="E773"/>
  <c r="M773"/>
  <c r="E774"/>
  <c r="M774"/>
  <c r="E775"/>
  <c r="M775"/>
  <c r="E776"/>
  <c r="M776"/>
  <c r="E777"/>
  <c r="M777"/>
  <c r="E778"/>
  <c r="M778"/>
  <c r="E779"/>
  <c r="M779"/>
  <c r="E780"/>
  <c r="M780"/>
  <c r="E781"/>
  <c r="M781"/>
  <c r="E782"/>
  <c r="M782"/>
  <c r="E783"/>
  <c r="M783"/>
  <c r="E784"/>
  <c r="M784"/>
  <c r="E785"/>
  <c r="M785"/>
  <c r="E786"/>
  <c r="M786"/>
  <c r="E787"/>
  <c r="M787"/>
  <c r="E788"/>
  <c r="M788"/>
  <c r="E789"/>
  <c r="M789"/>
  <c r="E790"/>
  <c r="M790"/>
  <c r="E791"/>
  <c r="M791"/>
  <c r="E792"/>
  <c r="M792"/>
  <c r="E793"/>
  <c r="M793"/>
  <c r="E794"/>
  <c r="M794"/>
  <c r="E795"/>
  <c r="M795"/>
  <c r="E796"/>
  <c r="M796"/>
  <c r="E797"/>
  <c r="M797"/>
  <c r="E798"/>
  <c r="M798"/>
  <c r="E799"/>
  <c r="M799"/>
  <c r="E800"/>
  <c r="M800"/>
  <c r="E801"/>
  <c r="M801"/>
  <c r="E802"/>
  <c r="M802"/>
  <c r="E803"/>
  <c r="M803"/>
  <c r="E804"/>
  <c r="M804"/>
  <c r="E805"/>
  <c r="M805"/>
  <c r="E806"/>
  <c r="M806"/>
  <c r="E807"/>
  <c r="M807"/>
  <c r="E808"/>
  <c r="M808"/>
  <c r="E809"/>
  <c r="M809"/>
  <c r="E810"/>
  <c r="M810"/>
  <c r="E811"/>
  <c r="M811"/>
  <c r="E812"/>
  <c r="M812"/>
  <c r="E813"/>
  <c r="M813"/>
  <c r="E814"/>
  <c r="M814"/>
  <c r="E815"/>
  <c r="M815"/>
  <c r="E816"/>
  <c r="M816"/>
  <c r="E817"/>
  <c r="M817"/>
  <c r="E818"/>
  <c r="M818"/>
  <c r="E819"/>
  <c r="M819"/>
  <c r="E820"/>
  <c r="M820"/>
  <c r="E821"/>
  <c r="M821"/>
  <c r="E822"/>
  <c r="M822"/>
  <c r="E823"/>
  <c r="M823"/>
  <c r="E824"/>
  <c r="M824"/>
  <c r="E825"/>
  <c r="M825"/>
  <c r="E826"/>
  <c r="M826"/>
  <c r="E827"/>
  <c r="M827"/>
  <c r="E828"/>
  <c r="M828"/>
  <c r="E829"/>
  <c r="M829"/>
  <c r="E830"/>
  <c r="M830"/>
  <c r="E831"/>
  <c r="M831"/>
  <c r="E832"/>
  <c r="M832"/>
  <c r="E833"/>
  <c r="M833"/>
  <c r="E834"/>
  <c r="M834"/>
  <c r="E835"/>
  <c r="M835"/>
  <c r="E836"/>
  <c r="M836"/>
  <c r="E837"/>
  <c r="M837"/>
  <c r="E838"/>
  <c r="M838"/>
  <c r="E839"/>
  <c r="M839"/>
  <c r="E840"/>
  <c r="M840"/>
  <c r="E841"/>
  <c r="M841"/>
  <c r="E842"/>
  <c r="M842"/>
  <c r="E843"/>
  <c r="M843"/>
  <c r="E844"/>
  <c r="M844"/>
  <c r="E845"/>
  <c r="M845"/>
  <c r="E846"/>
  <c r="M846"/>
  <c r="E847"/>
  <c r="M847"/>
  <c r="E848"/>
  <c r="M848"/>
  <c r="E849"/>
  <c r="M849"/>
  <c r="E850"/>
  <c r="M850"/>
  <c r="E851"/>
  <c r="M851"/>
  <c r="E852"/>
  <c r="M852"/>
  <c r="E853"/>
  <c r="M853"/>
  <c r="E854"/>
  <c r="M854"/>
  <c r="E855"/>
  <c r="M855"/>
  <c r="E856"/>
  <c r="M856"/>
  <c r="E857"/>
  <c r="M857"/>
  <c r="E858"/>
  <c r="M858"/>
  <c r="E859"/>
  <c r="M859"/>
  <c r="E860"/>
  <c r="M860"/>
  <c r="E861"/>
  <c r="M861"/>
  <c r="E862"/>
  <c r="M862"/>
  <c r="E863"/>
  <c r="M863"/>
  <c r="E864"/>
  <c r="M864"/>
  <c r="E865"/>
  <c r="M865"/>
  <c r="E866"/>
  <c r="M866"/>
  <c r="E867"/>
  <c r="M867"/>
  <c r="E868"/>
  <c r="M868"/>
  <c r="E869"/>
  <c r="M869"/>
  <c r="E870"/>
  <c r="M870"/>
  <c r="E871"/>
  <c r="M871"/>
  <c r="E872"/>
  <c r="M872"/>
  <c r="E873"/>
  <c r="M873"/>
  <c r="E874"/>
  <c r="M874"/>
  <c r="E875"/>
  <c r="M875"/>
  <c r="E876"/>
  <c r="M876"/>
  <c r="E877"/>
  <c r="M877"/>
  <c r="E878"/>
  <c r="M878"/>
  <c r="E879"/>
  <c r="M879"/>
  <c r="E880"/>
  <c r="M880"/>
  <c r="E881"/>
  <c r="M881"/>
  <c r="E882"/>
  <c r="M882"/>
  <c r="E883"/>
  <c r="M883"/>
  <c r="E884"/>
  <c r="M884"/>
  <c r="E885"/>
  <c r="M885"/>
  <c r="E886"/>
  <c r="M886"/>
  <c r="E887"/>
  <c r="M887"/>
  <c r="E888"/>
  <c r="M888"/>
  <c r="E889"/>
  <c r="M889"/>
  <c r="E890"/>
  <c r="M890"/>
  <c r="E891"/>
  <c r="M891"/>
  <c r="E892"/>
  <c r="M892"/>
  <c r="E893"/>
  <c r="M893"/>
  <c r="E894"/>
  <c r="M894"/>
  <c r="E895"/>
  <c r="M895"/>
  <c r="E896"/>
  <c r="M896"/>
  <c r="E897"/>
  <c r="M897"/>
  <c r="E898"/>
  <c r="M898"/>
  <c r="E899"/>
  <c r="M899"/>
  <c r="E900"/>
  <c r="M900"/>
  <c r="E901"/>
  <c r="M901"/>
  <c r="E902"/>
  <c r="M902"/>
  <c r="E903"/>
  <c r="M903"/>
  <c r="E904"/>
  <c r="M904"/>
  <c r="E905"/>
  <c r="M905"/>
  <c r="E906"/>
  <c r="M906"/>
  <c r="E907"/>
  <c r="M907"/>
  <c r="E908"/>
  <c r="M908"/>
  <c r="E909"/>
  <c r="M909"/>
  <c r="E910"/>
  <c r="M910"/>
  <c r="E911"/>
  <c r="M911"/>
  <c r="E912"/>
  <c r="M912"/>
  <c r="E913"/>
  <c r="M913"/>
  <c r="E914"/>
  <c r="M914"/>
  <c r="E915"/>
  <c r="M915"/>
  <c r="E916"/>
  <c r="M916"/>
  <c r="E917"/>
  <c r="M917"/>
  <c r="E918"/>
  <c r="M918"/>
  <c r="E919"/>
  <c r="M919"/>
  <c r="E920"/>
  <c r="M920"/>
  <c r="E921"/>
  <c r="M921"/>
  <c r="E922"/>
  <c r="M922"/>
  <c r="E923"/>
  <c r="M923"/>
  <c r="E924"/>
  <c r="M924"/>
  <c r="E925"/>
  <c r="M925"/>
  <c r="E926"/>
  <c r="M926"/>
  <c r="E927"/>
  <c r="M927"/>
  <c r="E928"/>
  <c r="M928"/>
  <c r="E929"/>
  <c r="M929"/>
  <c r="E930"/>
  <c r="M930"/>
  <c r="E931"/>
  <c r="M931"/>
  <c r="E932"/>
  <c r="M932"/>
  <c r="E933"/>
  <c r="M933"/>
  <c r="E934"/>
  <c r="M934"/>
  <c r="E935"/>
  <c r="M935"/>
  <c r="E936"/>
  <c r="M936"/>
  <c r="E937"/>
  <c r="M937"/>
  <c r="E938"/>
  <c r="M938"/>
  <c r="E939"/>
  <c r="M939"/>
  <c r="E940"/>
  <c r="M940"/>
  <c r="E941"/>
  <c r="M941"/>
  <c r="E942"/>
  <c r="M942"/>
  <c r="E943"/>
  <c r="M943"/>
  <c r="E944"/>
  <c r="M944"/>
  <c r="E945"/>
  <c r="M945"/>
  <c r="E946"/>
  <c r="M946"/>
  <c r="E947"/>
  <c r="M947"/>
  <c r="E948"/>
  <c r="M948"/>
  <c r="E949"/>
  <c r="M949"/>
  <c r="E950"/>
  <c r="M950"/>
  <c r="E951"/>
  <c r="M951"/>
  <c r="E952"/>
  <c r="M952"/>
  <c r="E953"/>
  <c r="M953"/>
  <c r="E954"/>
  <c r="M954"/>
  <c r="E955"/>
  <c r="M955"/>
  <c r="E956"/>
  <c r="M956"/>
  <c r="E957"/>
  <c r="M957"/>
  <c r="E958"/>
  <c r="M958"/>
  <c r="E959"/>
  <c r="M959"/>
  <c r="E960"/>
  <c r="M960"/>
  <c r="E961"/>
  <c r="M961"/>
  <c r="E962"/>
  <c r="M962"/>
  <c r="E963"/>
  <c r="M963"/>
  <c r="E964"/>
  <c r="M964"/>
  <c r="E965"/>
  <c r="M965"/>
  <c r="E966"/>
  <c r="M966"/>
  <c r="E967"/>
  <c r="M967"/>
  <c r="E968"/>
  <c r="M968"/>
  <c r="E969"/>
  <c r="M969"/>
  <c r="E970"/>
  <c r="M970"/>
  <c r="E971"/>
  <c r="M971"/>
  <c r="E972"/>
  <c r="M972"/>
  <c r="E973"/>
  <c r="M973"/>
  <c r="E974"/>
  <c r="M974"/>
  <c r="E975"/>
  <c r="M975"/>
  <c r="E976"/>
  <c r="M976"/>
  <c r="E977"/>
  <c r="M977"/>
  <c r="E978"/>
  <c r="M978"/>
  <c r="E979"/>
  <c r="M979"/>
  <c r="E980"/>
  <c r="M980"/>
  <c r="E981"/>
  <c r="M981"/>
  <c r="E982"/>
  <c r="M982"/>
  <c r="E983"/>
  <c r="M983"/>
  <c r="E984"/>
  <c r="M984"/>
  <c r="E985"/>
  <c r="M985"/>
  <c r="E986"/>
  <c r="M986"/>
  <c r="E987"/>
  <c r="M987"/>
  <c r="E988"/>
  <c r="M988"/>
  <c r="E989"/>
  <c r="M989"/>
  <c r="E990"/>
  <c r="M990"/>
  <c r="E991"/>
  <c r="M991"/>
  <c r="E992"/>
  <c r="M992"/>
  <c r="E993"/>
  <c r="M993"/>
  <c r="E994"/>
  <c r="M994"/>
  <c r="E995"/>
  <c r="M995"/>
  <c r="E996"/>
  <c r="M996"/>
  <c r="E997"/>
  <c r="M997"/>
  <c r="E998"/>
  <c r="M998"/>
  <c r="E999"/>
  <c r="M999"/>
  <c r="E1000"/>
  <c r="M1000"/>
  <c r="E1001"/>
  <c r="M1001"/>
  <c r="E1002"/>
  <c r="M1002"/>
  <c r="E1003"/>
  <c r="M1003"/>
  <c r="E1004"/>
  <c r="M1004"/>
  <c r="E1005"/>
  <c r="M1005"/>
  <c r="E1006"/>
  <c r="M1006"/>
  <c r="E1007"/>
  <c r="M1007"/>
  <c r="E1008"/>
  <c r="M1008"/>
  <c r="E1009"/>
  <c r="M1009"/>
  <c r="E1010"/>
  <c r="M1010"/>
  <c r="E1011"/>
  <c r="M1011"/>
  <c r="E1012"/>
  <c r="M1012"/>
  <c r="E1013"/>
  <c r="M1013"/>
  <c r="E1014"/>
  <c r="M1014"/>
  <c r="E1015"/>
  <c r="M1015"/>
  <c r="E1016"/>
  <c r="M1016"/>
  <c r="E1017"/>
  <c r="M1017"/>
  <c r="E1018"/>
  <c r="M1018"/>
  <c r="E1019"/>
  <c r="M1019"/>
  <c r="E1020"/>
  <c r="M1020"/>
  <c r="E1021"/>
  <c r="M1021"/>
  <c r="E1022"/>
  <c r="M1022"/>
  <c r="E1023"/>
  <c r="M1023"/>
  <c r="E1024"/>
  <c r="M1024"/>
  <c r="E1025"/>
  <c r="M1025"/>
  <c r="E1026"/>
  <c r="M1026"/>
  <c r="E1027"/>
  <c r="M1027"/>
  <c r="E1028"/>
  <c r="M1028"/>
  <c r="E1029"/>
  <c r="M1029"/>
  <c r="E1030"/>
  <c r="M1030"/>
  <c r="E1031"/>
  <c r="M1031"/>
  <c r="E1032"/>
  <c r="M1032"/>
  <c r="E1033"/>
  <c r="M1033"/>
  <c r="E1034"/>
  <c r="M1034"/>
  <c r="E1035"/>
  <c r="M1035"/>
  <c r="E1036"/>
  <c r="M1036"/>
  <c r="E1037"/>
  <c r="M1037"/>
  <c r="E1038"/>
  <c r="M1038"/>
  <c r="E1039"/>
  <c r="M1039"/>
  <c r="E1040"/>
  <c r="M1040"/>
  <c r="E1041"/>
  <c r="M1041"/>
  <c r="E1042"/>
  <c r="M1042"/>
  <c r="E1043"/>
  <c r="M1043"/>
  <c r="E1044"/>
  <c r="M1044"/>
  <c r="E1045"/>
  <c r="M1045"/>
  <c r="E1046"/>
  <c r="M1046"/>
  <c r="E1047"/>
  <c r="M1047"/>
  <c r="E1048"/>
  <c r="M1048"/>
  <c r="E1049"/>
  <c r="M1049"/>
  <c r="E1050"/>
  <c r="M1050"/>
  <c r="E1051"/>
  <c r="M1051"/>
  <c r="E1052"/>
  <c r="M1052"/>
  <c r="E1053"/>
  <c r="M1053"/>
  <c r="E1054"/>
  <c r="M1054"/>
  <c r="E1055"/>
  <c r="M1055"/>
  <c r="E1056"/>
  <c r="M1056"/>
  <c r="E1057"/>
  <c r="M1057"/>
  <c r="E1058"/>
  <c r="M1058"/>
  <c r="E1059"/>
  <c r="M1059"/>
  <c r="E1060"/>
  <c r="M1060"/>
  <c r="E1061"/>
  <c r="M1061"/>
  <c r="E1062"/>
  <c r="M1062"/>
  <c r="E1063"/>
  <c r="M1063"/>
  <c r="E1064"/>
  <c r="M1064"/>
  <c r="E1065"/>
  <c r="M1065"/>
  <c r="E1066"/>
  <c r="M1066"/>
  <c r="E1067"/>
  <c r="M1067"/>
  <c r="E1068"/>
  <c r="M1068"/>
  <c r="E1069"/>
  <c r="M1069"/>
  <c r="E1070"/>
  <c r="M1070"/>
  <c r="E1071"/>
  <c r="M1071"/>
  <c r="E1072"/>
  <c r="M1072"/>
  <c r="E1073"/>
  <c r="M1073"/>
  <c r="E1074"/>
  <c r="M1074"/>
  <c r="E1075"/>
  <c r="M1075"/>
  <c r="E1076"/>
  <c r="M1076"/>
  <c r="E1077"/>
  <c r="M1077"/>
  <c r="E1078"/>
  <c r="M1078"/>
  <c r="E1079"/>
  <c r="M1079"/>
  <c r="E1080"/>
  <c r="M1080"/>
  <c r="E1081"/>
  <c r="M1081"/>
  <c r="E1082"/>
  <c r="M1082"/>
  <c r="E1083"/>
  <c r="M1083"/>
  <c r="E1084"/>
  <c r="M1084"/>
  <c r="E1085"/>
  <c r="M1085"/>
  <c r="E1086"/>
  <c r="M1086"/>
  <c r="E1087"/>
  <c r="M1087"/>
  <c r="E1088"/>
  <c r="M1088"/>
  <c r="E1089"/>
  <c r="M1089"/>
  <c r="E1090"/>
  <c r="M1090"/>
  <c r="E1091"/>
  <c r="M1091"/>
  <c r="E1092"/>
  <c r="M1092"/>
  <c r="E1093"/>
  <c r="M1093"/>
  <c r="E1094"/>
  <c r="M1094"/>
  <c r="E1095"/>
  <c r="M1095"/>
  <c r="E1096"/>
  <c r="M1096"/>
  <c r="E1097"/>
  <c r="M1097"/>
  <c r="E1098"/>
  <c r="M1098"/>
  <c r="E1099"/>
  <c r="M1099"/>
  <c r="E1100"/>
  <c r="M1100"/>
  <c r="E1101"/>
  <c r="M1101"/>
  <c r="E1102"/>
  <c r="M1102"/>
  <c r="E1103"/>
  <c r="M1103"/>
  <c r="E1104"/>
  <c r="M1104"/>
  <c r="E1105"/>
  <c r="M1105"/>
  <c r="E1106"/>
  <c r="M1106"/>
  <c r="E1107"/>
  <c r="M1107"/>
  <c r="E1108"/>
  <c r="M1108"/>
  <c r="E1109"/>
  <c r="M1109"/>
  <c r="E1110"/>
  <c r="M1110"/>
  <c r="E1111"/>
  <c r="M1111"/>
  <c r="E1112"/>
  <c r="M1112"/>
  <c r="E1113"/>
  <c r="M1113"/>
  <c r="E1114"/>
  <c r="M1114"/>
  <c r="E1115"/>
  <c r="M1115"/>
  <c r="E1116"/>
  <c r="M1116"/>
  <c r="E1117"/>
  <c r="M1117"/>
  <c r="E1118"/>
  <c r="M1118"/>
  <c r="E1119"/>
  <c r="M1119"/>
  <c r="E1120"/>
  <c r="M1120"/>
  <c r="E1121"/>
  <c r="M1121"/>
  <c r="E1122"/>
  <c r="M1122"/>
  <c r="E1123"/>
  <c r="M1123"/>
  <c r="E1124"/>
  <c r="M1124"/>
  <c r="E1125"/>
  <c r="M1125"/>
  <c r="E1126"/>
  <c r="M1126"/>
  <c r="E1127"/>
  <c r="M1127"/>
  <c r="E1128"/>
  <c r="M1128"/>
  <c r="E1129"/>
  <c r="M1129"/>
  <c r="E1130"/>
  <c r="M1130"/>
  <c r="E1131"/>
  <c r="M1131"/>
  <c r="E1132"/>
  <c r="M1132"/>
  <c r="E1133"/>
  <c r="M1133"/>
  <c r="E1134"/>
  <c r="M1134"/>
  <c r="E1135"/>
  <c r="M1135"/>
  <c r="E1136"/>
  <c r="M1136"/>
  <c r="E1137"/>
  <c r="M1137"/>
  <c r="E1138"/>
  <c r="M1138"/>
  <c r="E1139"/>
  <c r="M1139"/>
  <c r="E1140"/>
  <c r="M1140"/>
  <c r="E1141"/>
  <c r="M1141"/>
  <c r="E1142"/>
  <c r="M1142"/>
  <c r="E1143"/>
  <c r="M1143"/>
  <c r="E1144"/>
  <c r="M1144"/>
  <c r="E1145"/>
  <c r="M1145"/>
  <c r="E1146"/>
  <c r="M1146"/>
  <c r="E1147"/>
  <c r="M1147"/>
  <c r="E1148"/>
  <c r="M1148"/>
  <c r="E1149"/>
  <c r="M1149"/>
  <c r="E1150"/>
  <c r="M1150"/>
  <c r="E1151"/>
  <c r="M1151"/>
  <c r="E1152"/>
  <c r="M1152"/>
  <c r="E1153"/>
  <c r="M1153"/>
  <c r="E1154"/>
  <c r="M1154"/>
  <c r="E1155"/>
  <c r="M1155"/>
  <c r="E1156"/>
  <c r="M1156"/>
  <c r="E1157"/>
  <c r="M1157"/>
  <c r="E1158"/>
  <c r="M1158"/>
  <c r="E1159"/>
  <c r="M1159"/>
  <c r="E1160"/>
  <c r="M1160"/>
  <c r="E1161"/>
  <c r="M1161"/>
  <c r="E1162"/>
  <c r="M1162"/>
  <c r="E1163"/>
  <c r="M1163"/>
  <c r="E1164"/>
  <c r="M1164"/>
  <c r="E1165"/>
  <c r="M1165"/>
  <c r="E1166"/>
  <c r="M1166"/>
  <c r="E1167"/>
  <c r="M1167"/>
  <c r="E1168"/>
  <c r="M1168"/>
  <c r="E1169"/>
  <c r="M1169"/>
  <c r="E1170"/>
  <c r="M1170"/>
  <c r="E1171"/>
  <c r="M1171"/>
  <c r="E1172"/>
  <c r="M1172"/>
  <c r="E1173"/>
  <c r="M1173"/>
  <c r="E1174"/>
  <c r="M1174"/>
  <c r="E1175"/>
  <c r="M1175"/>
  <c r="E1176"/>
  <c r="M1176"/>
  <c r="E1177"/>
  <c r="M1177"/>
  <c r="E1178"/>
  <c r="M1178"/>
  <c r="E1179"/>
  <c r="M1179"/>
  <c r="E1180"/>
  <c r="M1180"/>
  <c r="E1181"/>
  <c r="M1181"/>
  <c r="E1182"/>
  <c r="M1182"/>
  <c r="E1183"/>
  <c r="M1183"/>
  <c r="E1184"/>
  <c r="M1184"/>
  <c r="E1185"/>
  <c r="M1185"/>
  <c r="E1186"/>
  <c r="M1186"/>
  <c r="E1187"/>
  <c r="M1187"/>
  <c r="E1188"/>
  <c r="M1188"/>
  <c r="E1189"/>
  <c r="M1189"/>
  <c r="E1190"/>
  <c r="M1190"/>
  <c r="E1191"/>
  <c r="M1191"/>
  <c r="E1192"/>
  <c r="M1192"/>
  <c r="E1193"/>
  <c r="M1193"/>
  <c r="E1194"/>
  <c r="M1194"/>
  <c r="E1195"/>
  <c r="M1195"/>
  <c r="E1196"/>
  <c r="M1196"/>
  <c r="E1197"/>
  <c r="M1197"/>
  <c r="E1198"/>
  <c r="M1198"/>
  <c r="E1199"/>
  <c r="M1199"/>
  <c r="E1200"/>
  <c r="M1200"/>
  <c r="E1201"/>
  <c r="M1201"/>
  <c r="E1202"/>
  <c r="M1202"/>
  <c r="E1203"/>
  <c r="M1203"/>
  <c r="E1204"/>
  <c r="M1204"/>
  <c r="E1205"/>
  <c r="M1205"/>
  <c r="E1206"/>
  <c r="M1206"/>
  <c r="E1207"/>
  <c r="M1207"/>
  <c r="E1208"/>
  <c r="M1208"/>
  <c r="E1209"/>
  <c r="M1209"/>
  <c r="E1210"/>
  <c r="M1210"/>
  <c r="E1211"/>
  <c r="M1211"/>
  <c r="E1212"/>
  <c r="M1212"/>
  <c r="E1213"/>
  <c r="M1213"/>
  <c r="E1214"/>
  <c r="M1214"/>
  <c r="E1215"/>
  <c r="M1215"/>
  <c r="E1216"/>
  <c r="M1216"/>
  <c r="E1217"/>
  <c r="M1217"/>
  <c r="E1218"/>
  <c r="M1218"/>
  <c r="E1219"/>
  <c r="M1219"/>
  <c r="E1220"/>
  <c r="M1220"/>
  <c r="E1221"/>
  <c r="M1221"/>
  <c r="E1222"/>
  <c r="M1222"/>
  <c r="E1223"/>
  <c r="M1223"/>
  <c r="E1224"/>
  <c r="M1224"/>
  <c r="E1225"/>
  <c r="M1225"/>
  <c r="E1226"/>
  <c r="M1226"/>
  <c r="E1227"/>
  <c r="M1227"/>
  <c r="E1228"/>
  <c r="M1228"/>
  <c r="E1229"/>
  <c r="M1229"/>
  <c r="E1230"/>
  <c r="M1230"/>
  <c r="E1231"/>
  <c r="M1231"/>
  <c r="E1232"/>
  <c r="M1232"/>
  <c r="E1233"/>
  <c r="M1233"/>
  <c r="E1234"/>
  <c r="M1234"/>
  <c r="E1235"/>
  <c r="M1235"/>
  <c r="E1236"/>
  <c r="M1236"/>
  <c r="E1237"/>
  <c r="M1237"/>
  <c r="E1238"/>
  <c r="M1238"/>
  <c r="E1239"/>
  <c r="M1239"/>
  <c r="E1240"/>
  <c r="M1240"/>
  <c r="E1241"/>
  <c r="M1241"/>
  <c r="E1242"/>
  <c r="M1242"/>
  <c r="E1243"/>
  <c r="M1243"/>
  <c r="E1244"/>
  <c r="M1244"/>
  <c r="E1245"/>
  <c r="M1245"/>
  <c r="E1246"/>
  <c r="M1246"/>
  <c r="E1247"/>
  <c r="M1247"/>
  <c r="E1248"/>
  <c r="M1248"/>
  <c r="E1249"/>
  <c r="M1249"/>
  <c r="E1250"/>
  <c r="M1250"/>
  <c r="E1251"/>
  <c r="M1251"/>
  <c r="E1252"/>
  <c r="M1252"/>
  <c r="E1253"/>
  <c r="M1253"/>
  <c r="E1254"/>
  <c r="M1254"/>
  <c r="E1255"/>
  <c r="M1255"/>
  <c r="E1256"/>
  <c r="M1256"/>
  <c r="E1257"/>
  <c r="M1257"/>
  <c r="E1258"/>
  <c r="M1258"/>
  <c r="E1259"/>
  <c r="M1259"/>
  <c r="E1260"/>
  <c r="M1260"/>
  <c r="E1261"/>
  <c r="M1261"/>
  <c r="E1262"/>
  <c r="M1262"/>
  <c r="E1263"/>
  <c r="M1263"/>
  <c r="E1264"/>
  <c r="M1264"/>
  <c r="E1265"/>
  <c r="M1265"/>
  <c r="E1266"/>
  <c r="M1266"/>
  <c r="B1267"/>
  <c r="F1267"/>
  <c r="M1267"/>
  <c r="E1268"/>
  <c r="M1268"/>
  <c r="E1269"/>
  <c r="M1269"/>
  <c r="E1270"/>
  <c r="M1270"/>
  <c r="E1271"/>
  <c r="M1271"/>
  <c r="E1272"/>
  <c r="M1272"/>
  <c r="E1273"/>
  <c r="M1273"/>
  <c r="E1274"/>
  <c r="M1274"/>
  <c r="E1275"/>
  <c r="M1275"/>
  <c r="E1276"/>
  <c r="M1276"/>
  <c r="E1277"/>
  <c r="M1277"/>
  <c r="E1278"/>
  <c r="M1278"/>
  <c r="E1279"/>
  <c r="M1279"/>
  <c r="E1280"/>
  <c r="M1280"/>
  <c r="E1281"/>
  <c r="M1281"/>
  <c r="E1282"/>
  <c r="M1282"/>
  <c r="E1283"/>
  <c r="M1283"/>
  <c r="E1284"/>
  <c r="M1284"/>
  <c r="E1285"/>
  <c r="M1285"/>
  <c r="E1286"/>
  <c r="M1286"/>
  <c r="E1287"/>
  <c r="M1287"/>
  <c r="E1288"/>
  <c r="M1288"/>
  <c r="E1289"/>
  <c r="M1289"/>
  <c r="E1290"/>
  <c r="M1290"/>
  <c r="E1291"/>
  <c r="M1291"/>
  <c r="E1292"/>
  <c r="M1292"/>
  <c r="E1293"/>
  <c r="M1293"/>
  <c r="E1294"/>
  <c r="M1294"/>
  <c r="E1295"/>
  <c r="M1295"/>
  <c r="E1296"/>
  <c r="M1296"/>
  <c r="E1297"/>
  <c r="M1297"/>
  <c r="E1298"/>
  <c r="M1298"/>
  <c r="E1299"/>
  <c r="M1299"/>
  <c r="E1300"/>
  <c r="M1300"/>
  <c r="E1301"/>
  <c r="M1301"/>
  <c r="E1302"/>
  <c r="M1302"/>
  <c r="E1303"/>
  <c r="M1303"/>
  <c r="E1304"/>
  <c r="M1304"/>
  <c r="E1305"/>
  <c r="M1305"/>
  <c r="E1306"/>
  <c r="M1306"/>
  <c r="E1307"/>
  <c r="M1307"/>
  <c r="E1308"/>
  <c r="M1308"/>
  <c r="E1309"/>
  <c r="M1309"/>
  <c r="E1310"/>
  <c r="M1310"/>
  <c r="E1311"/>
  <c r="M1311"/>
  <c r="E1312"/>
  <c r="M1312"/>
  <c r="E1313"/>
  <c r="M1313"/>
  <c r="E1314"/>
  <c r="M1314"/>
  <c r="E1315"/>
  <c r="M1315"/>
  <c r="E1316"/>
  <c r="M1316"/>
  <c r="E1317"/>
  <c r="M1317"/>
  <c r="E1318"/>
  <c r="M1318"/>
  <c r="E1319"/>
  <c r="M1319"/>
  <c r="E1320"/>
  <c r="M1320"/>
  <c r="E1321"/>
  <c r="M1321"/>
  <c r="E1322"/>
  <c r="M1322"/>
  <c r="E1323"/>
  <c r="M1323"/>
  <c r="E1324"/>
  <c r="M1324"/>
  <c r="E1325"/>
  <c r="M1325"/>
  <c r="E1326"/>
  <c r="M1326"/>
  <c r="E1327"/>
  <c r="M1327"/>
  <c r="E1328"/>
  <c r="M1328"/>
  <c r="E1329"/>
  <c r="M1329"/>
  <c r="E1330"/>
  <c r="M1330"/>
  <c r="E1331"/>
  <c r="M1331"/>
  <c r="E1332"/>
  <c r="M1332"/>
  <c r="E1333"/>
  <c r="M1333"/>
  <c r="E1334"/>
  <c r="M1334"/>
  <c r="E1335"/>
  <c r="M1335"/>
  <c r="E1336"/>
  <c r="M1336"/>
  <c r="E1337"/>
  <c r="M1337"/>
  <c r="E1338"/>
  <c r="M1338"/>
  <c r="E1339"/>
  <c r="M1339"/>
  <c r="E1340"/>
  <c r="M1340"/>
  <c r="E1341"/>
  <c r="M1341"/>
  <c r="E1342"/>
  <c r="M1342"/>
  <c r="E1343"/>
  <c r="M1343"/>
  <c r="E1344"/>
  <c r="M1344"/>
  <c r="E1345"/>
  <c r="M1345"/>
  <c r="E1346"/>
  <c r="M1346"/>
  <c r="E1347"/>
  <c r="M1347"/>
  <c r="E1348"/>
  <c r="M1348"/>
  <c r="E1349"/>
  <c r="M1349"/>
  <c r="E1350"/>
  <c r="M1350"/>
  <c r="E1351"/>
  <c r="M1351"/>
  <c r="E1352"/>
  <c r="M1352"/>
  <c r="E1353"/>
  <c r="M1353"/>
  <c r="E1354"/>
  <c r="M1354"/>
  <c r="E1355"/>
  <c r="M1355"/>
  <c r="E1356"/>
  <c r="M1356"/>
  <c r="E1357"/>
  <c r="M1357"/>
  <c r="E1358"/>
  <c r="M1358"/>
  <c r="E1359"/>
  <c r="M1359"/>
  <c r="E1360"/>
  <c r="M1360"/>
  <c r="E1361"/>
  <c r="M1361"/>
  <c r="E1362"/>
  <c r="M1362"/>
  <c r="E1363"/>
  <c r="M1363"/>
  <c r="E1364"/>
  <c r="M1364"/>
  <c r="E1365"/>
  <c r="M1365"/>
  <c r="E1366"/>
  <c r="M1366"/>
  <c r="E1367"/>
  <c r="M1367"/>
  <c r="E1368"/>
  <c r="M1368"/>
  <c r="E1369"/>
  <c r="M1369"/>
  <c r="E1370"/>
  <c r="M1370"/>
  <c r="E1371"/>
  <c r="M1371"/>
  <c r="E1372"/>
  <c r="M1372"/>
  <c r="E1373"/>
  <c r="M1373"/>
  <c r="E1374"/>
  <c r="M1374"/>
  <c r="E1375"/>
  <c r="M1375"/>
  <c r="E1376"/>
  <c r="M1376"/>
  <c r="E1377"/>
  <c r="M1377"/>
  <c r="E1378"/>
  <c r="M1378"/>
  <c r="E1379"/>
  <c r="M1379"/>
  <c r="E1380"/>
  <c r="M1380"/>
  <c r="E1381"/>
  <c r="M1381"/>
  <c r="E1382"/>
  <c r="M1382"/>
  <c r="E1383"/>
  <c r="M1383"/>
  <c r="E1384"/>
  <c r="M1384"/>
  <c r="E1385"/>
  <c r="M1385"/>
  <c r="E1386"/>
  <c r="M1386"/>
  <c r="E1387"/>
  <c r="M1387"/>
  <c r="E1388"/>
  <c r="M1388"/>
  <c r="E1389"/>
  <c r="M1389"/>
  <c r="E1390"/>
  <c r="M1390"/>
  <c r="E1391"/>
  <c r="M1391"/>
  <c r="E1392"/>
  <c r="M1392"/>
  <c r="E1393"/>
  <c r="M1393"/>
  <c r="E1394"/>
  <c r="M1394"/>
  <c r="E1395"/>
  <c r="M1395"/>
  <c r="E1396"/>
  <c r="M1396"/>
  <c r="E1397"/>
  <c r="M1397"/>
  <c r="E1398"/>
  <c r="M1398"/>
  <c r="E1399"/>
  <c r="M1399"/>
  <c r="E1400"/>
  <c r="M1400"/>
  <c r="E1401"/>
  <c r="M1401"/>
  <c r="E1402"/>
  <c r="M1402"/>
  <c r="E1403"/>
  <c r="M1403"/>
  <c r="E1404"/>
  <c r="M1404"/>
  <c r="E1405"/>
  <c r="M1405"/>
  <c r="E1406"/>
  <c r="M1406"/>
  <c r="E1407"/>
  <c r="M1407"/>
  <c r="E1408"/>
  <c r="M1408"/>
  <c r="E1409"/>
  <c r="M1409"/>
  <c r="E1410"/>
  <c r="M1410"/>
  <c r="E1411"/>
  <c r="M1411"/>
  <c r="E1412"/>
  <c r="M1412"/>
  <c r="E1413"/>
  <c r="M1413"/>
  <c r="E1414"/>
  <c r="M1414"/>
  <c r="E1415"/>
  <c r="M1415"/>
  <c r="E1416"/>
  <c r="M1416"/>
  <c r="E1417"/>
  <c r="M1417"/>
  <c r="E1418"/>
  <c r="M1418"/>
  <c r="E1419"/>
  <c r="M1419"/>
  <c r="E1420"/>
  <c r="M1420"/>
  <c r="E1421"/>
  <c r="M1421"/>
  <c r="E1422"/>
  <c r="M1422"/>
  <c r="E1423"/>
  <c r="M1423"/>
  <c r="E1424"/>
  <c r="M1424"/>
  <c r="E1425"/>
  <c r="M1425"/>
  <c r="E1426"/>
  <c r="M1426"/>
  <c r="E1427"/>
  <c r="M1427"/>
  <c r="E1428"/>
  <c r="M1428"/>
  <c r="E1429"/>
  <c r="M1429"/>
  <c r="E1430"/>
  <c r="M1430"/>
  <c r="E1431"/>
  <c r="M1431"/>
  <c r="E1432"/>
  <c r="M1432"/>
  <c r="E1433"/>
  <c r="M1433"/>
  <c r="E1434"/>
  <c r="M1434"/>
  <c r="E1435"/>
  <c r="M1435"/>
  <c r="E1436"/>
  <c r="M1436"/>
  <c r="E1437"/>
  <c r="M1437"/>
  <c r="E1438"/>
  <c r="M1438"/>
  <c r="E1439"/>
  <c r="M1439"/>
  <c r="E1440"/>
  <c r="M1440"/>
  <c r="E1441"/>
  <c r="M1441"/>
  <c r="E1442"/>
  <c r="M1442"/>
  <c r="E1443"/>
  <c r="M1443"/>
  <c r="E1444"/>
  <c r="M1444"/>
  <c r="E1445"/>
  <c r="M1445"/>
  <c r="E1446"/>
  <c r="M1446"/>
  <c r="E1447"/>
  <c r="M1447"/>
  <c r="E1448"/>
  <c r="M1448"/>
  <c r="E1449"/>
  <c r="M1449"/>
  <c r="E1450"/>
  <c r="M1450"/>
  <c r="E1451"/>
  <c r="M1451"/>
  <c r="E1452"/>
  <c r="M1452"/>
  <c r="E1453"/>
  <c r="M1453"/>
  <c r="E1454"/>
  <c r="M1454"/>
  <c r="E1455"/>
  <c r="M1455"/>
  <c r="E1456"/>
  <c r="M1456"/>
  <c r="E1457"/>
  <c r="M1457"/>
  <c r="E1458"/>
  <c r="M1458"/>
  <c r="E1459"/>
  <c r="M1459"/>
  <c r="E1460"/>
  <c r="M1460"/>
  <c r="E1461"/>
  <c r="M1461"/>
  <c r="E1462"/>
  <c r="M1462"/>
  <c r="E1463"/>
  <c r="M1463"/>
  <c r="E1464"/>
  <c r="M1464"/>
  <c r="E1465"/>
  <c r="M1465"/>
  <c r="E1466"/>
  <c r="M1466"/>
  <c r="E1467"/>
  <c r="M1467"/>
  <c r="E1468"/>
  <c r="M1468"/>
  <c r="E1469"/>
  <c r="M1469"/>
  <c r="E1470"/>
  <c r="M1470"/>
  <c r="E1471"/>
  <c r="M1471"/>
  <c r="E1472"/>
  <c r="M1472"/>
  <c r="E1473"/>
  <c r="M1473"/>
  <c r="E1474"/>
  <c r="M1474"/>
  <c r="E1475"/>
  <c r="M1475"/>
  <c r="E1476"/>
  <c r="M1476"/>
  <c r="E1477"/>
  <c r="M1477"/>
  <c r="E1478"/>
  <c r="M1478"/>
  <c r="E1479"/>
  <c r="M1479"/>
  <c r="E1480"/>
  <c r="M1480"/>
  <c r="E1481"/>
  <c r="M1481"/>
  <c r="E1482"/>
  <c r="M1482"/>
  <c r="E1483"/>
  <c r="M1483"/>
  <c r="E1484"/>
  <c r="M1484"/>
  <c r="E1485"/>
  <c r="M1485"/>
  <c r="E1486"/>
  <c r="M1486"/>
  <c r="E1487"/>
  <c r="M1487"/>
  <c r="E1488"/>
  <c r="M1488"/>
  <c r="E1489"/>
  <c r="M1489"/>
  <c r="E1490"/>
  <c r="M1490"/>
  <c r="E1491"/>
  <c r="M1491"/>
  <c r="E1492"/>
  <c r="M1492"/>
  <c r="E1493"/>
  <c r="M1493"/>
  <c r="E1494"/>
  <c r="M1494"/>
  <c r="E1495"/>
  <c r="M1495"/>
  <c r="E1496"/>
  <c r="M1496"/>
  <c r="E1497"/>
  <c r="M1497"/>
  <c r="E1498"/>
  <c r="M1498"/>
  <c r="E1499"/>
  <c r="M1499"/>
  <c r="E1500"/>
  <c r="M1500"/>
  <c r="E1501"/>
  <c r="M1501"/>
  <c r="E1502"/>
  <c r="M1502"/>
  <c r="E1503"/>
  <c r="M1503"/>
  <c r="E1504"/>
  <c r="M1504"/>
  <c r="E1505"/>
  <c r="M1505"/>
  <c r="E1506"/>
  <c r="M1506"/>
  <c r="E1507"/>
  <c r="M1507"/>
  <c r="E1508"/>
  <c r="M1508"/>
  <c r="E1509"/>
  <c r="M1509"/>
  <c r="E1510"/>
  <c r="M1510"/>
  <c r="E1511"/>
  <c r="M1511"/>
  <c r="E1512"/>
  <c r="M1512"/>
  <c r="E1513"/>
  <c r="M1513"/>
  <c r="E1514"/>
  <c r="M1514"/>
  <c r="E1515"/>
  <c r="M1515"/>
  <c r="E1516"/>
  <c r="M1516"/>
  <c r="E1517"/>
  <c r="M1517"/>
  <c r="E1518"/>
  <c r="M1518"/>
  <c r="E1519"/>
  <c r="M1519"/>
  <c r="E1520"/>
  <c r="M1520"/>
  <c r="E1521"/>
  <c r="M1521"/>
  <c r="E1522"/>
  <c r="M1522"/>
  <c r="E1523"/>
  <c r="M1523"/>
  <c r="E1524"/>
  <c r="M1524"/>
  <c r="E1525"/>
  <c r="M1525"/>
  <c r="E1526"/>
  <c r="M1526"/>
  <c r="E1527"/>
  <c r="M1527"/>
  <c r="E1528"/>
  <c r="M1528"/>
  <c r="E1529"/>
  <c r="M1529"/>
  <c r="E1530"/>
  <c r="M1530"/>
  <c r="E1531"/>
  <c r="M1531"/>
  <c r="E1532"/>
  <c r="M1532"/>
  <c r="E1533"/>
  <c r="M1533"/>
  <c r="E1534"/>
  <c r="M1534"/>
  <c r="E1535"/>
  <c r="M1535"/>
  <c r="E1536"/>
  <c r="M1536"/>
  <c r="E1537"/>
  <c r="M1537"/>
  <c r="E1538"/>
  <c r="M1538"/>
  <c r="E1539"/>
  <c r="M1539"/>
  <c r="E1540"/>
  <c r="M1540"/>
  <c r="E1541"/>
  <c r="M1541"/>
  <c r="E1542"/>
  <c r="M1542"/>
  <c r="E1543"/>
  <c r="M1543"/>
  <c r="E1544"/>
  <c r="M1544"/>
  <c r="E1545"/>
  <c r="M1545"/>
  <c r="E1546"/>
  <c r="M1546"/>
  <c r="E1547"/>
  <c r="M1547"/>
  <c r="E1548"/>
  <c r="M1548"/>
  <c r="E1549"/>
  <c r="M1549"/>
  <c r="E1550"/>
  <c r="M1550"/>
  <c r="E1551"/>
  <c r="M1551"/>
  <c r="E1552"/>
  <c r="M1552"/>
  <c r="E1553"/>
  <c r="M1553"/>
  <c r="E1554"/>
  <c r="M1554"/>
  <c r="E1555"/>
  <c r="M1555"/>
  <c r="E1556"/>
  <c r="M1556"/>
  <c r="E1557"/>
  <c r="M1557"/>
  <c r="E1558"/>
  <c r="M1558"/>
  <c r="E1559"/>
  <c r="M1559"/>
  <c r="E1560"/>
  <c r="M1560"/>
  <c r="E1561"/>
  <c r="M1561"/>
  <c r="E1562"/>
  <c r="M1562"/>
  <c r="E1563"/>
  <c r="M1563"/>
  <c r="E1564"/>
  <c r="M1564"/>
  <c r="E1565"/>
  <c r="M1565"/>
  <c r="E1566"/>
  <c r="M1566"/>
  <c r="E1567"/>
  <c r="M1567"/>
  <c r="E1568"/>
  <c r="M1568"/>
  <c r="E1569"/>
  <c r="M1569"/>
  <c r="E1570"/>
  <c r="M1570"/>
  <c r="E1571"/>
  <c r="M1571"/>
  <c r="E1572"/>
  <c r="M1572"/>
  <c r="E1573"/>
  <c r="M1573"/>
  <c r="E1574"/>
  <c r="M1574"/>
  <c r="E1575"/>
  <c r="M1575"/>
  <c r="E1576"/>
  <c r="M1576"/>
  <c r="E1577"/>
  <c r="M1577"/>
  <c r="E1578"/>
  <c r="M1578"/>
  <c r="E1579"/>
  <c r="M1579"/>
  <c r="E1580"/>
  <c r="M1580"/>
  <c r="E1581"/>
  <c r="M1581"/>
  <c r="E1582"/>
  <c r="M1582"/>
  <c r="E1583"/>
  <c r="M1583"/>
  <c r="E1584"/>
  <c r="M1584"/>
  <c r="E1585"/>
  <c r="M1585"/>
  <c r="E1586"/>
  <c r="M1586"/>
  <c r="E1587"/>
  <c r="M1587"/>
  <c r="E1588"/>
  <c r="M1588"/>
  <c r="E1589"/>
  <c r="M1589"/>
  <c r="E1590"/>
  <c r="M1590"/>
  <c r="E1591"/>
  <c r="M1591"/>
  <c r="E1592"/>
  <c r="M1592"/>
  <c r="E1593"/>
  <c r="M1593"/>
  <c r="E1594"/>
  <c r="M1594"/>
  <c r="E1595"/>
  <c r="M1595"/>
  <c r="E1596"/>
  <c r="M1596"/>
  <c r="E1597"/>
  <c r="M1597"/>
  <c r="E1598"/>
  <c r="M1598"/>
  <c r="E1599"/>
  <c r="M1599"/>
  <c r="E1600"/>
  <c r="M1600"/>
  <c r="E1601"/>
  <c r="M1601"/>
  <c r="E1602"/>
  <c r="M1602"/>
  <c r="E1603"/>
  <c r="M1603"/>
  <c r="E1604"/>
  <c r="M1604"/>
  <c r="E1605"/>
  <c r="M1605"/>
  <c r="E1606"/>
  <c r="M1606"/>
  <c r="E1607"/>
  <c r="M1607"/>
  <c r="E1608"/>
  <c r="M1608"/>
  <c r="E1609"/>
  <c r="M1609"/>
  <c r="E1610"/>
  <c r="M1610"/>
  <c r="E1611"/>
  <c r="M1611"/>
  <c r="E1612"/>
  <c r="M1612"/>
  <c r="E1613"/>
  <c r="M1613"/>
  <c r="E1614"/>
  <c r="M1614"/>
  <c r="E1615"/>
  <c r="M1615"/>
  <c r="E1616"/>
  <c r="M1616"/>
  <c r="E1617"/>
  <c r="M1617"/>
  <c r="E1618"/>
  <c r="M1618"/>
  <c r="E1619"/>
  <c r="M1619"/>
  <c r="E1620"/>
  <c r="M1620"/>
  <c r="E1621"/>
  <c r="M1621"/>
  <c r="E1622"/>
  <c r="M1622"/>
  <c r="E1623"/>
  <c r="M1623"/>
  <c r="E1624"/>
  <c r="M1624"/>
  <c r="E1625"/>
  <c r="M1625"/>
  <c r="E1626"/>
  <c r="M1626"/>
  <c r="E1627"/>
  <c r="M1627"/>
  <c r="E1628"/>
  <c r="M1628"/>
  <c r="E1629"/>
  <c r="M1629"/>
  <c r="E1630"/>
  <c r="M1630"/>
  <c r="E1631"/>
  <c r="M1631"/>
  <c r="E1632"/>
  <c r="M1632"/>
  <c r="E1633"/>
  <c r="M1633"/>
  <c r="E1634"/>
  <c r="M1634"/>
  <c r="E1635"/>
  <c r="M1635"/>
  <c r="E1636"/>
  <c r="M1636"/>
  <c r="E1637"/>
  <c r="M1637"/>
  <c r="E1638"/>
  <c r="M1638"/>
  <c r="E1639"/>
  <c r="M1639"/>
  <c r="E1640"/>
  <c r="M1640"/>
  <c r="E1641"/>
  <c r="M1641"/>
  <c r="E1642"/>
  <c r="M1642"/>
  <c r="E1643"/>
  <c r="M1643"/>
  <c r="E1644"/>
  <c r="M1644"/>
  <c r="E1645"/>
  <c r="M1645"/>
  <c r="E1646"/>
  <c r="M1646"/>
  <c r="E1647"/>
  <c r="M1647"/>
  <c r="E1648"/>
  <c r="M1648"/>
  <c r="E1649"/>
  <c r="M1649"/>
  <c r="E1650"/>
  <c r="M1650"/>
  <c r="E1651"/>
  <c r="M1651"/>
  <c r="E1652"/>
  <c r="M1652"/>
  <c r="E1653"/>
  <c r="M1653"/>
  <c r="E1654"/>
  <c r="M1654"/>
  <c r="E1655"/>
  <c r="M1655"/>
  <c r="E1656"/>
  <c r="M1656"/>
  <c r="E1657"/>
  <c r="M1657"/>
  <c r="E1658"/>
  <c r="M1658"/>
  <c r="E1659"/>
  <c r="M1659"/>
  <c r="E1660"/>
  <c r="M1660"/>
  <c r="E1661"/>
  <c r="M1661"/>
  <c r="E1662"/>
  <c r="M1662"/>
  <c r="E1663"/>
  <c r="M1663"/>
  <c r="E1664"/>
  <c r="M1664"/>
  <c r="E1665"/>
  <c r="M1665"/>
  <c r="E1666"/>
  <c r="M1666"/>
  <c r="E1667"/>
  <c r="M1667"/>
  <c r="E1668"/>
  <c r="M1668"/>
  <c r="E1669"/>
  <c r="M1669"/>
  <c r="E1670"/>
  <c r="M1670"/>
  <c r="E1671"/>
  <c r="M1671"/>
  <c r="E1672"/>
  <c r="M1672"/>
  <c r="E1673"/>
  <c r="M1673"/>
  <c r="E1674"/>
  <c r="M1674"/>
  <c r="E1675"/>
  <c r="M1675"/>
  <c r="E1676"/>
  <c r="M1676"/>
  <c r="E1677"/>
  <c r="M1677"/>
  <c r="E1678"/>
  <c r="M1678"/>
  <c r="E1679"/>
  <c r="M1679"/>
  <c r="E1680"/>
  <c r="M1680"/>
  <c r="E1681"/>
  <c r="M1681"/>
  <c r="E1682"/>
  <c r="M1682"/>
  <c r="E1683"/>
  <c r="M1683"/>
  <c r="E1684"/>
  <c r="M1684"/>
  <c r="E1685"/>
  <c r="M1685"/>
  <c r="E1686"/>
  <c r="M1686"/>
  <c r="E1687"/>
  <c r="M1687"/>
  <c r="E1688"/>
  <c r="M1688"/>
  <c r="E1689"/>
  <c r="M1689"/>
  <c r="E1690"/>
  <c r="M1690"/>
  <c r="E1691"/>
  <c r="M1691"/>
  <c r="E1692"/>
  <c r="M1692"/>
  <c r="E1693"/>
  <c r="M1693"/>
  <c r="E1694"/>
  <c r="M1694"/>
  <c r="E1695"/>
  <c r="M1695"/>
  <c r="E1696"/>
  <c r="M1696"/>
  <c r="E1697"/>
  <c r="M1697"/>
  <c r="E1698"/>
  <c r="M1698"/>
  <c r="E1699"/>
  <c r="M1699"/>
  <c r="E1700"/>
  <c r="M1700"/>
  <c r="E1701"/>
  <c r="M1701"/>
  <c r="E1702"/>
  <c r="M1702"/>
  <c r="E1703"/>
  <c r="M1703"/>
  <c r="E1704"/>
  <c r="M1704"/>
  <c r="E1705"/>
  <c r="M1705"/>
  <c r="E1706"/>
  <c r="M1706"/>
  <c r="E1707"/>
  <c r="M1707"/>
  <c r="E1708"/>
  <c r="M1708"/>
  <c r="E1709"/>
  <c r="M1709"/>
  <c r="E1710"/>
  <c r="M1710"/>
  <c r="E1711"/>
  <c r="M1711"/>
  <c r="E1712"/>
  <c r="M1712"/>
  <c r="E1713"/>
  <c r="M1713"/>
  <c r="E1714"/>
  <c r="M1714"/>
  <c r="E1715"/>
  <c r="M1715"/>
  <c r="E1716"/>
  <c r="M1716"/>
  <c r="E1717"/>
  <c r="M1717"/>
  <c r="E1718"/>
  <c r="M1718"/>
  <c r="E1719"/>
  <c r="M1719"/>
  <c r="E1720"/>
  <c r="M1720"/>
  <c r="E1721"/>
  <c r="M1721"/>
  <c r="E1722"/>
  <c r="M1722"/>
  <c r="E1723"/>
  <c r="M1723"/>
  <c r="E1724"/>
  <c r="M1724"/>
  <c r="E1725"/>
  <c r="M1725"/>
  <c r="E1726"/>
  <c r="M1726"/>
  <c r="E1727"/>
  <c r="M1727"/>
  <c r="E1728"/>
  <c r="M1728"/>
  <c r="E1729"/>
  <c r="M1729"/>
  <c r="N1729"/>
  <c r="V1729"/>
  <c r="E1730"/>
  <c r="M1730"/>
  <c r="E1731"/>
  <c r="M1731"/>
  <c r="E1732"/>
  <c r="M1732"/>
  <c r="E1733"/>
  <c r="M1733"/>
  <c r="E1734"/>
  <c r="M1734"/>
  <c r="E1735"/>
  <c r="M1735"/>
  <c r="E1736"/>
  <c r="M1736"/>
  <c r="E1737"/>
  <c r="M1737"/>
  <c r="E1738"/>
  <c r="M1738"/>
  <c r="E1739"/>
  <c r="M1739"/>
  <c r="E1740"/>
  <c r="M1740"/>
  <c r="E1741"/>
  <c r="M1741"/>
  <c r="E1742"/>
  <c r="M1742"/>
  <c r="E1743"/>
  <c r="M1743"/>
  <c r="E1744"/>
  <c r="M1744"/>
  <c r="E1745"/>
  <c r="M1745"/>
  <c r="E1746"/>
  <c r="M1746"/>
  <c r="E1747"/>
  <c r="M1747"/>
  <c r="E1748"/>
  <c r="M1748"/>
  <c r="E1749"/>
  <c r="M1749"/>
  <c r="E1750"/>
  <c r="M1750"/>
  <c r="E1751"/>
  <c r="M1751"/>
  <c r="N1751"/>
  <c r="V1751"/>
  <c r="E1752"/>
  <c r="M1752"/>
  <c r="E1753"/>
  <c r="M1753"/>
  <c r="E1754"/>
  <c r="M1754"/>
  <c r="E1755"/>
  <c r="M1755"/>
  <c r="E1756"/>
  <c r="M1756"/>
  <c r="E1757"/>
  <c r="M1757"/>
  <c r="E1758"/>
  <c r="M1758"/>
  <c r="E1759"/>
  <c r="M1759"/>
  <c r="E1760"/>
  <c r="M1760"/>
  <c r="E1761"/>
  <c r="M1761"/>
  <c r="E1762"/>
  <c r="M1762"/>
  <c r="E1763"/>
  <c r="M1763"/>
  <c r="E1764"/>
  <c r="M1764"/>
  <c r="E1765"/>
  <c r="M1765"/>
  <c r="E1766"/>
  <c r="M1766"/>
  <c r="E1767"/>
  <c r="M1767"/>
  <c r="E1768"/>
  <c r="M1768"/>
  <c r="E1769"/>
  <c r="M1769"/>
  <c r="E1770"/>
  <c r="M1770"/>
  <c r="E1771"/>
  <c r="M1771"/>
  <c r="E1772"/>
  <c r="M1772"/>
  <c r="N1772"/>
  <c r="V1772"/>
  <c r="E1773"/>
  <c r="M1773"/>
  <c r="E1774"/>
  <c r="M1774"/>
  <c r="E1775"/>
  <c r="M1775"/>
  <c r="E1776"/>
  <c r="M1776"/>
  <c r="E1777"/>
  <c r="M1777"/>
  <c r="E1778"/>
  <c r="M1778"/>
  <c r="E1779"/>
  <c r="M1779"/>
  <c r="E1780"/>
  <c r="M1780"/>
  <c r="E1781"/>
  <c r="M1781"/>
  <c r="E1782"/>
  <c r="M1782"/>
  <c r="E1783"/>
  <c r="M1783"/>
  <c r="E1784"/>
  <c r="M1784"/>
  <c r="E1785"/>
  <c r="M1785"/>
  <c r="E1786"/>
  <c r="M1786"/>
  <c r="E1787"/>
  <c r="M1787"/>
  <c r="E1788"/>
  <c r="M1788"/>
  <c r="E1789"/>
  <c r="M1789"/>
  <c r="E1790"/>
  <c r="M1790"/>
  <c r="E1791"/>
  <c r="M1791"/>
  <c r="E1792"/>
  <c r="M1792"/>
  <c r="N1792"/>
  <c r="V1792"/>
  <c r="E1793"/>
  <c r="M1793"/>
  <c r="E1794"/>
  <c r="M1794"/>
  <c r="E1795"/>
  <c r="M1795"/>
  <c r="E1796"/>
  <c r="M1796"/>
  <c r="E1797"/>
  <c r="M1797"/>
  <c r="E1798"/>
  <c r="M1798"/>
  <c r="E1799"/>
  <c r="M1799"/>
  <c r="E1800"/>
  <c r="M1800"/>
  <c r="E1801"/>
  <c r="M1801"/>
  <c r="E1802"/>
  <c r="M1802"/>
  <c r="E1803"/>
  <c r="M1803"/>
  <c r="E1804"/>
  <c r="M1804"/>
  <c r="E1805"/>
  <c r="M1805"/>
  <c r="E1806"/>
  <c r="M1806"/>
  <c r="E1807"/>
  <c r="M1807"/>
  <c r="E1808"/>
  <c r="M1808"/>
  <c r="E1809"/>
  <c r="M1809"/>
  <c r="E1810"/>
  <c r="M1810"/>
  <c r="E1811"/>
  <c r="M1811"/>
  <c r="E1812"/>
  <c r="M1812"/>
  <c r="N1812"/>
  <c r="V1812"/>
  <c r="E1813"/>
  <c r="M1813"/>
  <c r="E1814"/>
  <c r="M1814"/>
  <c r="E1815"/>
  <c r="M1815"/>
  <c r="E1816"/>
  <c r="M1816"/>
  <c r="E1817"/>
  <c r="M1817"/>
  <c r="E1818"/>
  <c r="M1818"/>
  <c r="E1819"/>
  <c r="M1819"/>
  <c r="E1820"/>
  <c r="M1820"/>
  <c r="E1821"/>
  <c r="M1821"/>
  <c r="E1822"/>
  <c r="M1822"/>
  <c r="E1823"/>
  <c r="M1823"/>
  <c r="E1824"/>
  <c r="M1824"/>
  <c r="E1825"/>
  <c r="M1825"/>
  <c r="E1826"/>
  <c r="M1826"/>
  <c r="E1827"/>
  <c r="M1827"/>
  <c r="E1828"/>
  <c r="M1828"/>
  <c r="E1829"/>
  <c r="M1829"/>
  <c r="E1830"/>
  <c r="M1830"/>
  <c r="E1831"/>
  <c r="M1831"/>
  <c r="E1832"/>
  <c r="M1832"/>
  <c r="E1833"/>
  <c r="M1833"/>
  <c r="N1833"/>
  <c r="V1833"/>
  <c r="E1834"/>
  <c r="M1834"/>
  <c r="E1835"/>
  <c r="M1835"/>
  <c r="E1836"/>
  <c r="M1836"/>
  <c r="E1837"/>
  <c r="M1837"/>
  <c r="E1838"/>
  <c r="M1838"/>
  <c r="E1839"/>
  <c r="M1839"/>
  <c r="E1840"/>
  <c r="M1840"/>
  <c r="E1841"/>
  <c r="M1841"/>
  <c r="E1842"/>
  <c r="M1842"/>
  <c r="E1843"/>
  <c r="M1843"/>
  <c r="E1844"/>
  <c r="M1844"/>
  <c r="E1845"/>
  <c r="M1845"/>
  <c r="E1846"/>
  <c r="M1846"/>
  <c r="E1847"/>
  <c r="M1847"/>
  <c r="E1848"/>
  <c r="M1848"/>
  <c r="E1849"/>
  <c r="M1849"/>
  <c r="E1850"/>
  <c r="M1850"/>
  <c r="E1851"/>
  <c r="M1851"/>
  <c r="E1852"/>
  <c r="M1852"/>
  <c r="E1853"/>
  <c r="M1853"/>
  <c r="E1854"/>
  <c r="M1854"/>
  <c r="N1854"/>
  <c r="V1854"/>
  <c r="E1855"/>
  <c r="M1855"/>
  <c r="E1856"/>
  <c r="M1856"/>
  <c r="E1857"/>
  <c r="M1857"/>
  <c r="E1858"/>
  <c r="M1858"/>
  <c r="E1859"/>
  <c r="M1859"/>
  <c r="E1860"/>
  <c r="M1860"/>
  <c r="E1861"/>
  <c r="M1861"/>
  <c r="E1862"/>
  <c r="M1862"/>
  <c r="E1863"/>
  <c r="M1863"/>
  <c r="E1864"/>
  <c r="M1864"/>
  <c r="E1865"/>
  <c r="M1865"/>
  <c r="E1866"/>
  <c r="M1866"/>
  <c r="E1867"/>
  <c r="M1867"/>
  <c r="E1868"/>
  <c r="M1868"/>
  <c r="E1869"/>
  <c r="M1869"/>
  <c r="E1870"/>
  <c r="M1870"/>
  <c r="E1871"/>
  <c r="M1871"/>
  <c r="E1872"/>
  <c r="M1872"/>
  <c r="E1873"/>
  <c r="M1873"/>
  <c r="E1874"/>
  <c r="M1874"/>
  <c r="N1874"/>
  <c r="V1874"/>
  <c r="E1875"/>
  <c r="M1875"/>
  <c r="E1876"/>
  <c r="M1876"/>
  <c r="E1877"/>
  <c r="M1877"/>
  <c r="E1878"/>
  <c r="M1878"/>
  <c r="E1879"/>
  <c r="M1879"/>
  <c r="E1880"/>
  <c r="M1880"/>
  <c r="E1881"/>
  <c r="M1881"/>
  <c r="E1882"/>
  <c r="M1882"/>
  <c r="E1883"/>
  <c r="M1883"/>
  <c r="E1884"/>
  <c r="M1884"/>
  <c r="E1885"/>
  <c r="M1885"/>
  <c r="E1886"/>
  <c r="M1886"/>
  <c r="E1887"/>
  <c r="M1887"/>
  <c r="E1888"/>
  <c r="M1888"/>
  <c r="E1889"/>
  <c r="M1889"/>
  <c r="E1890"/>
  <c r="M1890"/>
  <c r="E1891"/>
  <c r="M1891"/>
  <c r="E1892"/>
  <c r="M1892"/>
  <c r="E1893"/>
  <c r="M1893"/>
  <c r="E1894"/>
  <c r="M1894"/>
  <c r="E1895"/>
  <c r="M1895"/>
  <c r="E1896"/>
  <c r="M1896"/>
  <c r="N1896"/>
  <c r="V1896"/>
  <c r="E1897"/>
  <c r="M1897"/>
  <c r="E1898"/>
  <c r="M1898"/>
  <c r="E1899"/>
  <c r="M1899"/>
  <c r="E1900"/>
  <c r="M1900"/>
  <c r="E1901"/>
  <c r="M1901"/>
  <c r="E1902"/>
  <c r="M1902"/>
  <c r="E1903"/>
  <c r="M1903"/>
  <c r="E1904"/>
  <c r="M1904"/>
  <c r="E1905"/>
  <c r="M1905"/>
  <c r="E1906"/>
  <c r="M1906"/>
  <c r="E1907"/>
  <c r="M1907"/>
  <c r="E1908"/>
  <c r="M1908"/>
  <c r="E1909"/>
  <c r="M1909"/>
  <c r="E1910"/>
  <c r="M1910"/>
  <c r="E1911"/>
  <c r="M1911"/>
  <c r="E1912"/>
  <c r="M1912"/>
  <c r="E1913"/>
  <c r="M1913"/>
  <c r="E1914"/>
  <c r="M1914"/>
  <c r="E1915"/>
  <c r="M1915"/>
  <c r="E1916"/>
  <c r="M1916"/>
  <c r="E1917"/>
  <c r="M1917"/>
  <c r="N1917"/>
  <c r="V1917"/>
  <c r="E1918"/>
  <c r="M1918"/>
  <c r="E1919"/>
  <c r="M1919"/>
  <c r="E1920"/>
  <c r="M1920"/>
  <c r="E1921"/>
  <c r="M1921"/>
  <c r="E1922"/>
  <c r="M1922"/>
  <c r="E1923"/>
  <c r="M1923"/>
  <c r="E1924"/>
  <c r="M1924"/>
  <c r="E1925"/>
  <c r="M1925"/>
  <c r="E1926"/>
  <c r="M1926"/>
  <c r="E1927"/>
  <c r="M1927"/>
  <c r="E1928"/>
  <c r="M1928"/>
  <c r="E1929"/>
  <c r="M1929"/>
  <c r="E1930"/>
  <c r="M1930"/>
  <c r="E1931"/>
  <c r="M1931"/>
  <c r="E1932"/>
  <c r="M1932"/>
  <c r="E1933"/>
  <c r="M1933"/>
  <c r="E1934"/>
  <c r="M1934"/>
  <c r="E1935"/>
  <c r="M1935"/>
  <c r="E1936"/>
  <c r="M1936"/>
  <c r="E1937"/>
  <c r="M1937"/>
  <c r="E1938"/>
  <c r="M1938"/>
  <c r="E1939"/>
  <c r="M1939"/>
  <c r="N1939"/>
  <c r="V1939"/>
  <c r="E1940"/>
  <c r="M1940"/>
  <c r="E1941"/>
  <c r="M1941"/>
  <c r="E1942"/>
  <c r="M1942"/>
  <c r="E1943"/>
  <c r="M1943"/>
  <c r="E1944"/>
  <c r="M1944"/>
  <c r="E1945"/>
  <c r="M1945"/>
  <c r="E1946"/>
  <c r="M1946"/>
  <c r="E1947"/>
  <c r="M1947"/>
  <c r="E1948"/>
  <c r="M1948"/>
  <c r="E1949"/>
  <c r="M1949"/>
  <c r="E1950"/>
  <c r="M1950"/>
  <c r="E1951"/>
  <c r="M1951"/>
  <c r="E1952"/>
  <c r="M1952"/>
  <c r="E1953"/>
  <c r="M1953"/>
  <c r="E1954"/>
  <c r="M1954"/>
  <c r="E1955"/>
  <c r="M1955"/>
  <c r="E1956"/>
  <c r="M1956"/>
  <c r="E1957"/>
  <c r="M1957"/>
  <c r="E1958"/>
  <c r="M1958"/>
  <c r="E1959"/>
  <c r="M1959"/>
  <c r="E1960"/>
  <c r="M1960"/>
  <c r="E1961"/>
  <c r="M1961"/>
  <c r="N1961"/>
  <c r="V1961"/>
  <c r="E1962"/>
  <c r="M1962"/>
  <c r="E1963"/>
  <c r="M1963"/>
  <c r="E1964"/>
  <c r="M1964"/>
  <c r="E1965"/>
  <c r="M1965"/>
  <c r="E1966"/>
  <c r="M1966"/>
  <c r="E1967"/>
  <c r="M1967"/>
  <c r="E1968"/>
  <c r="M1968"/>
  <c r="E1969"/>
  <c r="M1969"/>
  <c r="E1970"/>
  <c r="M1970"/>
  <c r="E1971"/>
  <c r="M1971"/>
  <c r="E1972"/>
  <c r="M1972"/>
  <c r="E1973"/>
  <c r="M1973"/>
  <c r="E1974"/>
  <c r="M1974"/>
  <c r="E1975"/>
  <c r="M1975"/>
  <c r="E1976"/>
  <c r="M1976"/>
  <c r="E1977"/>
  <c r="M1977"/>
  <c r="E1978"/>
  <c r="M1978"/>
  <c r="E1979"/>
  <c r="M1979"/>
  <c r="E1980"/>
  <c r="M1980"/>
  <c r="E1981"/>
  <c r="M1981"/>
  <c r="E1982"/>
  <c r="M1982"/>
  <c r="N1982"/>
  <c r="V1982"/>
  <c r="E1983"/>
  <c r="M1983"/>
  <c r="E1984"/>
  <c r="M1984"/>
  <c r="E1985"/>
  <c r="M1985"/>
  <c r="E1986"/>
  <c r="M1986"/>
  <c r="E1987"/>
  <c r="M1987"/>
  <c r="E1988"/>
  <c r="M1988"/>
  <c r="E1989"/>
  <c r="M1989"/>
  <c r="E1990"/>
  <c r="M1990"/>
  <c r="E1991"/>
  <c r="M1991"/>
  <c r="E1992"/>
  <c r="M1992"/>
  <c r="E1993"/>
  <c r="M1993"/>
  <c r="E1994"/>
  <c r="M1994"/>
  <c r="E1995"/>
  <c r="M1995"/>
  <c r="E1996"/>
  <c r="M1996"/>
  <c r="E1997"/>
  <c r="M1997"/>
  <c r="E1998"/>
  <c r="M1998"/>
  <c r="E1999"/>
  <c r="M1999"/>
  <c r="E2000"/>
  <c r="M2000"/>
  <c r="E2001"/>
  <c r="M2001"/>
  <c r="E2002"/>
  <c r="M2002"/>
  <c r="E2003"/>
  <c r="M2003"/>
  <c r="E2004"/>
  <c r="M2004"/>
  <c r="N2004"/>
  <c r="V2004"/>
  <c r="E2005"/>
  <c r="M2005"/>
  <c r="E2006"/>
  <c r="M2006"/>
  <c r="E2007"/>
  <c r="M2007"/>
  <c r="E2008"/>
  <c r="M2008"/>
  <c r="E2009"/>
  <c r="M2009"/>
  <c r="E2010"/>
  <c r="M2010"/>
  <c r="E2011"/>
  <c r="M2011"/>
  <c r="E2012"/>
  <c r="M2012"/>
  <c r="E2013"/>
  <c r="M2013"/>
  <c r="E2014"/>
  <c r="M2014"/>
  <c r="E2015"/>
  <c r="M2015"/>
  <c r="E2016"/>
  <c r="M2016"/>
  <c r="E2017"/>
  <c r="M2017"/>
  <c r="E2018"/>
  <c r="M2018"/>
  <c r="E2019"/>
  <c r="M2019"/>
  <c r="E2020"/>
  <c r="M2020"/>
  <c r="E2021"/>
  <c r="M2021"/>
  <c r="E2022"/>
  <c r="M2022"/>
  <c r="E2023"/>
  <c r="M2023"/>
  <c r="E2024"/>
  <c r="M2024"/>
  <c r="N2024"/>
  <c r="O2024"/>
  <c r="N19" i="10" s="1"/>
  <c r="V2024" i="6"/>
  <c r="E2025"/>
  <c r="M2025"/>
  <c r="E2026"/>
  <c r="M2026"/>
  <c r="E2027"/>
  <c r="M2027"/>
  <c r="E2028"/>
  <c r="M2028"/>
  <c r="E2029"/>
  <c r="M2029"/>
  <c r="E2030"/>
  <c r="M2030"/>
  <c r="E2031"/>
  <c r="M2031"/>
  <c r="E2032"/>
  <c r="M2032"/>
  <c r="E2033"/>
  <c r="M2033"/>
  <c r="E2034"/>
  <c r="M2034"/>
  <c r="E2035"/>
  <c r="M2035"/>
  <c r="E2036"/>
  <c r="M2036"/>
  <c r="E2037"/>
  <c r="M2037"/>
  <c r="E2038"/>
  <c r="M2038"/>
  <c r="E2039"/>
  <c r="M2039"/>
  <c r="E2040"/>
  <c r="M2040"/>
  <c r="E2041"/>
  <c r="M2041"/>
  <c r="E2042"/>
  <c r="M2042"/>
  <c r="E2043"/>
  <c r="M2043"/>
  <c r="E2044"/>
  <c r="M2044"/>
  <c r="E2045"/>
  <c r="M2045"/>
  <c r="N2045"/>
  <c r="V2045"/>
  <c r="E2046"/>
  <c r="M2046"/>
  <c r="E2047"/>
  <c r="M2047"/>
  <c r="E2048"/>
  <c r="M2048"/>
  <c r="E2049"/>
  <c r="M2049"/>
  <c r="E2050"/>
  <c r="M2050"/>
  <c r="E2051"/>
  <c r="M2051"/>
  <c r="E2052"/>
  <c r="M2052"/>
  <c r="E2053"/>
  <c r="M2053"/>
  <c r="E2054"/>
  <c r="M2054"/>
  <c r="E2055"/>
  <c r="M2055"/>
  <c r="E2056"/>
  <c r="M2056"/>
  <c r="E2057"/>
  <c r="M2057"/>
  <c r="E2058"/>
  <c r="M2058"/>
  <c r="E2059"/>
  <c r="M2059"/>
  <c r="E2060"/>
  <c r="M2060"/>
  <c r="E2061"/>
  <c r="M2061"/>
  <c r="E2062"/>
  <c r="M2062"/>
  <c r="E2063"/>
  <c r="M2063"/>
  <c r="E2064"/>
  <c r="M2064"/>
  <c r="E2065"/>
  <c r="M2065"/>
  <c r="N2065"/>
  <c r="V2065"/>
  <c r="E2066"/>
  <c r="M2066"/>
  <c r="E2067"/>
  <c r="M2067"/>
  <c r="E2068"/>
  <c r="M2068"/>
  <c r="E2069"/>
  <c r="M2069"/>
  <c r="E2070"/>
  <c r="M2070"/>
  <c r="E2071"/>
  <c r="M2071"/>
  <c r="E2072"/>
  <c r="M2072"/>
  <c r="E2073"/>
  <c r="M2073"/>
  <c r="E2074"/>
  <c r="M2074"/>
  <c r="E2075"/>
  <c r="M2075"/>
  <c r="E2076"/>
  <c r="M2076"/>
  <c r="E2077"/>
  <c r="M2077"/>
  <c r="E2078"/>
  <c r="M2078"/>
  <c r="E2079"/>
  <c r="M2079"/>
  <c r="E2080"/>
  <c r="M2080"/>
  <c r="E2081"/>
  <c r="M2081"/>
  <c r="E2082"/>
  <c r="M2082"/>
  <c r="E2083"/>
  <c r="M2083"/>
  <c r="E2084"/>
  <c r="M2084"/>
  <c r="E2085"/>
  <c r="M2085"/>
  <c r="E2086"/>
  <c r="M2086"/>
  <c r="E2087"/>
  <c r="M2087"/>
  <c r="E2088"/>
  <c r="M2088"/>
  <c r="N2088"/>
  <c r="V2088"/>
  <c r="E2089"/>
  <c r="M2089"/>
  <c r="E2090"/>
  <c r="M2090"/>
  <c r="E2091"/>
  <c r="M2091"/>
  <c r="E2092"/>
  <c r="M2092"/>
  <c r="E2093"/>
  <c r="M2093"/>
  <c r="E2094"/>
  <c r="M2094"/>
  <c r="E2095"/>
  <c r="M2095"/>
  <c r="E2096"/>
  <c r="M2096"/>
  <c r="E2097"/>
  <c r="M2097"/>
  <c r="E2098"/>
  <c r="M2098"/>
  <c r="E2099"/>
  <c r="M2099"/>
  <c r="E2100"/>
  <c r="M2100"/>
  <c r="E2101"/>
  <c r="M2101"/>
  <c r="E2102"/>
  <c r="M2102"/>
  <c r="E2103"/>
  <c r="M2103"/>
  <c r="E2104"/>
  <c r="M2104"/>
  <c r="E2105"/>
  <c r="M2105"/>
  <c r="E2106"/>
  <c r="M2106"/>
  <c r="N2106"/>
  <c r="V2106"/>
  <c r="E2107"/>
  <c r="M2107"/>
  <c r="E2108"/>
  <c r="M2108"/>
  <c r="E2109"/>
  <c r="M2109"/>
  <c r="E2110"/>
  <c r="M2110"/>
  <c r="E2111"/>
  <c r="M2111"/>
  <c r="E2112"/>
  <c r="M2112"/>
  <c r="E2113"/>
  <c r="M2113"/>
  <c r="E2114"/>
  <c r="M2114"/>
  <c r="E2115"/>
  <c r="M2115"/>
  <c r="E2116"/>
  <c r="M2116"/>
  <c r="E2117"/>
  <c r="M2117"/>
  <c r="E2118"/>
  <c r="M2118"/>
  <c r="E2119"/>
  <c r="M2119"/>
  <c r="E2120"/>
  <c r="M2120"/>
  <c r="E2121"/>
  <c r="M2121"/>
  <c r="E2122"/>
  <c r="M2122"/>
  <c r="E2123"/>
  <c r="M2123"/>
  <c r="E2124"/>
  <c r="M2124"/>
  <c r="E2125"/>
  <c r="M2125"/>
  <c r="E2126"/>
  <c r="M2126"/>
  <c r="E2127"/>
  <c r="M2127"/>
  <c r="N2127"/>
  <c r="V2127"/>
  <c r="E2128"/>
  <c r="M2128"/>
  <c r="E2129"/>
  <c r="M2129"/>
  <c r="E2130"/>
  <c r="M2130"/>
  <c r="E2131"/>
  <c r="M2131"/>
  <c r="E2132"/>
  <c r="M2132"/>
  <c r="E2133"/>
  <c r="M2133"/>
  <c r="E2134"/>
  <c r="M2134"/>
  <c r="E2135"/>
  <c r="M2135"/>
  <c r="E2136"/>
  <c r="M2136"/>
  <c r="E2137"/>
  <c r="M2137"/>
  <c r="E2138"/>
  <c r="M2138"/>
  <c r="E2139"/>
  <c r="M2139"/>
  <c r="E2140"/>
  <c r="M2140"/>
  <c r="E2141"/>
  <c r="M2141"/>
  <c r="E2142"/>
  <c r="M2142"/>
  <c r="E2143"/>
  <c r="M2143"/>
  <c r="E2144"/>
  <c r="M2144"/>
  <c r="E2145"/>
  <c r="M2145"/>
  <c r="E2146"/>
  <c r="M2146"/>
  <c r="E2147"/>
  <c r="M2147"/>
  <c r="E2148"/>
  <c r="M2148"/>
  <c r="E2149"/>
  <c r="M2149"/>
  <c r="N2149"/>
  <c r="O2149"/>
  <c r="V2149"/>
  <c r="E2150"/>
  <c r="M2150"/>
  <c r="E2151"/>
  <c r="M2151"/>
  <c r="E2152"/>
  <c r="M2152"/>
  <c r="E2153"/>
  <c r="M2153"/>
  <c r="E2154"/>
  <c r="M2154"/>
  <c r="E2155"/>
  <c r="M2155"/>
  <c r="E2156"/>
  <c r="M2156"/>
  <c r="E2157"/>
  <c r="M2157"/>
  <c r="E2158"/>
  <c r="M2158"/>
  <c r="E2159"/>
  <c r="M2159"/>
  <c r="E2160"/>
  <c r="M2160"/>
  <c r="E2161"/>
  <c r="M2161"/>
  <c r="E2162"/>
  <c r="M2162"/>
  <c r="E2163"/>
  <c r="M2163"/>
  <c r="E2164"/>
  <c r="M2164"/>
  <c r="E2165"/>
  <c r="M2165"/>
  <c r="E2166"/>
  <c r="M2166"/>
  <c r="E2167"/>
  <c r="M2167"/>
  <c r="E2168"/>
  <c r="M2168"/>
  <c r="E2169"/>
  <c r="M2169"/>
  <c r="E2170"/>
  <c r="M2170"/>
  <c r="N2170"/>
  <c r="V2170"/>
  <c r="E2171"/>
  <c r="M2171"/>
  <c r="E2172"/>
  <c r="M2172"/>
  <c r="E2173"/>
  <c r="M2173"/>
  <c r="E2174"/>
  <c r="M2174"/>
  <c r="E2175"/>
  <c r="M2175"/>
  <c r="E2176"/>
  <c r="M2176"/>
  <c r="E2177"/>
  <c r="M2177"/>
  <c r="E2178"/>
  <c r="M2178"/>
  <c r="E2179"/>
  <c r="M2179"/>
  <c r="E2180"/>
  <c r="M2180"/>
  <c r="E2181"/>
  <c r="M2181"/>
  <c r="E2182"/>
  <c r="M2182"/>
  <c r="E2183"/>
  <c r="M2183"/>
  <c r="E2184"/>
  <c r="M2184"/>
  <c r="E2185"/>
  <c r="M2185"/>
  <c r="E2186"/>
  <c r="M2186"/>
  <c r="E2187"/>
  <c r="M2187"/>
  <c r="E2188"/>
  <c r="M2188"/>
  <c r="E2189"/>
  <c r="M2189"/>
  <c r="E2190"/>
  <c r="M2190"/>
  <c r="E2191"/>
  <c r="M2191"/>
  <c r="E2192"/>
  <c r="M2192"/>
  <c r="N2192"/>
  <c r="V2192"/>
  <c r="E2193"/>
  <c r="M2193"/>
  <c r="E2194"/>
  <c r="M2194"/>
  <c r="E2195"/>
  <c r="M2195"/>
  <c r="E2196"/>
  <c r="M2196"/>
  <c r="E2197"/>
  <c r="M2197"/>
  <c r="E2198"/>
  <c r="M2198"/>
  <c r="E2199"/>
  <c r="M2199"/>
  <c r="E2200"/>
  <c r="M2200"/>
  <c r="E2201"/>
  <c r="M2201"/>
  <c r="E2202"/>
  <c r="M2202"/>
  <c r="E2203"/>
  <c r="M2203"/>
  <c r="E2204"/>
  <c r="M2204"/>
  <c r="E2205"/>
  <c r="M2205"/>
  <c r="E2206"/>
  <c r="M2206"/>
  <c r="E2207"/>
  <c r="M2207"/>
  <c r="E2208"/>
  <c r="M2208"/>
  <c r="E2209"/>
  <c r="M2209"/>
  <c r="E2210"/>
  <c r="M2210"/>
  <c r="E2211"/>
  <c r="M2211"/>
  <c r="E2212"/>
  <c r="M2212"/>
  <c r="E2213"/>
  <c r="M2213"/>
  <c r="N2213"/>
  <c r="V2213"/>
  <c r="E2214"/>
  <c r="M2214"/>
  <c r="E2215"/>
  <c r="M2215"/>
  <c r="E2216"/>
  <c r="M2216"/>
  <c r="E2217"/>
  <c r="M2217"/>
  <c r="E2218"/>
  <c r="M2218"/>
  <c r="E2219"/>
  <c r="M2219"/>
  <c r="E2220"/>
  <c r="M2220"/>
  <c r="E2221"/>
  <c r="M2221"/>
  <c r="E2222"/>
  <c r="M2222"/>
  <c r="E2223"/>
  <c r="M2223"/>
  <c r="E2224"/>
  <c r="M2224"/>
  <c r="E2225"/>
  <c r="M2225"/>
  <c r="E2226"/>
  <c r="M2226"/>
  <c r="E2227"/>
  <c r="M2227"/>
  <c r="E2228"/>
  <c r="M2228"/>
  <c r="E2229"/>
  <c r="M2229"/>
  <c r="E2230"/>
  <c r="M2230"/>
  <c r="E2231"/>
  <c r="M2231"/>
  <c r="E2232"/>
  <c r="M2232"/>
  <c r="E2233"/>
  <c r="M2233"/>
  <c r="E2234"/>
  <c r="M2234"/>
  <c r="E2235"/>
  <c r="M2235"/>
  <c r="N2235"/>
  <c r="V2235"/>
  <c r="E2236"/>
  <c r="M2236"/>
  <c r="E2237"/>
  <c r="M2237"/>
  <c r="E2238"/>
  <c r="M2238"/>
  <c r="E2239"/>
  <c r="M2239"/>
  <c r="E2240"/>
  <c r="M2240"/>
  <c r="E2241"/>
  <c r="M2241"/>
  <c r="E2242"/>
  <c r="M2242"/>
  <c r="E2243"/>
  <c r="M2243"/>
  <c r="E2244"/>
  <c r="M2244"/>
  <c r="E2245"/>
  <c r="M2245"/>
  <c r="E2246"/>
  <c r="M2246"/>
  <c r="E2247"/>
  <c r="M2247"/>
  <c r="E2248"/>
  <c r="M2248"/>
  <c r="E2249"/>
  <c r="M2249"/>
  <c r="E2250"/>
  <c r="M2250"/>
  <c r="E2251"/>
  <c r="M2251"/>
  <c r="E2252"/>
  <c r="M2252"/>
  <c r="E2253"/>
  <c r="M2253"/>
  <c r="E2254"/>
  <c r="M2254"/>
  <c r="E2255"/>
  <c r="M2255"/>
  <c r="E2256"/>
  <c r="M2256"/>
  <c r="E2257"/>
  <c r="M2257"/>
  <c r="N2257"/>
  <c r="V2257"/>
  <c r="E2258"/>
  <c r="M2258"/>
  <c r="E2259"/>
  <c r="M2259"/>
  <c r="E2260"/>
  <c r="M2260"/>
  <c r="E2261"/>
  <c r="M2261"/>
  <c r="E2262"/>
  <c r="M2262"/>
  <c r="E2263"/>
  <c r="M2263"/>
  <c r="E2264"/>
  <c r="M2264"/>
  <c r="E2265"/>
  <c r="M2265"/>
  <c r="E2266"/>
  <c r="M2266"/>
  <c r="E2267"/>
  <c r="M2267"/>
  <c r="E2268"/>
  <c r="M2268"/>
  <c r="E2269"/>
  <c r="M2269"/>
  <c r="E2270"/>
  <c r="M2270"/>
  <c r="E2271"/>
  <c r="M2271"/>
  <c r="E2272"/>
  <c r="M2272"/>
  <c r="E2273"/>
  <c r="M2273"/>
  <c r="E2274"/>
  <c r="M2274"/>
  <c r="E2275"/>
  <c r="M2275"/>
  <c r="E2276"/>
  <c r="M2276"/>
  <c r="N2276"/>
  <c r="O2276"/>
  <c r="V2276"/>
  <c r="E2277"/>
  <c r="M2277"/>
  <c r="O2277"/>
  <c r="E2278"/>
  <c r="M2278"/>
  <c r="E2279"/>
  <c r="M2279"/>
  <c r="E2280"/>
  <c r="M2280"/>
  <c r="E2281"/>
  <c r="M2281"/>
  <c r="E2282"/>
  <c r="M2282"/>
  <c r="E2283"/>
  <c r="M2283"/>
  <c r="E2284"/>
  <c r="M2284"/>
  <c r="E2285"/>
  <c r="M2285"/>
  <c r="E2286"/>
  <c r="M2286"/>
  <c r="E2287"/>
  <c r="M2287"/>
  <c r="E2288"/>
  <c r="M2288"/>
  <c r="E2289"/>
  <c r="M2289"/>
  <c r="E2290"/>
  <c r="M2290"/>
  <c r="E2291"/>
  <c r="M2291"/>
  <c r="E2292"/>
  <c r="M2292"/>
  <c r="E2293"/>
  <c r="M2293"/>
  <c r="E2294"/>
  <c r="M2294"/>
  <c r="E2295"/>
  <c r="M2295"/>
  <c r="E2296"/>
  <c r="M2296"/>
  <c r="E2297"/>
  <c r="M2297"/>
  <c r="E2298"/>
  <c r="M2298"/>
  <c r="N2298"/>
  <c r="V2298"/>
  <c r="E2299"/>
  <c r="M2299"/>
  <c r="E2300"/>
  <c r="M2300"/>
  <c r="E2301"/>
  <c r="M2301"/>
  <c r="E2302"/>
  <c r="M2302"/>
  <c r="E2303"/>
  <c r="M2303"/>
  <c r="E2304"/>
  <c r="M2304"/>
  <c r="E2305"/>
  <c r="M2305"/>
  <c r="E2306"/>
  <c r="M2306"/>
  <c r="E2307"/>
  <c r="M2307"/>
  <c r="E2308"/>
  <c r="M2308"/>
  <c r="E2309"/>
  <c r="M2309"/>
  <c r="E2310"/>
  <c r="M2310"/>
  <c r="E2311"/>
  <c r="M2311"/>
  <c r="E2312"/>
  <c r="M2312"/>
  <c r="E2313"/>
  <c r="M2313"/>
  <c r="E2314"/>
  <c r="M2314"/>
  <c r="E2315"/>
  <c r="M2315"/>
  <c r="E2316"/>
  <c r="M2316"/>
  <c r="E2317"/>
  <c r="M2317"/>
  <c r="E2318"/>
  <c r="M2318"/>
  <c r="N2318"/>
  <c r="O2318"/>
  <c r="V2318"/>
  <c r="E2319"/>
  <c r="M2319"/>
  <c r="E2320"/>
  <c r="M2320"/>
  <c r="E2321"/>
  <c r="M2321"/>
  <c r="E2322"/>
  <c r="M2322"/>
  <c r="E2323"/>
  <c r="M2323"/>
  <c r="E2324"/>
  <c r="M2324"/>
  <c r="E2325"/>
  <c r="M2325"/>
  <c r="E2326"/>
  <c r="M2326"/>
  <c r="E2327"/>
  <c r="M2327"/>
  <c r="E2328"/>
  <c r="M2328"/>
  <c r="E2329"/>
  <c r="M2329"/>
  <c r="E2330"/>
  <c r="M2330"/>
  <c r="E2331"/>
  <c r="M2331"/>
  <c r="E2332"/>
  <c r="M2332"/>
  <c r="E2333"/>
  <c r="M2333"/>
  <c r="E2334"/>
  <c r="M2334"/>
  <c r="E2335"/>
  <c r="M2335"/>
  <c r="E2336"/>
  <c r="M2336"/>
  <c r="E2337"/>
  <c r="M2337"/>
  <c r="E2338"/>
  <c r="M2338"/>
  <c r="E2339"/>
  <c r="M2339"/>
  <c r="E2340"/>
  <c r="M2340"/>
  <c r="N2340"/>
  <c r="O2340"/>
  <c r="V2340"/>
  <c r="E2341"/>
  <c r="M2341"/>
  <c r="E2342"/>
  <c r="M2342"/>
  <c r="E2343"/>
  <c r="M2343"/>
  <c r="E2344"/>
  <c r="M2344"/>
  <c r="E2347"/>
  <c r="M2347"/>
  <c r="E2348"/>
  <c r="M2348"/>
  <c r="E2349"/>
  <c r="M2349"/>
  <c r="E2350"/>
  <c r="M2350"/>
  <c r="E2351"/>
  <c r="M2351"/>
  <c r="E2352"/>
  <c r="M2352"/>
  <c r="E2353"/>
  <c r="M2353"/>
  <c r="E2354"/>
  <c r="M2354"/>
  <c r="E2355"/>
  <c r="M2355"/>
  <c r="E2356"/>
  <c r="M2356"/>
  <c r="E2357"/>
  <c r="M2357"/>
  <c r="E2358"/>
  <c r="M2358"/>
  <c r="E2359"/>
  <c r="M2359"/>
  <c r="E2360"/>
  <c r="M2360"/>
  <c r="E2361"/>
  <c r="M2361"/>
  <c r="N2361"/>
  <c r="O2361"/>
  <c r="V2361"/>
  <c r="E2362"/>
  <c r="M2362"/>
  <c r="E2363"/>
  <c r="M2363"/>
  <c r="E2364"/>
  <c r="M2364"/>
  <c r="E2365"/>
  <c r="M2365"/>
  <c r="E2366"/>
  <c r="M2366"/>
  <c r="E2367"/>
  <c r="M2367"/>
  <c r="E2368"/>
  <c r="M2368"/>
  <c r="E2369"/>
  <c r="M2369"/>
  <c r="E2370"/>
  <c r="M2370"/>
  <c r="E2371"/>
  <c r="M2371"/>
  <c r="E2372"/>
  <c r="M2372"/>
  <c r="E2373"/>
  <c r="M2373"/>
  <c r="E2374"/>
  <c r="M2374"/>
  <c r="E2375"/>
  <c r="M2375"/>
  <c r="E2376"/>
  <c r="M2376"/>
  <c r="E2377"/>
  <c r="M2377"/>
  <c r="E2378"/>
  <c r="M2378"/>
  <c r="E2379"/>
  <c r="M2379"/>
  <c r="E2381"/>
  <c r="M2381"/>
  <c r="E2382"/>
  <c r="M2382"/>
  <c r="E2383"/>
  <c r="M2383"/>
  <c r="N2383"/>
  <c r="O2383"/>
  <c r="V2383"/>
  <c r="E2384"/>
  <c r="M2384"/>
  <c r="E2385"/>
  <c r="M2385"/>
  <c r="E2386"/>
  <c r="M2386"/>
  <c r="E2387"/>
  <c r="M2387"/>
  <c r="E2388"/>
  <c r="M2388"/>
  <c r="E2389"/>
  <c r="M2389"/>
  <c r="E2390"/>
  <c r="M2390"/>
  <c r="E2391"/>
  <c r="M2391"/>
  <c r="E2392"/>
  <c r="M2392"/>
  <c r="E2393"/>
  <c r="M2393"/>
  <c r="E2394"/>
  <c r="M2394"/>
  <c r="E2395"/>
  <c r="M2395"/>
  <c r="E2396"/>
  <c r="M2396"/>
  <c r="E2397"/>
  <c r="M2397"/>
  <c r="E2398"/>
  <c r="M2398"/>
  <c r="E2399"/>
  <c r="M2399"/>
  <c r="E2400"/>
  <c r="M2400"/>
  <c r="E2401"/>
  <c r="M2401"/>
  <c r="E2402"/>
  <c r="M2402"/>
  <c r="E2403"/>
  <c r="M2403"/>
  <c r="E2404"/>
  <c r="M2404"/>
  <c r="N2404"/>
  <c r="O2404"/>
  <c r="V2404"/>
  <c r="E2405"/>
  <c r="M2405"/>
  <c r="E2406"/>
  <c r="M2406"/>
  <c r="E2407"/>
  <c r="M2407"/>
  <c r="E2408"/>
  <c r="M2408"/>
  <c r="E2409"/>
  <c r="M2409"/>
  <c r="E2410"/>
  <c r="M2410"/>
  <c r="E2411"/>
  <c r="M2411"/>
  <c r="E2412"/>
  <c r="M2412"/>
  <c r="E2413"/>
  <c r="M2413"/>
  <c r="E2414"/>
  <c r="M2414"/>
  <c r="E2415"/>
  <c r="M2415"/>
  <c r="E2416"/>
  <c r="M2416"/>
  <c r="E2417"/>
  <c r="M2417"/>
  <c r="E2418"/>
  <c r="M2418"/>
  <c r="E2419"/>
  <c r="M2419"/>
  <c r="E2420"/>
  <c r="M2420"/>
  <c r="E2421"/>
  <c r="M2421"/>
  <c r="E2422"/>
  <c r="M2422"/>
  <c r="E2423"/>
  <c r="M2423"/>
  <c r="E2424"/>
  <c r="M2424"/>
  <c r="E2425"/>
  <c r="M2425"/>
  <c r="E2426"/>
  <c r="M2426"/>
  <c r="N2426"/>
  <c r="O2426"/>
  <c r="V2426"/>
  <c r="E2427"/>
  <c r="M2427"/>
  <c r="E2428"/>
  <c r="M2428"/>
  <c r="E2429"/>
  <c r="M2429"/>
  <c r="E2430"/>
  <c r="M2430"/>
  <c r="E2431"/>
  <c r="M2431"/>
  <c r="E2432"/>
  <c r="M2432"/>
  <c r="E2433"/>
  <c r="M2433"/>
  <c r="E2434"/>
  <c r="M2434"/>
  <c r="E2435"/>
  <c r="M2435"/>
  <c r="E2436"/>
  <c r="M2436"/>
  <c r="E2437"/>
  <c r="M2437"/>
  <c r="E2438"/>
  <c r="M2438"/>
  <c r="E2439"/>
  <c r="M2439"/>
  <c r="E2440"/>
  <c r="M2440"/>
  <c r="E2441"/>
  <c r="M2441"/>
  <c r="E2442"/>
  <c r="M2442"/>
  <c r="E2443"/>
  <c r="M2443"/>
  <c r="E2444"/>
  <c r="M2444"/>
  <c r="E2445"/>
  <c r="M2445"/>
  <c r="E2446"/>
  <c r="M2446"/>
  <c r="E2447"/>
  <c r="M2447"/>
  <c r="E2448"/>
  <c r="M2448"/>
  <c r="N2448"/>
  <c r="O2448"/>
  <c r="V2448"/>
  <c r="E2449"/>
  <c r="M2449"/>
  <c r="M2450"/>
  <c r="E2451"/>
  <c r="M2451"/>
  <c r="E2452"/>
  <c r="M2452"/>
  <c r="E2453"/>
  <c r="M2453"/>
  <c r="E2454"/>
  <c r="M2454"/>
  <c r="E2455"/>
  <c r="M2455"/>
  <c r="E2456"/>
  <c r="M2456"/>
  <c r="E2457"/>
  <c r="M2457"/>
  <c r="E2458"/>
  <c r="M2458"/>
  <c r="E2459"/>
  <c r="M2459"/>
  <c r="E2460"/>
  <c r="M2460"/>
  <c r="E2461"/>
  <c r="M2461"/>
  <c r="E2462"/>
  <c r="M2462"/>
  <c r="E2463"/>
  <c r="M2463"/>
  <c r="E2464"/>
  <c r="M2464"/>
  <c r="E2465"/>
  <c r="M2465"/>
  <c r="E2466"/>
  <c r="M2466"/>
  <c r="E2467"/>
  <c r="M2467"/>
  <c r="E2468"/>
  <c r="M2468"/>
  <c r="N2468"/>
  <c r="O2468"/>
  <c r="V2468"/>
  <c r="E2469"/>
  <c r="M2469"/>
  <c r="E2470"/>
  <c r="M2470"/>
  <c r="E2471"/>
  <c r="M2471"/>
  <c r="E2472"/>
  <c r="M2472"/>
  <c r="E2473"/>
  <c r="M2473"/>
  <c r="E2474"/>
  <c r="M2474"/>
  <c r="E2475"/>
  <c r="M2475"/>
  <c r="E2476"/>
  <c r="M2476"/>
  <c r="E2477"/>
  <c r="M2477"/>
  <c r="E2478"/>
  <c r="M2478"/>
  <c r="E2479"/>
  <c r="M2479"/>
  <c r="E2480"/>
  <c r="M2480"/>
  <c r="E2481"/>
  <c r="M2481"/>
  <c r="E2482"/>
  <c r="M2482"/>
  <c r="E2483"/>
  <c r="M2483"/>
  <c r="E2484"/>
  <c r="M2484"/>
  <c r="E2485"/>
  <c r="M2485"/>
  <c r="E2486"/>
  <c r="M2486"/>
  <c r="E2487"/>
  <c r="M2487"/>
  <c r="E2488"/>
  <c r="M2488"/>
  <c r="E2489"/>
  <c r="M2489"/>
  <c r="E2490"/>
  <c r="M2490"/>
  <c r="E2491"/>
  <c r="M2491"/>
  <c r="N2491"/>
  <c r="O2491"/>
  <c r="V2491"/>
  <c r="E2492"/>
  <c r="M2492"/>
  <c r="E2493"/>
  <c r="M2493"/>
  <c r="E2494"/>
  <c r="M2494"/>
  <c r="E2495"/>
  <c r="M2495"/>
  <c r="E2496"/>
  <c r="M2496"/>
  <c r="E2497"/>
  <c r="M2497"/>
  <c r="E2498"/>
  <c r="M2498"/>
  <c r="E2499"/>
  <c r="M2499"/>
  <c r="E2500"/>
  <c r="M2500"/>
  <c r="E2501"/>
  <c r="M2501"/>
  <c r="E2502"/>
  <c r="M2502"/>
  <c r="E2503"/>
  <c r="M2503"/>
  <c r="E2504"/>
  <c r="M2504"/>
  <c r="E2505"/>
  <c r="M2505"/>
  <c r="E2506"/>
  <c r="M2506"/>
  <c r="E2507"/>
  <c r="M2507"/>
  <c r="E2508"/>
  <c r="M2508"/>
  <c r="E2509"/>
  <c r="M2509"/>
  <c r="E2510"/>
  <c r="M2510"/>
  <c r="E2511"/>
  <c r="M2511"/>
  <c r="E2512"/>
  <c r="M2512"/>
  <c r="E2513"/>
  <c r="M2513"/>
  <c r="N2513"/>
  <c r="O2513"/>
  <c r="V2513"/>
  <c r="E2514"/>
  <c r="M2514"/>
  <c r="E2515"/>
  <c r="M2515"/>
  <c r="E2516"/>
  <c r="M2516"/>
  <c r="E2517"/>
  <c r="M2517"/>
  <c r="E2518"/>
  <c r="M2518"/>
  <c r="E2519"/>
  <c r="M2519"/>
  <c r="E2520"/>
  <c r="M2520"/>
  <c r="E2521"/>
  <c r="M2521"/>
  <c r="E2522"/>
  <c r="M2522"/>
  <c r="E2523"/>
  <c r="M2523"/>
  <c r="E2524"/>
  <c r="M2524"/>
  <c r="E2525"/>
  <c r="M2525"/>
  <c r="E2526"/>
  <c r="M2526"/>
  <c r="E2527"/>
  <c r="M2527"/>
  <c r="E2528"/>
  <c r="M2528"/>
  <c r="E2532"/>
  <c r="M2532"/>
  <c r="E2533"/>
  <c r="M2533"/>
  <c r="E2534"/>
  <c r="M2534"/>
  <c r="N2534"/>
  <c r="O2534"/>
  <c r="V2534"/>
  <c r="E2535"/>
  <c r="M2535"/>
  <c r="O2535"/>
  <c r="E2536"/>
  <c r="M2536"/>
  <c r="E2537"/>
  <c r="M2537"/>
  <c r="E2538"/>
  <c r="M2538"/>
  <c r="E2539"/>
  <c r="M2539"/>
  <c r="E2540"/>
  <c r="M2540"/>
  <c r="E2541"/>
  <c r="M2541"/>
  <c r="E2542"/>
  <c r="M2542"/>
  <c r="E2543"/>
  <c r="M2543"/>
  <c r="E2544"/>
  <c r="M2544"/>
  <c r="E2545"/>
  <c r="M2545"/>
  <c r="E2546"/>
  <c r="M2546"/>
  <c r="E2547"/>
  <c r="M2547"/>
  <c r="E2548"/>
  <c r="M2548"/>
  <c r="E2549"/>
  <c r="M2549"/>
  <c r="E2550"/>
  <c r="M2550"/>
  <c r="E2551"/>
  <c r="M2551"/>
  <c r="E2552"/>
  <c r="M2552"/>
  <c r="E2553"/>
  <c r="M2553"/>
  <c r="E2554"/>
  <c r="M2554"/>
  <c r="E2555"/>
  <c r="M2555"/>
  <c r="E2556"/>
  <c r="M2556"/>
  <c r="N2556"/>
  <c r="O2556"/>
  <c r="V2556"/>
  <c r="E2557"/>
  <c r="M2557"/>
  <c r="E2558"/>
  <c r="M2558"/>
  <c r="E2559"/>
  <c r="M2559"/>
  <c r="E2560"/>
  <c r="M2560"/>
  <c r="E2561"/>
  <c r="M2561"/>
  <c r="E2562"/>
  <c r="M2562"/>
  <c r="E2563"/>
  <c r="M2563"/>
  <c r="E2564"/>
  <c r="M2564"/>
  <c r="E2565"/>
  <c r="M2565"/>
  <c r="E2566"/>
  <c r="M2566"/>
  <c r="E2567"/>
  <c r="M2567"/>
  <c r="E2568"/>
  <c r="M2568"/>
  <c r="E2569"/>
  <c r="M2569"/>
  <c r="E2570"/>
  <c r="M2570"/>
  <c r="E2571"/>
  <c r="M2571"/>
  <c r="E2572"/>
  <c r="M2572"/>
  <c r="E2573"/>
  <c r="M2573"/>
  <c r="E2574"/>
  <c r="M2574"/>
  <c r="E2575"/>
  <c r="M2575"/>
  <c r="E2576"/>
  <c r="M2576"/>
  <c r="E2577"/>
  <c r="M2577"/>
  <c r="N2577"/>
  <c r="O2577"/>
  <c r="V2577"/>
  <c r="E2578"/>
  <c r="M2578"/>
  <c r="E2579"/>
  <c r="M2579"/>
  <c r="E2580"/>
  <c r="M2580"/>
  <c r="E2581"/>
  <c r="M2581"/>
  <c r="E2582"/>
  <c r="M2582"/>
  <c r="E2583"/>
  <c r="M2583"/>
  <c r="E2584"/>
  <c r="M2584"/>
  <c r="E2585"/>
  <c r="M2585"/>
  <c r="E2586"/>
  <c r="M2586"/>
  <c r="E2587"/>
  <c r="M2587"/>
  <c r="E2588"/>
  <c r="M2588"/>
  <c r="E2589"/>
  <c r="M2589"/>
  <c r="E2590"/>
  <c r="M2590"/>
  <c r="E2591"/>
  <c r="M2591"/>
  <c r="E2594"/>
  <c r="M2594"/>
  <c r="E2595"/>
  <c r="M2595"/>
  <c r="E2596"/>
  <c r="M2596"/>
  <c r="E2597"/>
  <c r="M2597"/>
  <c r="E2598"/>
  <c r="M2598"/>
  <c r="N2598"/>
  <c r="O2598"/>
  <c r="V2598"/>
  <c r="E2599"/>
  <c r="M2599"/>
  <c r="E2600"/>
  <c r="M2600"/>
  <c r="E2601"/>
  <c r="M2601"/>
  <c r="E2602"/>
  <c r="M2602"/>
  <c r="E2603"/>
  <c r="M2603"/>
  <c r="E2604"/>
  <c r="M2604"/>
  <c r="E2605"/>
  <c r="M2605"/>
  <c r="E2606"/>
  <c r="M2606"/>
  <c r="E2607"/>
  <c r="M2607"/>
  <c r="E2608"/>
  <c r="M2608"/>
  <c r="E2609"/>
  <c r="M2609"/>
  <c r="E2610"/>
  <c r="M2610"/>
  <c r="E2611"/>
  <c r="M2611"/>
  <c r="E2612"/>
  <c r="M2612"/>
  <c r="E2613"/>
  <c r="M2613"/>
  <c r="E2614"/>
  <c r="M2614"/>
  <c r="E2615"/>
  <c r="M2615"/>
  <c r="E2616"/>
  <c r="M2616"/>
  <c r="E2617"/>
  <c r="M2617"/>
  <c r="E2618"/>
  <c r="M2618"/>
  <c r="E2619"/>
  <c r="M2619"/>
  <c r="E2620"/>
  <c r="M2620"/>
  <c r="N2620"/>
  <c r="O2620"/>
  <c r="V2620"/>
  <c r="E2621"/>
  <c r="M2621"/>
  <c r="E2622"/>
  <c r="M2622"/>
  <c r="E2624"/>
  <c r="M2624"/>
  <c r="E2625"/>
  <c r="M2625"/>
  <c r="E2626"/>
  <c r="M2626"/>
  <c r="E2627"/>
  <c r="M2627"/>
  <c r="E2628"/>
  <c r="M2628"/>
  <c r="E2629"/>
  <c r="M2629"/>
  <c r="E2630"/>
  <c r="M2630"/>
  <c r="E2631"/>
  <c r="M2631"/>
  <c r="E2632"/>
  <c r="M2632"/>
  <c r="E2633"/>
  <c r="M2633"/>
  <c r="E2634"/>
  <c r="M2634"/>
  <c r="E2635"/>
  <c r="M2635"/>
  <c r="E2636"/>
  <c r="M2636"/>
  <c r="E2637"/>
  <c r="M2637"/>
  <c r="E2639"/>
  <c r="M2639"/>
  <c r="E2640"/>
  <c r="M2640"/>
  <c r="E2641"/>
  <c r="M2641"/>
  <c r="E2642"/>
  <c r="M2642"/>
  <c r="N2642"/>
  <c r="O2642"/>
  <c r="V2642"/>
  <c r="E2643"/>
  <c r="M2643"/>
  <c r="E2644"/>
  <c r="M2644"/>
  <c r="E2645"/>
  <c r="M2645"/>
  <c r="E2646"/>
  <c r="M2646"/>
  <c r="E2647"/>
  <c r="M2647"/>
  <c r="E2648"/>
  <c r="M2648"/>
  <c r="E2649"/>
  <c r="M2649"/>
  <c r="E2650"/>
  <c r="M2650"/>
  <c r="E2651"/>
  <c r="M2651"/>
  <c r="E2652"/>
  <c r="M2652"/>
  <c r="E2653"/>
  <c r="M2653"/>
  <c r="E2654"/>
  <c r="M2654"/>
  <c r="E2655"/>
  <c r="M2655"/>
  <c r="E2656"/>
  <c r="M2656"/>
  <c r="E2657"/>
  <c r="M2657"/>
  <c r="E2658"/>
  <c r="M2658"/>
  <c r="E2659"/>
  <c r="M2659"/>
  <c r="E2660"/>
  <c r="M2660"/>
  <c r="E2661"/>
  <c r="M2661"/>
  <c r="E2662"/>
  <c r="M2662"/>
  <c r="E2663"/>
  <c r="M2663"/>
  <c r="N2663"/>
  <c r="O2663"/>
  <c r="V2663"/>
  <c r="E2664"/>
  <c r="M2664"/>
  <c r="E2665"/>
  <c r="M2665"/>
  <c r="E2666"/>
  <c r="M2666"/>
  <c r="E2667"/>
  <c r="M2667"/>
  <c r="E2668"/>
  <c r="M2668"/>
  <c r="E2669"/>
  <c r="M2669"/>
  <c r="E2670"/>
  <c r="M2670"/>
  <c r="E2671"/>
  <c r="M2671"/>
  <c r="E2672"/>
  <c r="M2672"/>
  <c r="E2673"/>
  <c r="M2673"/>
  <c r="E2674"/>
  <c r="M2674"/>
  <c r="E2675"/>
  <c r="M2675"/>
  <c r="E2676"/>
  <c r="M2676"/>
  <c r="E2677"/>
  <c r="M2677"/>
  <c r="E2678"/>
  <c r="M2678"/>
  <c r="E2679"/>
  <c r="M2679"/>
  <c r="E2680"/>
  <c r="M2680"/>
  <c r="E2681"/>
  <c r="M2681"/>
  <c r="E2682"/>
  <c r="M2682"/>
  <c r="E2683"/>
  <c r="M2683"/>
  <c r="E2684"/>
  <c r="M2684"/>
  <c r="E2685"/>
  <c r="M2685"/>
  <c r="E2686"/>
  <c r="M2686"/>
  <c r="N2686"/>
  <c r="O2686"/>
  <c r="V2686"/>
  <c r="E2687"/>
  <c r="M2687"/>
  <c r="E2688"/>
  <c r="M2688"/>
  <c r="E2689"/>
  <c r="M2689"/>
  <c r="E2690"/>
  <c r="M2690"/>
  <c r="E2691"/>
  <c r="M2691"/>
  <c r="E2692"/>
  <c r="M2692"/>
  <c r="E2693"/>
  <c r="M2693"/>
  <c r="E2694"/>
  <c r="M2694"/>
  <c r="E2695"/>
  <c r="M2695"/>
  <c r="E2696"/>
  <c r="M2696"/>
  <c r="E2697"/>
  <c r="M2697"/>
  <c r="E2698"/>
  <c r="M2698"/>
  <c r="E2699"/>
  <c r="M2699"/>
  <c r="E2700"/>
  <c r="M2700"/>
  <c r="E2701"/>
  <c r="M2701"/>
  <c r="E2702"/>
  <c r="M2702"/>
  <c r="E2704"/>
  <c r="M2704"/>
  <c r="E2705"/>
  <c r="M2705"/>
  <c r="E2706"/>
  <c r="M2706"/>
  <c r="E2707"/>
  <c r="M2707"/>
  <c r="N2707"/>
  <c r="O2707"/>
  <c r="V2707"/>
  <c r="E2708"/>
  <c r="M2708"/>
  <c r="E2709"/>
  <c r="M2709"/>
  <c r="E2710"/>
  <c r="M2710"/>
  <c r="E2711"/>
  <c r="M2711"/>
  <c r="E2712"/>
  <c r="M2712"/>
  <c r="E2713"/>
  <c r="M2713"/>
  <c r="E2714"/>
  <c r="M2714"/>
  <c r="E2715"/>
  <c r="M2715"/>
  <c r="E2716"/>
  <c r="M2716"/>
  <c r="E2717"/>
  <c r="M2717"/>
  <c r="E2718"/>
  <c r="M2718"/>
  <c r="E2719"/>
  <c r="M2719"/>
  <c r="E2720"/>
  <c r="M2720"/>
  <c r="E2721"/>
  <c r="M2721"/>
  <c r="E2722"/>
  <c r="M2722"/>
  <c r="E2723"/>
  <c r="M2723"/>
  <c r="E2724"/>
  <c r="M2724"/>
  <c r="E2725"/>
  <c r="M2725"/>
  <c r="E2726"/>
  <c r="M2726"/>
  <c r="E2727"/>
  <c r="M2727"/>
  <c r="V2727"/>
  <c r="E2728"/>
  <c r="M2728"/>
  <c r="E2729"/>
  <c r="M2729"/>
  <c r="N2729"/>
  <c r="O2729"/>
  <c r="E2730"/>
  <c r="M2730"/>
  <c r="E2731"/>
  <c r="M2731"/>
  <c r="E2732"/>
  <c r="M2732"/>
  <c r="E2733"/>
  <c r="M2733"/>
  <c r="E2734"/>
  <c r="M2734"/>
  <c r="E2735"/>
  <c r="M2735"/>
  <c r="E2736"/>
  <c r="M2736"/>
  <c r="E2737"/>
  <c r="M2737"/>
  <c r="E2738"/>
  <c r="M2738"/>
  <c r="E2739"/>
  <c r="M2739"/>
  <c r="E2740"/>
  <c r="M2740"/>
  <c r="E2741"/>
  <c r="M2741"/>
  <c r="E2742"/>
  <c r="M2742"/>
  <c r="E2743"/>
  <c r="M2743"/>
  <c r="E2744"/>
  <c r="M2744"/>
  <c r="E2745"/>
  <c r="M2745"/>
  <c r="E2746"/>
  <c r="M2746"/>
  <c r="E2747"/>
  <c r="M2747"/>
  <c r="E2748"/>
  <c r="M2748"/>
  <c r="E2749"/>
  <c r="M2749"/>
  <c r="E2750"/>
  <c r="M2750"/>
  <c r="E2751"/>
  <c r="M2751"/>
  <c r="E2752"/>
  <c r="M2752"/>
  <c r="N2752"/>
  <c r="O2752"/>
  <c r="V2752"/>
  <c r="E2753"/>
  <c r="M2753"/>
  <c r="E2754"/>
  <c r="M2754"/>
  <c r="E2755"/>
  <c r="M2755"/>
  <c r="E2756"/>
  <c r="M2756"/>
  <c r="E2757"/>
  <c r="M2757"/>
  <c r="E2758"/>
  <c r="M2758"/>
  <c r="E2759"/>
  <c r="M2759"/>
  <c r="E2760"/>
  <c r="M2760"/>
  <c r="E2761"/>
  <c r="M2761"/>
  <c r="E2762"/>
  <c r="M2762"/>
  <c r="E2763"/>
  <c r="M2763"/>
  <c r="E2764"/>
  <c r="M2764"/>
  <c r="E2765"/>
  <c r="M2765"/>
  <c r="E2766"/>
  <c r="M2766"/>
  <c r="E2767"/>
  <c r="M2767"/>
  <c r="E2768"/>
  <c r="M2768"/>
  <c r="E2769"/>
  <c r="M2769"/>
  <c r="E2770"/>
  <c r="M2770"/>
  <c r="E2771"/>
  <c r="M2771"/>
  <c r="E2772"/>
  <c r="M2772"/>
  <c r="N2772"/>
  <c r="O2772"/>
  <c r="V2772"/>
  <c r="E2773"/>
  <c r="M2773"/>
  <c r="E2774"/>
  <c r="M2774"/>
  <c r="E2775"/>
  <c r="M2775"/>
  <c r="E2776"/>
  <c r="M2776"/>
  <c r="E2777"/>
  <c r="M2777"/>
  <c r="E2778"/>
  <c r="M2778"/>
  <c r="E2779"/>
  <c r="M2779"/>
  <c r="E2780"/>
  <c r="M2780"/>
  <c r="E2781"/>
  <c r="M2781"/>
  <c r="E2782"/>
  <c r="M2782"/>
  <c r="E2783"/>
  <c r="M2783"/>
  <c r="E2784"/>
  <c r="M2784"/>
  <c r="E2785"/>
  <c r="M2785"/>
  <c r="E2786"/>
  <c r="M2786"/>
  <c r="E2787"/>
  <c r="M2787"/>
  <c r="E2788"/>
  <c r="M2788"/>
  <c r="E2789"/>
  <c r="M2789"/>
  <c r="E2790"/>
  <c r="M2790"/>
  <c r="E2793"/>
  <c r="M2793"/>
  <c r="E2794"/>
  <c r="M2794"/>
  <c r="E2795"/>
  <c r="M2795"/>
  <c r="N2795"/>
  <c r="O2795"/>
  <c r="V2795"/>
  <c r="E2796"/>
  <c r="M2796"/>
  <c r="O2796"/>
  <c r="E2797"/>
  <c r="M2797"/>
  <c r="E2798"/>
  <c r="M2798"/>
  <c r="E2799"/>
  <c r="M2799"/>
  <c r="E2800"/>
  <c r="M2800"/>
  <c r="E2801"/>
  <c r="M2801"/>
  <c r="E2802"/>
  <c r="M2802"/>
  <c r="E2803"/>
  <c r="M2803"/>
  <c r="E2804"/>
  <c r="M2804"/>
  <c r="E2805"/>
  <c r="M2805"/>
  <c r="E2806"/>
  <c r="M2806"/>
  <c r="E2807"/>
  <c r="M2807"/>
  <c r="E2808"/>
  <c r="M2808"/>
  <c r="E2809"/>
  <c r="M2809"/>
  <c r="E2810"/>
  <c r="M2810"/>
  <c r="E2811"/>
  <c r="M2811"/>
  <c r="V2811"/>
  <c r="E2812"/>
  <c r="M2812"/>
  <c r="E2813"/>
  <c r="M2813"/>
  <c r="E2814"/>
  <c r="M2814"/>
  <c r="E2815"/>
  <c r="M2815"/>
  <c r="E2816"/>
  <c r="M2816"/>
  <c r="N2816"/>
  <c r="O2816"/>
  <c r="E2817"/>
  <c r="M2817"/>
  <c r="E2818"/>
  <c r="M2818"/>
  <c r="E2819"/>
  <c r="M2819"/>
  <c r="E2820"/>
  <c r="M2820"/>
  <c r="E2821"/>
  <c r="M2821"/>
  <c r="E2822"/>
  <c r="M2822"/>
  <c r="E2823"/>
  <c r="M2823"/>
  <c r="E2824"/>
  <c r="M2824"/>
  <c r="E2825"/>
  <c r="M2825"/>
  <c r="E2826"/>
  <c r="M2826"/>
  <c r="E2827"/>
  <c r="M2827"/>
  <c r="E2828"/>
  <c r="M2828"/>
  <c r="E2829"/>
  <c r="M2829"/>
  <c r="E2830"/>
  <c r="M2830"/>
  <c r="E2831"/>
  <c r="M2831"/>
  <c r="E2832"/>
  <c r="M2832"/>
  <c r="E2833"/>
  <c r="M2833"/>
  <c r="E2834"/>
  <c r="M2834"/>
  <c r="E2835"/>
  <c r="M2835"/>
  <c r="E2836"/>
  <c r="M2836"/>
  <c r="N2836"/>
  <c r="O2836"/>
  <c r="V2836"/>
  <c r="E2837"/>
  <c r="M2837"/>
  <c r="E2838"/>
  <c r="M2838"/>
  <c r="E2839"/>
  <c r="M2839"/>
  <c r="E2840"/>
  <c r="M2840"/>
  <c r="E2841"/>
  <c r="M2841"/>
  <c r="E2842"/>
  <c r="M2842"/>
  <c r="E2843"/>
  <c r="M2843"/>
  <c r="E2844"/>
  <c r="M2844"/>
  <c r="E2845"/>
  <c r="M2845"/>
  <c r="E2846"/>
  <c r="M2846"/>
  <c r="E2847"/>
  <c r="M2847"/>
  <c r="E2848"/>
  <c r="M2848"/>
  <c r="E2849"/>
  <c r="M2849"/>
  <c r="E2850"/>
  <c r="M2850"/>
  <c r="E2851"/>
  <c r="M2851"/>
  <c r="E2852"/>
  <c r="M2852"/>
  <c r="E2853"/>
  <c r="M2853"/>
  <c r="E2854"/>
  <c r="M2854"/>
  <c r="E2855"/>
  <c r="M2855"/>
  <c r="E2856"/>
  <c r="M2856"/>
  <c r="E2857"/>
  <c r="M2857"/>
  <c r="E2858"/>
  <c r="M2858"/>
  <c r="N2858"/>
  <c r="O2858"/>
  <c r="V2858"/>
  <c r="E2859"/>
  <c r="M2859"/>
  <c r="E2860"/>
  <c r="M2860"/>
  <c r="E2861"/>
  <c r="M2861"/>
  <c r="E2862"/>
  <c r="M2862"/>
  <c r="E2863"/>
  <c r="M2863"/>
  <c r="E2864"/>
  <c r="M2864"/>
  <c r="E2865"/>
  <c r="M2865"/>
  <c r="E2868"/>
  <c r="M2868"/>
  <c r="E2869"/>
  <c r="M2869"/>
  <c r="E2870"/>
  <c r="M2870"/>
  <c r="E2871"/>
  <c r="M2871"/>
  <c r="E2872"/>
  <c r="M2872"/>
  <c r="E2873"/>
  <c r="M2873"/>
  <c r="E2874"/>
  <c r="M2874"/>
  <c r="E2875"/>
  <c r="M2875"/>
  <c r="E2876"/>
  <c r="M2876"/>
  <c r="E2877"/>
  <c r="M2877"/>
  <c r="E2878"/>
  <c r="M2878"/>
  <c r="E2879"/>
  <c r="M2879"/>
  <c r="E2880"/>
  <c r="M2880"/>
  <c r="N2880"/>
  <c r="O2880"/>
  <c r="V2880"/>
  <c r="E2881"/>
  <c r="M2881"/>
  <c r="E2883"/>
  <c r="M2883"/>
  <c r="E2884"/>
  <c r="M2884"/>
  <c r="E2885"/>
  <c r="M2885"/>
  <c r="E2886"/>
  <c r="M2886"/>
  <c r="E2887"/>
  <c r="M2887"/>
  <c r="E2888"/>
  <c r="M2888"/>
  <c r="E2889"/>
  <c r="M2889"/>
  <c r="E2890"/>
  <c r="M2890"/>
  <c r="E2891"/>
  <c r="M2891"/>
  <c r="E2892"/>
  <c r="M2892"/>
  <c r="E2893"/>
  <c r="M2893"/>
  <c r="E2894"/>
  <c r="M2894"/>
  <c r="E2895"/>
  <c r="M2895"/>
  <c r="E2896"/>
  <c r="M2896"/>
  <c r="E2898"/>
  <c r="M2898"/>
  <c r="E2899"/>
  <c r="M2899"/>
  <c r="V2899"/>
  <c r="E2900"/>
  <c r="M2900"/>
  <c r="E2901"/>
  <c r="M2901"/>
  <c r="N2901"/>
  <c r="O2901"/>
  <c r="E2902"/>
  <c r="M2902"/>
  <c r="E2903"/>
  <c r="M2903"/>
  <c r="E2904"/>
  <c r="M2904"/>
  <c r="E2905"/>
  <c r="M2905"/>
  <c r="E2906"/>
  <c r="M2906"/>
  <c r="E2907"/>
  <c r="M2907"/>
  <c r="E2908"/>
  <c r="M2908"/>
  <c r="E2909"/>
  <c r="M2909"/>
  <c r="E2910"/>
  <c r="M2910"/>
  <c r="E2911"/>
  <c r="M2911"/>
  <c r="E2912"/>
  <c r="M2912"/>
  <c r="E2913"/>
  <c r="M2913"/>
  <c r="E2914"/>
  <c r="M2914"/>
  <c r="E2915"/>
  <c r="M2915"/>
  <c r="E2916"/>
  <c r="M2916"/>
  <c r="E2917"/>
  <c r="M2917"/>
  <c r="E2918"/>
  <c r="M2918"/>
  <c r="E2919"/>
  <c r="M2919"/>
  <c r="E2920"/>
  <c r="M2920"/>
  <c r="E2921"/>
  <c r="M2921"/>
  <c r="E2922"/>
  <c r="M2922"/>
  <c r="E2923"/>
  <c r="M2923"/>
  <c r="N2923"/>
  <c r="O2923"/>
  <c r="V2923"/>
  <c r="E2924"/>
  <c r="M2924"/>
  <c r="E2925"/>
  <c r="M2925"/>
  <c r="E2926"/>
  <c r="M2926"/>
  <c r="E2927"/>
  <c r="M2927"/>
  <c r="E2928"/>
  <c r="M2928"/>
  <c r="E2929"/>
  <c r="M2929"/>
  <c r="E2930"/>
  <c r="M2930"/>
  <c r="E2931"/>
  <c r="M2931"/>
  <c r="E2932"/>
  <c r="M2932"/>
  <c r="E2933"/>
  <c r="M2933"/>
  <c r="E2934"/>
  <c r="M2934"/>
  <c r="E2935"/>
  <c r="M2935"/>
  <c r="E2936"/>
  <c r="M2936"/>
  <c r="E2937"/>
  <c r="M2937"/>
  <c r="E2938"/>
  <c r="M2938"/>
  <c r="E2939"/>
  <c r="M2939"/>
  <c r="E2940"/>
  <c r="M2940"/>
  <c r="E2941"/>
  <c r="M2941"/>
  <c r="E2942"/>
  <c r="M2942"/>
  <c r="E2943"/>
  <c r="M2943"/>
  <c r="E2944"/>
  <c r="M2944"/>
  <c r="E2945"/>
  <c r="M2945"/>
  <c r="E2946"/>
  <c r="M2946"/>
  <c r="N2946"/>
  <c r="O2946"/>
  <c r="V2946"/>
  <c r="E2947"/>
  <c r="M2947"/>
  <c r="E2948"/>
  <c r="M2948"/>
  <c r="E2949"/>
  <c r="M2949"/>
  <c r="E2950"/>
  <c r="M2950"/>
  <c r="E2951"/>
  <c r="M2951"/>
  <c r="E2952"/>
  <c r="M2952"/>
  <c r="E2953"/>
  <c r="M2953"/>
  <c r="E2954"/>
  <c r="M2954"/>
  <c r="E2955"/>
  <c r="M2955"/>
  <c r="E2956"/>
  <c r="M2956"/>
  <c r="E2957"/>
  <c r="M2957"/>
  <c r="E2958"/>
  <c r="M2958"/>
  <c r="E2959"/>
  <c r="M2959"/>
  <c r="E2960"/>
  <c r="M2960"/>
  <c r="E2961"/>
  <c r="M2961"/>
  <c r="E2962"/>
  <c r="M2962"/>
  <c r="E2963"/>
  <c r="M2963"/>
  <c r="E2964"/>
  <c r="M2964"/>
  <c r="E2965"/>
  <c r="M2965"/>
  <c r="E2966"/>
  <c r="M2966"/>
  <c r="N2966"/>
  <c r="O2966"/>
  <c r="V2966"/>
  <c r="E2967"/>
  <c r="M2967"/>
  <c r="E2968"/>
  <c r="M2968"/>
  <c r="E2969"/>
  <c r="M2969"/>
  <c r="E2970"/>
  <c r="M2970"/>
  <c r="E2971"/>
  <c r="M2971"/>
  <c r="E2972"/>
  <c r="M2972"/>
  <c r="E2973"/>
  <c r="M2973"/>
  <c r="E2974"/>
  <c r="M2974"/>
  <c r="E2975"/>
  <c r="M2975"/>
  <c r="E2976"/>
  <c r="M2976"/>
  <c r="E2977"/>
  <c r="M2977"/>
  <c r="E2978"/>
  <c r="M2978"/>
  <c r="E2979"/>
  <c r="M2979"/>
  <c r="E2980"/>
  <c r="M2980"/>
  <c r="E2981"/>
  <c r="M2981"/>
  <c r="E2982"/>
  <c r="M2982"/>
  <c r="E2983"/>
  <c r="M2983"/>
  <c r="E2984"/>
  <c r="M2984"/>
  <c r="E2985"/>
  <c r="M2985"/>
  <c r="E2986"/>
  <c r="M2986"/>
  <c r="E2987"/>
  <c r="M2987"/>
  <c r="E2988"/>
  <c r="M2988"/>
  <c r="N2988"/>
  <c r="O2988"/>
  <c r="V2988"/>
  <c r="E2989"/>
  <c r="M2989"/>
  <c r="E2990"/>
  <c r="M2990"/>
  <c r="E2991"/>
  <c r="M2991"/>
  <c r="E2992"/>
  <c r="M2992"/>
  <c r="E2993"/>
  <c r="M2993"/>
  <c r="E2994"/>
  <c r="M2994"/>
  <c r="E2995"/>
  <c r="M2995"/>
  <c r="E2996"/>
  <c r="M2996"/>
  <c r="E2997"/>
  <c r="M2997"/>
  <c r="E2998"/>
  <c r="M2998"/>
  <c r="E2999"/>
  <c r="M2999"/>
  <c r="E3000"/>
  <c r="M3000"/>
  <c r="E3001"/>
  <c r="M3001"/>
  <c r="E3002"/>
  <c r="M3002"/>
  <c r="E3003"/>
  <c r="M3003"/>
  <c r="E3004"/>
  <c r="M3004"/>
  <c r="E3005"/>
  <c r="M3005"/>
  <c r="E3006"/>
  <c r="M3006"/>
  <c r="E3007"/>
  <c r="M3007"/>
  <c r="E3008"/>
  <c r="M3008"/>
  <c r="E3009"/>
  <c r="M3009"/>
  <c r="E3010"/>
  <c r="M3010"/>
  <c r="N3010"/>
  <c r="O3010"/>
  <c r="V3010"/>
  <c r="E3011"/>
  <c r="M3011"/>
  <c r="E3012"/>
  <c r="M3012"/>
  <c r="E3013"/>
  <c r="M3013"/>
  <c r="E3014"/>
  <c r="M3014"/>
  <c r="E3015"/>
  <c r="M3015"/>
  <c r="E3016"/>
  <c r="M3016"/>
  <c r="E3017"/>
  <c r="M3017"/>
  <c r="E3018"/>
  <c r="M3018"/>
  <c r="E3019"/>
  <c r="M3019"/>
  <c r="E3020"/>
  <c r="M3020"/>
  <c r="E3021"/>
  <c r="M3021"/>
  <c r="E3022"/>
  <c r="M3022"/>
  <c r="E3023"/>
  <c r="M3023"/>
  <c r="E3024"/>
  <c r="M3024"/>
  <c r="E3025"/>
  <c r="M3025"/>
  <c r="E3026"/>
  <c r="M3026"/>
  <c r="E3027"/>
  <c r="M3027"/>
  <c r="E3028"/>
  <c r="M3028"/>
  <c r="E3029"/>
  <c r="M3029"/>
  <c r="E3030"/>
  <c r="M3030"/>
  <c r="E3031"/>
  <c r="M3031"/>
  <c r="N3031"/>
  <c r="O3031"/>
  <c r="V3031"/>
  <c r="E3032"/>
  <c r="M3032"/>
  <c r="E3033"/>
  <c r="M3033"/>
  <c r="E3034"/>
  <c r="M3034"/>
  <c r="E3035"/>
  <c r="M3035"/>
  <c r="E3036"/>
  <c r="M3036"/>
  <c r="E3037"/>
  <c r="M3037"/>
  <c r="E3038"/>
  <c r="M3038"/>
  <c r="E3039"/>
  <c r="M3039"/>
  <c r="E3040"/>
  <c r="M3040"/>
  <c r="E3041"/>
  <c r="M3041"/>
  <c r="E3042"/>
  <c r="M3042"/>
  <c r="E3043"/>
  <c r="M3043"/>
  <c r="E3044"/>
  <c r="M3044"/>
  <c r="E3045"/>
  <c r="M3045"/>
  <c r="E3046"/>
  <c r="M3046"/>
  <c r="E3047"/>
  <c r="M3047"/>
  <c r="E3048"/>
  <c r="M3048"/>
  <c r="E3049"/>
  <c r="M3049"/>
  <c r="Q3049"/>
  <c r="W3049" s="1"/>
  <c r="E3052"/>
  <c r="M3052"/>
  <c r="E3053"/>
  <c r="M3053"/>
  <c r="E3054"/>
  <c r="M3054"/>
  <c r="N3054"/>
  <c r="Q3054"/>
  <c r="W3054" s="1"/>
  <c r="V3054"/>
  <c r="E3055"/>
  <c r="M3055"/>
  <c r="O3055"/>
  <c r="Q3055"/>
  <c r="W3055" s="1"/>
  <c r="E3056"/>
  <c r="M3056"/>
  <c r="Q3056"/>
  <c r="W3056" s="1"/>
  <c r="E3057"/>
  <c r="M3057"/>
  <c r="Q3057"/>
  <c r="W3057" s="1"/>
  <c r="E3058"/>
  <c r="M3058"/>
  <c r="Q3058"/>
  <c r="W3058" s="1"/>
  <c r="E3059"/>
  <c r="M3059"/>
  <c r="Q3059"/>
  <c r="W3059" s="1"/>
  <c r="E3060"/>
  <c r="M3060"/>
  <c r="Q3060"/>
  <c r="W3060" s="1"/>
  <c r="E3061"/>
  <c r="M3061"/>
  <c r="Q3061"/>
  <c r="W3061" s="1"/>
  <c r="E3062"/>
  <c r="M3062"/>
  <c r="Q3062"/>
  <c r="W3062" s="1"/>
  <c r="E3063"/>
  <c r="M3063"/>
  <c r="Q3063"/>
  <c r="W3063" s="1"/>
  <c r="E3064"/>
  <c r="M3064"/>
  <c r="Q3064"/>
  <c r="W3064" s="1"/>
  <c r="E3065"/>
  <c r="M3065"/>
  <c r="Q3065"/>
  <c r="W3065" s="1"/>
  <c r="E3066"/>
  <c r="M3066"/>
  <c r="Q3066"/>
  <c r="W3066" s="1"/>
  <c r="E3067"/>
  <c r="M3067"/>
  <c r="Q3067"/>
  <c r="W3067" s="1"/>
  <c r="E3068"/>
  <c r="M3068"/>
  <c r="Q3068"/>
  <c r="W3068" s="1"/>
  <c r="E3069"/>
  <c r="M3069"/>
  <c r="Q3069"/>
  <c r="W3069" s="1"/>
  <c r="E3070"/>
  <c r="M3070"/>
  <c r="Q3070"/>
  <c r="W3070" s="1"/>
  <c r="E3071"/>
  <c r="M3071"/>
  <c r="Q3071"/>
  <c r="W3071" s="1"/>
  <c r="E3072"/>
  <c r="M3072"/>
  <c r="Q3072"/>
  <c r="W3072" s="1"/>
  <c r="E3073"/>
  <c r="M3073"/>
  <c r="Q3073"/>
  <c r="W3073" s="1"/>
  <c r="E3074"/>
  <c r="M3074"/>
  <c r="N3074"/>
  <c r="O3074"/>
  <c r="Q3074"/>
  <c r="W3074" s="1"/>
  <c r="V3074"/>
  <c r="E3075"/>
  <c r="M3075"/>
  <c r="Q3075"/>
  <c r="W3075" s="1"/>
  <c r="E3076"/>
  <c r="M3076"/>
  <c r="Q3076"/>
  <c r="W3076" s="1"/>
  <c r="E3077"/>
  <c r="M3077"/>
  <c r="Q3077"/>
  <c r="W3077" s="1"/>
  <c r="E3078"/>
  <c r="M3078"/>
  <c r="Q3078"/>
  <c r="W3078" s="1"/>
  <c r="E3079"/>
  <c r="M3079"/>
  <c r="Q3079"/>
  <c r="W3079" s="1"/>
  <c r="E3080"/>
  <c r="M3080"/>
  <c r="Q3080"/>
  <c r="W3080" s="1"/>
  <c r="E3081"/>
  <c r="M3081"/>
  <c r="Q3081"/>
  <c r="W3081" s="1"/>
  <c r="E3082"/>
  <c r="M3082"/>
  <c r="Q3082"/>
  <c r="W3082" s="1"/>
  <c r="E3083"/>
  <c r="M3083"/>
  <c r="Q3083"/>
  <c r="W3083" s="1"/>
  <c r="E3084"/>
  <c r="M3084"/>
  <c r="Q3084"/>
  <c r="W3084" s="1"/>
  <c r="E3085"/>
  <c r="M3085"/>
  <c r="E3086"/>
  <c r="M3086"/>
  <c r="E3087"/>
  <c r="M3087"/>
  <c r="E3088"/>
  <c r="M3088"/>
  <c r="E3089"/>
  <c r="M3089"/>
  <c r="E3090"/>
  <c r="M3090"/>
  <c r="Q3090"/>
  <c r="W3090" s="1"/>
  <c r="E3091"/>
  <c r="M3091"/>
  <c r="Q3091"/>
  <c r="W3091" s="1"/>
  <c r="E3092"/>
  <c r="M3092"/>
  <c r="Q3092"/>
  <c r="W3092" s="1"/>
  <c r="E3093"/>
  <c r="M3093"/>
  <c r="Q3093"/>
  <c r="W3093" s="1"/>
  <c r="E3094"/>
  <c r="M3094"/>
  <c r="N3094"/>
  <c r="O3094"/>
  <c r="Q3094"/>
  <c r="W3094" s="1"/>
  <c r="V3094"/>
  <c r="E3095"/>
  <c r="M3095"/>
  <c r="Q3095"/>
  <c r="W3095" s="1"/>
  <c r="E3096"/>
  <c r="M3096"/>
  <c r="Q3096"/>
  <c r="W3096" s="1"/>
  <c r="E3097"/>
  <c r="M3097"/>
  <c r="Q3097"/>
  <c r="W3097" s="1"/>
  <c r="E3098"/>
  <c r="M3098"/>
  <c r="Q3098"/>
  <c r="W3098" s="1"/>
  <c r="E3099"/>
  <c r="M3099"/>
  <c r="Q3099"/>
  <c r="W3099" s="1"/>
  <c r="E3100"/>
  <c r="M3100"/>
  <c r="Q3100"/>
  <c r="W3100" s="1"/>
  <c r="E3101"/>
  <c r="M3101"/>
  <c r="Q3101"/>
  <c r="W3101" s="1"/>
  <c r="E3102"/>
  <c r="M3102"/>
  <c r="Q3102"/>
  <c r="W3102" s="1"/>
  <c r="E3103"/>
  <c r="M3103"/>
  <c r="Q3103"/>
  <c r="W3103" s="1"/>
  <c r="E3104"/>
  <c r="M3104"/>
  <c r="Q3104"/>
  <c r="W3104" s="1"/>
  <c r="E3105"/>
  <c r="M3105"/>
  <c r="Q3105"/>
  <c r="W3105" s="1"/>
  <c r="E3106"/>
  <c r="M3106"/>
  <c r="Q3106"/>
  <c r="W3106" s="1"/>
  <c r="E3107"/>
  <c r="M3107"/>
  <c r="Q3107"/>
  <c r="W3107" s="1"/>
  <c r="E3108"/>
  <c r="M3108"/>
  <c r="Q3108"/>
  <c r="W3108" s="1"/>
  <c r="E3109"/>
  <c r="M3109"/>
  <c r="Q3109"/>
  <c r="W3109" s="1"/>
  <c r="E3110"/>
  <c r="M3110"/>
  <c r="Q3110"/>
  <c r="W3110" s="1"/>
  <c r="E3111"/>
  <c r="M3111"/>
  <c r="Q3111"/>
  <c r="W3111" s="1"/>
  <c r="E3112"/>
  <c r="M3112"/>
  <c r="Q3112"/>
  <c r="W3112" s="1"/>
  <c r="E3113"/>
  <c r="M3113"/>
  <c r="Q3113"/>
  <c r="W3113" s="1"/>
  <c r="E3114"/>
  <c r="M3114"/>
  <c r="Q3114"/>
  <c r="W3114" s="1"/>
  <c r="E3115"/>
  <c r="M3115"/>
  <c r="Q3115"/>
  <c r="W3115" s="1"/>
  <c r="E3116"/>
  <c r="M3116"/>
  <c r="Q3116"/>
  <c r="W3116" s="1"/>
  <c r="E3117"/>
  <c r="M3117"/>
  <c r="N3117"/>
  <c r="O3117"/>
  <c r="Q3117"/>
  <c r="W3117" s="1"/>
  <c r="V3117"/>
  <c r="E3118"/>
  <c r="M3118"/>
  <c r="Q3118"/>
  <c r="W3118" s="1"/>
  <c r="Q3119"/>
  <c r="W3119" s="1"/>
  <c r="E3121"/>
  <c r="M3121"/>
  <c r="Q3121"/>
  <c r="W3121" s="1"/>
  <c r="E3122"/>
  <c r="M3122"/>
  <c r="Q3122"/>
  <c r="W3122" s="1"/>
  <c r="E3123"/>
  <c r="M3123"/>
  <c r="Q3123"/>
  <c r="W3123" s="1"/>
  <c r="E3124"/>
  <c r="M3124"/>
  <c r="Q3124"/>
  <c r="W3124" s="1"/>
  <c r="E3125"/>
  <c r="M3125"/>
  <c r="Q3125"/>
  <c r="W3125" s="1"/>
  <c r="E3126"/>
  <c r="M3126"/>
  <c r="Q3126"/>
  <c r="W3126" s="1"/>
  <c r="E3127"/>
  <c r="M3127"/>
  <c r="Q3127"/>
  <c r="W3127" s="1"/>
  <c r="E3128"/>
  <c r="M3128"/>
  <c r="Q3128"/>
  <c r="W3128" s="1"/>
  <c r="E3129"/>
  <c r="M3129"/>
  <c r="Q3129"/>
  <c r="W3129" s="1"/>
  <c r="E3130"/>
  <c r="M3130"/>
  <c r="Q3130"/>
  <c r="W3130" s="1"/>
  <c r="E3131"/>
  <c r="M3131"/>
  <c r="Q3131"/>
  <c r="W3131" s="1"/>
  <c r="E3132"/>
  <c r="M3132"/>
  <c r="Q3132"/>
  <c r="W3132" s="1"/>
  <c r="E3133"/>
  <c r="M3133"/>
  <c r="Q3133"/>
  <c r="W3133" s="1"/>
  <c r="E3134"/>
  <c r="M3134"/>
  <c r="Q3134"/>
  <c r="W3134" s="1"/>
  <c r="E3135"/>
  <c r="M3135"/>
  <c r="Q3135"/>
  <c r="W3135" s="1"/>
  <c r="E3136"/>
  <c r="M3136"/>
  <c r="Q3136"/>
  <c r="W3136" s="1"/>
  <c r="E3137"/>
  <c r="M3137"/>
  <c r="Q3137"/>
  <c r="W3137" s="1"/>
  <c r="E3138"/>
  <c r="M3138"/>
  <c r="Q3138"/>
  <c r="W3138" s="1"/>
  <c r="E3139"/>
  <c r="M3139"/>
  <c r="N3139"/>
  <c r="O3139"/>
  <c r="Q3139"/>
  <c r="W3139" s="1"/>
  <c r="V3139"/>
  <c r="E3141"/>
  <c r="M3141"/>
  <c r="Q3141"/>
  <c r="W3141" s="1"/>
  <c r="E3142"/>
  <c r="M3142"/>
  <c r="Q3142"/>
  <c r="W3142" s="1"/>
  <c r="E3143"/>
  <c r="M3143"/>
  <c r="Q3143"/>
  <c r="W3143" s="1"/>
  <c r="E3144"/>
  <c r="M3144"/>
  <c r="Q3144"/>
  <c r="W3144" s="1"/>
  <c r="E3145"/>
  <c r="M3145"/>
  <c r="Q3145"/>
  <c r="W3145" s="1"/>
  <c r="E3146"/>
  <c r="M3146"/>
  <c r="Q3146"/>
  <c r="W3146" s="1"/>
  <c r="E3147"/>
  <c r="M3147"/>
  <c r="Q3147"/>
  <c r="W3147" s="1"/>
  <c r="E3148"/>
  <c r="M3148"/>
  <c r="Q3148"/>
  <c r="W3148" s="1"/>
  <c r="E3149"/>
  <c r="M3149"/>
  <c r="Q3149"/>
  <c r="W3149" s="1"/>
  <c r="E3150"/>
  <c r="M3150"/>
  <c r="Q3150"/>
  <c r="W3150" s="1"/>
  <c r="E3151"/>
  <c r="M3151"/>
  <c r="Q3151"/>
  <c r="W3151" s="1"/>
  <c r="E3152"/>
  <c r="M3152"/>
  <c r="Q3152"/>
  <c r="W3152" s="1"/>
  <c r="E3153"/>
  <c r="M3153"/>
  <c r="Q3153"/>
  <c r="W3153" s="1"/>
  <c r="E3154"/>
  <c r="M3154"/>
  <c r="Q3154"/>
  <c r="W3154" s="1"/>
  <c r="E3155"/>
  <c r="M3155"/>
  <c r="Q3155"/>
  <c r="W3155" s="1"/>
  <c r="E3156"/>
  <c r="M3156"/>
  <c r="Q3156"/>
  <c r="W3156" s="1"/>
  <c r="E3157"/>
  <c r="M3157"/>
  <c r="Q3157"/>
  <c r="W3157" s="1"/>
  <c r="E3158"/>
  <c r="M3158"/>
  <c r="Q3158"/>
  <c r="W3158" s="1"/>
  <c r="E3159"/>
  <c r="M3159"/>
  <c r="Q3159"/>
  <c r="W3159" s="1"/>
  <c r="N3160"/>
  <c r="O3160"/>
  <c r="Q3160"/>
  <c r="W3160" s="1"/>
  <c r="V3160"/>
  <c r="E3161"/>
  <c r="M3161"/>
  <c r="Q3161"/>
  <c r="W3161" s="1"/>
  <c r="E3162"/>
  <c r="M3162"/>
  <c r="E3163"/>
  <c r="M3163"/>
  <c r="Q3163"/>
  <c r="W3163" s="1"/>
  <c r="E3164"/>
  <c r="M3164"/>
  <c r="Q3164"/>
  <c r="W3164" s="1"/>
  <c r="E3165"/>
  <c r="M3165"/>
  <c r="Q3165"/>
  <c r="W3165" s="1"/>
  <c r="E3166"/>
  <c r="M3166"/>
  <c r="Q3166"/>
  <c r="W3166" s="1"/>
  <c r="E3167"/>
  <c r="M3167"/>
  <c r="Q3167"/>
  <c r="W3167" s="1"/>
  <c r="E3168"/>
  <c r="M3168"/>
  <c r="Q3168"/>
  <c r="W3168" s="1"/>
  <c r="E3169"/>
  <c r="M3169"/>
  <c r="Q3169"/>
  <c r="W3169" s="1"/>
  <c r="E3170"/>
  <c r="M3170"/>
  <c r="E3171"/>
  <c r="M3171"/>
  <c r="E3172"/>
  <c r="M3172"/>
  <c r="E3173"/>
  <c r="M3173"/>
  <c r="Q3173"/>
  <c r="W3173" s="1"/>
  <c r="E3174"/>
  <c r="M3174"/>
  <c r="Q3174"/>
  <c r="W3174" s="1"/>
  <c r="E3175"/>
  <c r="M3175"/>
  <c r="Q3175"/>
  <c r="W3175" s="1"/>
  <c r="E3176"/>
  <c r="M3176"/>
  <c r="Q3176"/>
  <c r="W3176" s="1"/>
  <c r="E3177"/>
  <c r="M3177"/>
  <c r="Q3177"/>
  <c r="W3177" s="1"/>
  <c r="E3178"/>
  <c r="M3178"/>
  <c r="Q3178"/>
  <c r="W3178" s="1"/>
  <c r="E3179"/>
  <c r="M3179"/>
  <c r="Q3179"/>
  <c r="W3179" s="1"/>
  <c r="E3180"/>
  <c r="M3180"/>
  <c r="Q3180"/>
  <c r="W3180" s="1"/>
  <c r="E3181"/>
  <c r="M3181"/>
  <c r="Q3181"/>
  <c r="W3181" s="1"/>
  <c r="E3182"/>
  <c r="M3182"/>
  <c r="N3182"/>
  <c r="O3182"/>
  <c r="Q3182"/>
  <c r="W3182" s="1"/>
  <c r="V3182"/>
  <c r="E3183"/>
  <c r="M3183"/>
  <c r="Q3183"/>
  <c r="W3183" s="1"/>
  <c r="E3184"/>
  <c r="M3184"/>
  <c r="Q3184"/>
  <c r="W3184" s="1"/>
  <c r="E3185"/>
  <c r="M3185"/>
  <c r="Q3185"/>
  <c r="W3185" s="1"/>
  <c r="E3186"/>
  <c r="M3186"/>
  <c r="Q3186"/>
  <c r="W3186" s="1"/>
  <c r="E3187"/>
  <c r="M3187"/>
  <c r="Q3187"/>
  <c r="W3187" s="1"/>
  <c r="E3188"/>
  <c r="M3188"/>
  <c r="Q3188"/>
  <c r="W3188" s="1"/>
  <c r="E3189"/>
  <c r="M3189"/>
  <c r="Q3189"/>
  <c r="W3189" s="1"/>
  <c r="E3190"/>
  <c r="M3190"/>
  <c r="Q3190"/>
  <c r="W3190" s="1"/>
  <c r="E3191"/>
  <c r="M3191"/>
  <c r="Q3191"/>
  <c r="W3191" s="1"/>
  <c r="E3192"/>
  <c r="M3192"/>
  <c r="Q3192"/>
  <c r="W3192" s="1"/>
  <c r="E3193"/>
  <c r="M3193"/>
  <c r="Q3193"/>
  <c r="W3193" s="1"/>
  <c r="E3194"/>
  <c r="M3194"/>
  <c r="Q3194"/>
  <c r="W3194" s="1"/>
  <c r="E3195"/>
  <c r="M3195"/>
  <c r="Q3195"/>
  <c r="W3195" s="1"/>
  <c r="E3196"/>
  <c r="M3196"/>
  <c r="Q3196"/>
  <c r="W3196" s="1"/>
  <c r="E3197"/>
  <c r="M3197"/>
  <c r="Q3197"/>
  <c r="W3197" s="1"/>
  <c r="E3198"/>
  <c r="M3198"/>
  <c r="Q3198"/>
  <c r="W3198" s="1"/>
  <c r="E3199"/>
  <c r="M3199"/>
  <c r="Q3199"/>
  <c r="W3199" s="1"/>
  <c r="E3200"/>
  <c r="M3200"/>
  <c r="E3201"/>
  <c r="M3201"/>
  <c r="E3202"/>
  <c r="M3202"/>
  <c r="Q3202"/>
  <c r="W3202" s="1"/>
  <c r="E3203"/>
  <c r="M3203"/>
  <c r="Q3203"/>
  <c r="W3203" s="1"/>
  <c r="E3204"/>
  <c r="M3204"/>
  <c r="N3204"/>
  <c r="O3204"/>
  <c r="Q3204"/>
  <c r="W3204" s="1"/>
  <c r="V3204"/>
  <c r="E3205"/>
  <c r="M3205"/>
  <c r="Q3205"/>
  <c r="W3205" s="1"/>
  <c r="E3206"/>
  <c r="M3206"/>
  <c r="Q3206"/>
  <c r="W3206" s="1"/>
  <c r="E3207"/>
  <c r="M3207"/>
  <c r="Q3207"/>
  <c r="W3207" s="1"/>
  <c r="E3208"/>
  <c r="M3208"/>
  <c r="Q3208"/>
  <c r="W3208" s="1"/>
  <c r="E3209"/>
  <c r="M3209"/>
  <c r="Q3209"/>
  <c r="W3209" s="1"/>
  <c r="E3210"/>
  <c r="M3210"/>
  <c r="Q3210"/>
  <c r="W3210" s="1"/>
  <c r="E3211"/>
  <c r="M3211"/>
  <c r="Q3211"/>
  <c r="W3211" s="1"/>
  <c r="E3212"/>
  <c r="M3212"/>
  <c r="Q3212"/>
  <c r="W3212" s="1"/>
  <c r="E3213"/>
  <c r="M3213"/>
  <c r="Q3213"/>
  <c r="W3213" s="1"/>
  <c r="E3214"/>
  <c r="M3214"/>
  <c r="Q3214"/>
  <c r="W3214" s="1"/>
  <c r="E3215"/>
  <c r="M3215"/>
  <c r="Q3215"/>
  <c r="W3215" s="1"/>
  <c r="E3216"/>
  <c r="M3216"/>
  <c r="Q3216"/>
  <c r="W3216" s="1"/>
  <c r="E3217"/>
  <c r="M3217"/>
  <c r="Q3217"/>
  <c r="W3217" s="1"/>
  <c r="E3218"/>
  <c r="M3218"/>
  <c r="Q3218"/>
  <c r="W3218" s="1"/>
  <c r="E3219"/>
  <c r="M3219"/>
  <c r="Q3219"/>
  <c r="W3219" s="1"/>
  <c r="E3220"/>
  <c r="M3220"/>
  <c r="Q3220"/>
  <c r="W3220" s="1"/>
  <c r="E3221"/>
  <c r="M3221"/>
  <c r="Q3221"/>
  <c r="W3221" s="1"/>
  <c r="E3222"/>
  <c r="M3222"/>
  <c r="Q3222"/>
  <c r="W3222" s="1"/>
  <c r="E3223"/>
  <c r="M3223"/>
  <c r="Q3223"/>
  <c r="W3223" s="1"/>
  <c r="E3224"/>
  <c r="M3224"/>
  <c r="Q3224"/>
  <c r="W3224" s="1"/>
  <c r="Q3225"/>
  <c r="W3225" s="1"/>
  <c r="E3226"/>
  <c r="M3226"/>
  <c r="N3226"/>
  <c r="O3226"/>
  <c r="Q3226"/>
  <c r="W3226" s="1"/>
  <c r="V3226"/>
  <c r="E3227"/>
  <c r="M3227"/>
  <c r="Q3227"/>
  <c r="W3227" s="1"/>
  <c r="E3228"/>
  <c r="M3228"/>
  <c r="Q3228"/>
  <c r="W3228" s="1"/>
  <c r="E3229"/>
  <c r="M3229"/>
  <c r="Q3229"/>
  <c r="W3229" s="1"/>
  <c r="E3230"/>
  <c r="M3230"/>
  <c r="Q3230"/>
  <c r="W3230" s="1"/>
  <c r="E3231"/>
  <c r="M3231"/>
  <c r="Q3231"/>
  <c r="W3231" s="1"/>
  <c r="E3232"/>
  <c r="M3232"/>
  <c r="Q3232"/>
  <c r="W3232" s="1"/>
  <c r="E3233"/>
  <c r="M3233"/>
  <c r="Q3233"/>
  <c r="W3233" s="1"/>
  <c r="E3234"/>
  <c r="M3234"/>
  <c r="Q3234"/>
  <c r="W3234" s="1"/>
  <c r="E3235"/>
  <c r="M3235"/>
  <c r="Q3235"/>
  <c r="W3235" s="1"/>
  <c r="E3236"/>
  <c r="M3236"/>
  <c r="Q3236"/>
  <c r="W3236" s="1"/>
  <c r="E3237"/>
  <c r="M3237"/>
  <c r="Q3237"/>
  <c r="W3237" s="1"/>
  <c r="E3238"/>
  <c r="M3238"/>
  <c r="Q3238"/>
  <c r="W3238" s="1"/>
  <c r="E3239"/>
  <c r="M3239"/>
  <c r="Q3239"/>
  <c r="W3239" s="1"/>
  <c r="E3240"/>
  <c r="M3240"/>
  <c r="Q3240"/>
  <c r="W3240" s="1"/>
  <c r="E3241"/>
  <c r="M3241"/>
  <c r="E3242"/>
  <c r="M3242"/>
  <c r="E3243"/>
  <c r="M3243"/>
  <c r="E3244"/>
  <c r="M3244"/>
  <c r="E3245"/>
  <c r="M3245"/>
  <c r="Q3245"/>
  <c r="W3245" s="1"/>
  <c r="E3246"/>
  <c r="M3246"/>
  <c r="Q3246"/>
  <c r="W3246" s="1"/>
  <c r="E3247"/>
  <c r="M3247"/>
  <c r="Q3247"/>
  <c r="W3247" s="1"/>
  <c r="E3248"/>
  <c r="M3248"/>
  <c r="N3248"/>
  <c r="O3248"/>
  <c r="Q3248"/>
  <c r="W3248" s="1"/>
  <c r="V3248"/>
  <c r="E3249"/>
  <c r="M3249"/>
  <c r="E3250"/>
  <c r="M3250"/>
  <c r="E3251"/>
  <c r="M3251"/>
  <c r="E3252"/>
  <c r="M3252"/>
  <c r="E3253"/>
  <c r="M3253"/>
  <c r="E3254"/>
  <c r="M3254"/>
  <c r="Q3254"/>
  <c r="W3254" s="1"/>
  <c r="E3255"/>
  <c r="M3255"/>
  <c r="Q3255"/>
  <c r="W3255" s="1"/>
  <c r="E3256"/>
  <c r="M3256"/>
  <c r="Q3256"/>
  <c r="W3256" s="1"/>
  <c r="E3257"/>
  <c r="M3257"/>
  <c r="Q3257"/>
  <c r="W3257" s="1"/>
  <c r="E3258"/>
  <c r="M3258"/>
  <c r="Q3258"/>
  <c r="W3258" s="1"/>
  <c r="E3259"/>
  <c r="M3259"/>
  <c r="Q3259"/>
  <c r="W3259" s="1"/>
  <c r="E3260"/>
  <c r="M3260"/>
  <c r="Q3260"/>
  <c r="W3260" s="1"/>
  <c r="E3261"/>
  <c r="M3261"/>
  <c r="Q3261"/>
  <c r="W3261" s="1"/>
  <c r="E3262"/>
  <c r="M3262"/>
  <c r="Q3262"/>
  <c r="W3262" s="1"/>
  <c r="E3263"/>
  <c r="M3263"/>
  <c r="Q3263"/>
  <c r="W3263" s="1"/>
  <c r="E3264"/>
  <c r="M3264"/>
  <c r="Q3264"/>
  <c r="W3264" s="1"/>
  <c r="E3265"/>
  <c r="M3265"/>
  <c r="Q3265"/>
  <c r="W3265" s="1"/>
  <c r="E3266"/>
  <c r="M3266"/>
  <c r="Q3266"/>
  <c r="W3266" s="1"/>
  <c r="E3267"/>
  <c r="M3267"/>
  <c r="Q3267"/>
  <c r="W3267" s="1"/>
  <c r="E3268"/>
  <c r="M3268"/>
  <c r="Q3268"/>
  <c r="W3268" s="1"/>
  <c r="E3269"/>
  <c r="M3269"/>
  <c r="N3269"/>
  <c r="O3269"/>
  <c r="Q3269"/>
  <c r="W3269" s="1"/>
  <c r="V3269"/>
  <c r="E3270"/>
  <c r="M3270"/>
  <c r="E3271"/>
  <c r="M3271"/>
  <c r="E3272"/>
  <c r="M3272"/>
  <c r="Q3272"/>
  <c r="W3272" s="1"/>
  <c r="E3273"/>
  <c r="M3273"/>
  <c r="Q3273"/>
  <c r="W3273" s="1"/>
  <c r="E3274"/>
  <c r="M3274"/>
  <c r="Q3274"/>
  <c r="W3274" s="1"/>
  <c r="E3275"/>
  <c r="M3275"/>
  <c r="Q3275"/>
  <c r="W3275" s="1"/>
  <c r="E3276"/>
  <c r="M3276"/>
  <c r="Q3276"/>
  <c r="W3276" s="1"/>
  <c r="E3277"/>
  <c r="M3277"/>
  <c r="Q3277"/>
  <c r="W3277" s="1"/>
  <c r="E3278"/>
  <c r="M3278"/>
  <c r="Q3278"/>
  <c r="W3278" s="1"/>
  <c r="E3279"/>
  <c r="M3279"/>
  <c r="Q3279"/>
  <c r="W3279" s="1"/>
  <c r="E3280"/>
  <c r="M3280"/>
  <c r="Q3280"/>
  <c r="W3280" s="1"/>
  <c r="E3281"/>
  <c r="M3281"/>
  <c r="Q3281"/>
  <c r="W3281" s="1"/>
  <c r="E3282"/>
  <c r="M3282"/>
  <c r="Q3282"/>
  <c r="W3282" s="1"/>
  <c r="E3283"/>
  <c r="M3283"/>
  <c r="Q3283"/>
  <c r="W3283" s="1"/>
  <c r="E3284"/>
  <c r="M3284"/>
  <c r="Q3284"/>
  <c r="W3284" s="1"/>
  <c r="E3285"/>
  <c r="M3285"/>
  <c r="Q3285"/>
  <c r="W3285" s="1"/>
  <c r="E3286"/>
  <c r="M3286"/>
  <c r="Q3286"/>
  <c r="W3286" s="1"/>
  <c r="E3287"/>
  <c r="M3287"/>
  <c r="Q3287"/>
  <c r="W3287" s="1"/>
  <c r="E3288"/>
  <c r="M3288"/>
  <c r="Q3288"/>
  <c r="W3288" s="1"/>
  <c r="E3289"/>
  <c r="M3289"/>
  <c r="Q3289"/>
  <c r="W3289" s="1"/>
  <c r="E3290"/>
  <c r="M3290"/>
  <c r="Q3290"/>
  <c r="W3290" s="1"/>
  <c r="E3291"/>
  <c r="M3291"/>
  <c r="N3291"/>
  <c r="O3291"/>
  <c r="Q3291"/>
  <c r="W3291" s="1"/>
  <c r="V3291"/>
  <c r="E3292"/>
  <c r="M3292"/>
  <c r="Q3292"/>
  <c r="W3292" s="1"/>
  <c r="E3293"/>
  <c r="M3293"/>
  <c r="Q3293"/>
  <c r="W3293" s="1"/>
  <c r="E3294"/>
  <c r="M3294"/>
  <c r="Q3294"/>
  <c r="W3294" s="1"/>
  <c r="E3295"/>
  <c r="M3295"/>
  <c r="Q3295"/>
  <c r="W3295" s="1"/>
  <c r="E3296"/>
  <c r="M3296"/>
  <c r="Q3296"/>
  <c r="W3296" s="1"/>
  <c r="E3297"/>
  <c r="M3297"/>
  <c r="Q3297"/>
  <c r="W3297" s="1"/>
  <c r="E3298"/>
  <c r="M3298"/>
  <c r="Q3298"/>
  <c r="W3298" s="1"/>
  <c r="E3299"/>
  <c r="M3299"/>
  <c r="Q3299"/>
  <c r="W3299" s="1"/>
  <c r="E3300"/>
  <c r="M3300"/>
  <c r="Q3300"/>
  <c r="W3300" s="1"/>
  <c r="E3301"/>
  <c r="M3301"/>
  <c r="Q3301"/>
  <c r="W3301" s="1"/>
  <c r="E3302"/>
  <c r="M3302"/>
  <c r="Q3302"/>
  <c r="W3302" s="1"/>
  <c r="E3303"/>
  <c r="M3303"/>
  <c r="Q3303"/>
  <c r="W3303" s="1"/>
  <c r="E3304"/>
  <c r="M3304"/>
  <c r="Q3304"/>
  <c r="W3304" s="1"/>
  <c r="E3305"/>
  <c r="M3305"/>
  <c r="Q3305"/>
  <c r="W3305" s="1"/>
  <c r="E3306"/>
  <c r="M3306"/>
  <c r="E3307"/>
  <c r="M3307"/>
  <c r="Q3307"/>
  <c r="W3307" s="1"/>
  <c r="E3308"/>
  <c r="M3308"/>
  <c r="Q3308"/>
  <c r="W3308" s="1"/>
  <c r="E3309"/>
  <c r="M3309"/>
  <c r="Q3309"/>
  <c r="W3309" s="1"/>
  <c r="E3312"/>
  <c r="M3312"/>
  <c r="Q3312"/>
  <c r="W3312" s="1"/>
  <c r="E3313"/>
  <c r="M3313"/>
  <c r="Q3313"/>
  <c r="W3313" s="1"/>
  <c r="E3314"/>
  <c r="M3314"/>
  <c r="N3314"/>
  <c r="O3314"/>
  <c r="Q3314"/>
  <c r="W3314" s="1"/>
  <c r="V3314"/>
  <c r="E3315"/>
  <c r="M3315"/>
  <c r="O3315"/>
  <c r="Q3315"/>
  <c r="W3315" s="1"/>
  <c r="E3316"/>
  <c r="M3316"/>
  <c r="Q3316"/>
  <c r="W3316" s="1"/>
  <c r="E3317"/>
  <c r="M3317"/>
  <c r="Q3317"/>
  <c r="W3317" s="1"/>
  <c r="E3318"/>
  <c r="M3318"/>
  <c r="Q3318"/>
  <c r="W3318" s="1"/>
  <c r="E3319"/>
  <c r="M3319"/>
  <c r="Q3319"/>
  <c r="W3319" s="1"/>
  <c r="E3320"/>
  <c r="M3320"/>
  <c r="Q3320"/>
  <c r="W3320" s="1"/>
  <c r="E3321"/>
  <c r="M3321"/>
  <c r="Q3321"/>
  <c r="W3321" s="1"/>
  <c r="E3322"/>
  <c r="M3322"/>
  <c r="Q3322"/>
  <c r="W3322" s="1"/>
  <c r="E3323"/>
  <c r="M3323"/>
  <c r="Q3323"/>
  <c r="W3323" s="1"/>
  <c r="E3324"/>
  <c r="M3324"/>
  <c r="Q3324"/>
  <c r="W3324" s="1"/>
  <c r="E3325"/>
  <c r="M3325"/>
  <c r="Q3325"/>
  <c r="W3325" s="1"/>
  <c r="E3326"/>
  <c r="M3326"/>
  <c r="Q3326"/>
  <c r="W3326" s="1"/>
  <c r="E3327"/>
  <c r="M3327"/>
  <c r="Q3327"/>
  <c r="W3327" s="1"/>
  <c r="E3328"/>
  <c r="M3328"/>
  <c r="Q3328"/>
  <c r="W3328" s="1"/>
  <c r="E3329"/>
  <c r="M3329"/>
  <c r="Q3329"/>
  <c r="W3329" s="1"/>
  <c r="E3330"/>
  <c r="M3330"/>
  <c r="Q3330"/>
  <c r="W3330" s="1"/>
  <c r="E3331"/>
  <c r="M3331"/>
  <c r="Q3331"/>
  <c r="W3331" s="1"/>
  <c r="E3332"/>
  <c r="M3332"/>
  <c r="Q3332"/>
  <c r="W3332" s="1"/>
  <c r="E3333"/>
  <c r="M3333"/>
  <c r="Q3333"/>
  <c r="W3333" s="1"/>
  <c r="E3334"/>
  <c r="M3334"/>
  <c r="N3334"/>
  <c r="O3334"/>
  <c r="Q3334"/>
  <c r="W3334" s="1"/>
  <c r="V3334"/>
  <c r="E3335"/>
  <c r="M3335"/>
  <c r="Q3335"/>
  <c r="W3335" s="1"/>
  <c r="E3336"/>
  <c r="M3336"/>
  <c r="E3337"/>
  <c r="M3337"/>
  <c r="E3338"/>
  <c r="M3338"/>
  <c r="E3339"/>
  <c r="M3339"/>
  <c r="E3340"/>
  <c r="M3340"/>
  <c r="E3341"/>
  <c r="M3341"/>
  <c r="Q3341"/>
  <c r="W3341" s="1"/>
  <c r="E3342"/>
  <c r="M3342"/>
  <c r="Q3342"/>
  <c r="W3342" s="1"/>
  <c r="E3343"/>
  <c r="M3343"/>
  <c r="Q3343"/>
  <c r="W3343" s="1"/>
  <c r="E3344"/>
  <c r="M3344"/>
  <c r="Q3344"/>
  <c r="W3344" s="1"/>
  <c r="E3345"/>
  <c r="M3345"/>
  <c r="Q3345"/>
  <c r="W3345" s="1"/>
  <c r="E3346"/>
  <c r="M3346"/>
  <c r="Q3346"/>
  <c r="W3346" s="1"/>
  <c r="E3347"/>
  <c r="M3347"/>
  <c r="Q3347"/>
  <c r="W3347" s="1"/>
  <c r="E3348"/>
  <c r="M3348"/>
  <c r="Q3348"/>
  <c r="W3348" s="1"/>
  <c r="E3349"/>
  <c r="M3349"/>
  <c r="Q3349"/>
  <c r="W3349" s="1"/>
  <c r="E3350"/>
  <c r="M3350"/>
  <c r="Q3350"/>
  <c r="W3350" s="1"/>
  <c r="E3351"/>
  <c r="M3351"/>
  <c r="Q3351"/>
  <c r="W3351" s="1"/>
  <c r="E3352"/>
  <c r="M3352"/>
  <c r="Q3352"/>
  <c r="W3352" s="1"/>
  <c r="E3353"/>
  <c r="M3353"/>
  <c r="Q3353"/>
  <c r="W3353" s="1"/>
  <c r="E3354"/>
  <c r="M3354"/>
  <c r="N3354"/>
  <c r="O3354"/>
  <c r="Q3354"/>
  <c r="W3354" s="1"/>
  <c r="V3354"/>
  <c r="E3355"/>
  <c r="M3355"/>
  <c r="Q3355"/>
  <c r="W3355" s="1"/>
  <c r="E3356"/>
  <c r="M3356"/>
  <c r="Q3356"/>
  <c r="W3356" s="1"/>
  <c r="E3357"/>
  <c r="M3357"/>
  <c r="Q3357"/>
  <c r="W3357" s="1"/>
  <c r="E3358"/>
  <c r="M3358"/>
  <c r="Q3358"/>
  <c r="W3358" s="1"/>
  <c r="E3359"/>
  <c r="M3359"/>
  <c r="Q3359"/>
  <c r="W3359" s="1"/>
  <c r="E3360"/>
  <c r="M3360"/>
  <c r="Q3360"/>
  <c r="W3360" s="1"/>
  <c r="E3361"/>
  <c r="M3361"/>
  <c r="Q3361"/>
  <c r="W3361" s="1"/>
  <c r="E3362"/>
  <c r="M3362"/>
  <c r="Q3362"/>
  <c r="W3362" s="1"/>
  <c r="E3363"/>
  <c r="M3363"/>
  <c r="Q3363"/>
  <c r="W3363" s="1"/>
  <c r="E3364"/>
  <c r="M3364"/>
  <c r="Q3364"/>
  <c r="W3364" s="1"/>
  <c r="E3365"/>
  <c r="M3365"/>
  <c r="Q3365"/>
  <c r="W3365" s="1"/>
  <c r="E3366"/>
  <c r="M3366"/>
  <c r="Q3366"/>
  <c r="W3366" s="1"/>
  <c r="E3367"/>
  <c r="M3367"/>
  <c r="Q3367"/>
  <c r="W3367" s="1"/>
  <c r="E3368"/>
  <c r="M3368"/>
  <c r="Q3368"/>
  <c r="W3368" s="1"/>
  <c r="E3369"/>
  <c r="M3369"/>
  <c r="Q3369"/>
  <c r="W3369" s="1"/>
  <c r="E3370"/>
  <c r="M3370"/>
  <c r="Q3370"/>
  <c r="W3370" s="1"/>
  <c r="E3371"/>
  <c r="M3371"/>
  <c r="Q3371"/>
  <c r="W3371" s="1"/>
  <c r="E3372"/>
  <c r="M3372"/>
  <c r="Q3372"/>
  <c r="W3372" s="1"/>
  <c r="E3373"/>
  <c r="M3373"/>
  <c r="Q3373"/>
  <c r="W3373" s="1"/>
  <c r="E3374"/>
  <c r="M3374"/>
  <c r="Q3374"/>
  <c r="W3374" s="1"/>
  <c r="E3375"/>
  <c r="M3375"/>
  <c r="Q3375"/>
  <c r="W3375" s="1"/>
  <c r="E3376"/>
  <c r="M3376"/>
  <c r="Q3376"/>
  <c r="W3376" s="1"/>
  <c r="E3377"/>
  <c r="M3377"/>
  <c r="N3377"/>
  <c r="O3377"/>
  <c r="Q3377"/>
  <c r="W3377" s="1"/>
  <c r="V3377"/>
  <c r="E3378"/>
  <c r="M3378"/>
  <c r="Q3378"/>
  <c r="W3378" s="1"/>
  <c r="E3379"/>
  <c r="M3379"/>
  <c r="E3380"/>
  <c r="M3380"/>
  <c r="E3381"/>
  <c r="M3381"/>
  <c r="Q3381"/>
  <c r="W3381" s="1"/>
  <c r="E3382"/>
  <c r="M3382"/>
  <c r="Q3382"/>
  <c r="W3382" s="1"/>
  <c r="E3383"/>
  <c r="M3383"/>
  <c r="Q3383"/>
  <c r="W3383" s="1"/>
  <c r="E3384"/>
  <c r="M3384"/>
  <c r="Q3384"/>
  <c r="W3384" s="1"/>
  <c r="E3385"/>
  <c r="M3385"/>
  <c r="Q3385"/>
  <c r="W3385" s="1"/>
  <c r="E3386"/>
  <c r="M3386"/>
  <c r="Q3386"/>
  <c r="W3386" s="1"/>
  <c r="E3387"/>
  <c r="M3387"/>
  <c r="Q3387"/>
  <c r="W3387" s="1"/>
  <c r="E3388"/>
  <c r="M3388"/>
  <c r="Q3388"/>
  <c r="W3388" s="1"/>
  <c r="E3389"/>
  <c r="M3389"/>
  <c r="Q3389"/>
  <c r="W3389" s="1"/>
  <c r="E3390"/>
  <c r="M3390"/>
  <c r="Q3390"/>
  <c r="W3390" s="1"/>
  <c r="E3391"/>
  <c r="M3391"/>
  <c r="Q3391"/>
  <c r="W3391" s="1"/>
  <c r="E3392"/>
  <c r="M3392"/>
  <c r="Q3392"/>
  <c r="W3392" s="1"/>
  <c r="E3395"/>
  <c r="M3395"/>
  <c r="Q3395"/>
  <c r="W3395" s="1"/>
  <c r="E3396"/>
  <c r="M3396"/>
  <c r="Q3396"/>
  <c r="W3396" s="1"/>
  <c r="E3397"/>
  <c r="M3397"/>
  <c r="Q3397"/>
  <c r="W3397" s="1"/>
  <c r="N3398"/>
  <c r="O3398"/>
  <c r="Q3398"/>
  <c r="W3398" s="1"/>
  <c r="V3398"/>
  <c r="E3400"/>
  <c r="M3400"/>
  <c r="Q3400"/>
  <c r="W3400" s="1"/>
  <c r="E3401"/>
  <c r="M3401"/>
  <c r="Q3401"/>
  <c r="W3401" s="1"/>
  <c r="E3402"/>
  <c r="M3402"/>
  <c r="Q3402"/>
  <c r="W3402" s="1"/>
  <c r="E3403"/>
  <c r="M3403"/>
  <c r="Q3403"/>
  <c r="W3403" s="1"/>
  <c r="E3404"/>
  <c r="M3404"/>
  <c r="Q3404"/>
  <c r="W3404" s="1"/>
  <c r="E3405"/>
  <c r="M3405"/>
  <c r="Q3405"/>
  <c r="W3405" s="1"/>
  <c r="E3406"/>
  <c r="M3406"/>
  <c r="Q3406"/>
  <c r="W3406" s="1"/>
  <c r="E3407"/>
  <c r="M3407"/>
  <c r="Q3407"/>
  <c r="W3407" s="1"/>
  <c r="E3408"/>
  <c r="M3408"/>
  <c r="Q3408"/>
  <c r="W3408" s="1"/>
  <c r="E3409"/>
  <c r="M3409"/>
  <c r="Q3409"/>
  <c r="W3409" s="1"/>
  <c r="E3410"/>
  <c r="M3410"/>
  <c r="Q3410"/>
  <c r="W3410" s="1"/>
  <c r="E3411"/>
  <c r="M3411"/>
  <c r="Q3411"/>
  <c r="W3411" s="1"/>
  <c r="E3412"/>
  <c r="M3412"/>
  <c r="Q3412"/>
  <c r="W3412" s="1"/>
  <c r="E3413"/>
  <c r="M3413"/>
  <c r="Q3413"/>
  <c r="W3413" s="1"/>
  <c r="E3414"/>
  <c r="M3414"/>
  <c r="Q3414"/>
  <c r="W3414" s="1"/>
  <c r="E3415"/>
  <c r="M3415"/>
  <c r="Q3415"/>
  <c r="W3415" s="1"/>
  <c r="E3416"/>
  <c r="M3416"/>
  <c r="Q3416"/>
  <c r="W3416" s="1"/>
  <c r="E3417"/>
  <c r="M3417"/>
  <c r="Q3417"/>
  <c r="W3417" s="1"/>
  <c r="E3418"/>
  <c r="M3418"/>
  <c r="Q3418"/>
  <c r="W3418" s="1"/>
  <c r="Q3419"/>
  <c r="W3419" s="1"/>
  <c r="E3420"/>
  <c r="M3420"/>
  <c r="N3420"/>
  <c r="O3420"/>
  <c r="Q3420"/>
  <c r="W3420" s="1"/>
  <c r="V3420"/>
  <c r="E3421"/>
  <c r="M3421"/>
  <c r="Q3421"/>
  <c r="W3421" s="1"/>
  <c r="E3422"/>
  <c r="M3422"/>
  <c r="Q3422"/>
  <c r="W3422" s="1"/>
  <c r="E3423"/>
  <c r="M3423"/>
  <c r="Q3423"/>
  <c r="W3423" s="1"/>
  <c r="E3424"/>
  <c r="M3424"/>
  <c r="E3425"/>
  <c r="M3425"/>
  <c r="Q3425"/>
  <c r="W3425" s="1"/>
  <c r="E3426"/>
  <c r="M3426"/>
  <c r="Q3426"/>
  <c r="W3426" s="1"/>
  <c r="E3427"/>
  <c r="M3427"/>
  <c r="Q3427"/>
  <c r="W3427" s="1"/>
  <c r="E3428"/>
  <c r="M3428"/>
  <c r="Q3428"/>
  <c r="W3428" s="1"/>
  <c r="E3429"/>
  <c r="M3429"/>
  <c r="Q3429"/>
  <c r="W3429" s="1"/>
  <c r="E3430"/>
  <c r="M3430"/>
  <c r="Q3430"/>
  <c r="W3430" s="1"/>
  <c r="E3431"/>
  <c r="M3431"/>
  <c r="Q3431"/>
  <c r="W3431" s="1"/>
  <c r="E3432"/>
  <c r="M3432"/>
  <c r="Q3432"/>
  <c r="W3432" s="1"/>
  <c r="E3433"/>
  <c r="M3433"/>
  <c r="Q3433"/>
  <c r="W3433" s="1"/>
  <c r="E3434"/>
  <c r="M3434"/>
  <c r="Q3434"/>
  <c r="W3434" s="1"/>
  <c r="E3435"/>
  <c r="M3435"/>
  <c r="Q3435"/>
  <c r="W3435" s="1"/>
  <c r="E3436"/>
  <c r="M3436"/>
  <c r="Q3436"/>
  <c r="W3436" s="1"/>
  <c r="E3437"/>
  <c r="M3437"/>
  <c r="Q3437"/>
  <c r="W3437" s="1"/>
  <c r="E3438"/>
  <c r="M3438"/>
  <c r="Q3438"/>
  <c r="W3438" s="1"/>
  <c r="E3439"/>
  <c r="M3439"/>
  <c r="Q3439"/>
  <c r="W3439" s="1"/>
  <c r="E3440"/>
  <c r="M3440"/>
  <c r="Q3440"/>
  <c r="W3440" s="1"/>
  <c r="E3441"/>
  <c r="M3441"/>
  <c r="Q3441"/>
  <c r="W3441" s="1"/>
  <c r="E3442"/>
  <c r="M3442"/>
  <c r="N3442"/>
  <c r="O3442"/>
  <c r="Q3442"/>
  <c r="W3442" s="1"/>
  <c r="V3442"/>
  <c r="E3443"/>
  <c r="M3443"/>
  <c r="Q3443"/>
  <c r="W3443" s="1"/>
  <c r="E3444"/>
  <c r="M3444"/>
  <c r="Q3444"/>
  <c r="W3444" s="1"/>
  <c r="E3445"/>
  <c r="M3445"/>
  <c r="Q3445"/>
  <c r="W3445" s="1"/>
  <c r="E3446"/>
  <c r="M3446"/>
  <c r="Q3446"/>
  <c r="W3446" s="1"/>
  <c r="E3447"/>
  <c r="M3447"/>
  <c r="Q3447"/>
  <c r="W3447" s="1"/>
  <c r="E3448"/>
  <c r="M3448"/>
  <c r="Q3448"/>
  <c r="W3448" s="1"/>
  <c r="E3449"/>
  <c r="M3449"/>
  <c r="Q3449"/>
  <c r="W3449" s="1"/>
  <c r="E3450"/>
  <c r="M3450"/>
  <c r="Q3450"/>
  <c r="W3450" s="1"/>
  <c r="E3451"/>
  <c r="M3451"/>
  <c r="Q3451"/>
  <c r="W3451" s="1"/>
  <c r="E3452"/>
  <c r="M3452"/>
  <c r="Q3452"/>
  <c r="W3452" s="1"/>
  <c r="E3453"/>
  <c r="M3453"/>
  <c r="Q3453"/>
  <c r="W3453" s="1"/>
  <c r="E3454"/>
  <c r="M3454"/>
  <c r="Q3454"/>
  <c r="W3454" s="1"/>
  <c r="E3455"/>
  <c r="M3455"/>
  <c r="Q3455"/>
  <c r="W3455" s="1"/>
  <c r="E3456"/>
  <c r="M3456"/>
  <c r="Q3456"/>
  <c r="W3456" s="1"/>
  <c r="E3457"/>
  <c r="M3457"/>
  <c r="Q3457"/>
  <c r="W3457" s="1"/>
  <c r="E3458"/>
  <c r="M3458"/>
  <c r="Q3458"/>
  <c r="W3458" s="1"/>
  <c r="E3459"/>
  <c r="M3459"/>
  <c r="Q3459"/>
  <c r="W3459" s="1"/>
  <c r="E3460"/>
  <c r="M3460"/>
  <c r="Q3460"/>
  <c r="W3460" s="1"/>
  <c r="E3461"/>
  <c r="M3461"/>
  <c r="Q3461"/>
  <c r="W3461" s="1"/>
  <c r="E3462"/>
  <c r="M3462"/>
  <c r="Q3462"/>
  <c r="W3462" s="1"/>
  <c r="E3463"/>
  <c r="M3463"/>
  <c r="N3463"/>
  <c r="O3463"/>
  <c r="Q3463"/>
  <c r="W3463" s="1"/>
  <c r="V3463"/>
  <c r="E3464"/>
  <c r="M3464"/>
  <c r="Q3464"/>
  <c r="W3464" s="1"/>
  <c r="E3465"/>
  <c r="M3465"/>
  <c r="Q3465"/>
  <c r="W3465" s="1"/>
  <c r="E3466"/>
  <c r="M3466"/>
  <c r="Q3466"/>
  <c r="W3466" s="1"/>
  <c r="E3467"/>
  <c r="M3467"/>
  <c r="Q3467"/>
  <c r="W3467" s="1"/>
  <c r="E3468"/>
  <c r="M3468"/>
  <c r="Q3468"/>
  <c r="W3468" s="1"/>
  <c r="E3469"/>
  <c r="M3469"/>
  <c r="Q3469"/>
  <c r="W3469" s="1"/>
  <c r="E3470"/>
  <c r="M3470"/>
  <c r="Q3470"/>
  <c r="W3470" s="1"/>
  <c r="E3471"/>
  <c r="M3471"/>
  <c r="Q3471"/>
  <c r="W3471" s="1"/>
  <c r="E3472"/>
  <c r="M3472"/>
  <c r="Q3472"/>
  <c r="W3472" s="1"/>
  <c r="E3473"/>
  <c r="M3473"/>
  <c r="Q3473"/>
  <c r="W3473" s="1"/>
  <c r="E3474"/>
  <c r="M3474"/>
  <c r="Q3474"/>
  <c r="W3474" s="1"/>
  <c r="E3475"/>
  <c r="M3475"/>
  <c r="Q3475"/>
  <c r="W3475" s="1"/>
  <c r="E3476"/>
  <c r="M3476"/>
  <c r="Q3476"/>
  <c r="W3476" s="1"/>
  <c r="E3477"/>
  <c r="M3477"/>
  <c r="Q3477"/>
  <c r="W3477" s="1"/>
  <c r="E3478"/>
  <c r="M3478"/>
  <c r="Q3478"/>
  <c r="W3478" s="1"/>
  <c r="E3479"/>
  <c r="M3479"/>
  <c r="Q3479"/>
  <c r="W3479" s="1"/>
  <c r="E3480"/>
  <c r="M3480"/>
  <c r="Q3480"/>
  <c r="W3480" s="1"/>
  <c r="E3481"/>
  <c r="M3481"/>
  <c r="Q3481"/>
  <c r="W3481" s="1"/>
  <c r="E3482"/>
  <c r="M3482"/>
  <c r="Q3482"/>
  <c r="W3482" s="1"/>
  <c r="E3483"/>
  <c r="M3483"/>
  <c r="Q3483"/>
  <c r="W3483" s="1"/>
  <c r="Q3484"/>
  <c r="W3484" s="1"/>
  <c r="E3485"/>
  <c r="M3485"/>
  <c r="Q3485"/>
  <c r="W3485" s="1"/>
  <c r="E3486"/>
  <c r="M3486"/>
  <c r="N3486"/>
  <c r="O3486"/>
  <c r="Q3486"/>
  <c r="W3486" s="1"/>
  <c r="V3486"/>
  <c r="E3487"/>
  <c r="M3487"/>
  <c r="Q3487"/>
  <c r="W3487" s="1"/>
  <c r="E3488"/>
  <c r="M3488"/>
  <c r="Q3488"/>
  <c r="W3488" s="1"/>
  <c r="E3489"/>
  <c r="M3489"/>
  <c r="Q3489"/>
  <c r="W3489" s="1"/>
  <c r="E3490"/>
  <c r="M3490"/>
  <c r="Q3490"/>
  <c r="W3490" s="1"/>
  <c r="E3491"/>
  <c r="M3491"/>
  <c r="Q3491"/>
  <c r="W3491" s="1"/>
  <c r="E3492"/>
  <c r="M3492"/>
  <c r="Q3492"/>
  <c r="W3492" s="1"/>
  <c r="E3493"/>
  <c r="M3493"/>
  <c r="Q3493"/>
  <c r="W3493" s="1"/>
  <c r="E3494"/>
  <c r="M3494"/>
  <c r="Q3494"/>
  <c r="W3494" s="1"/>
  <c r="E3495"/>
  <c r="M3495"/>
  <c r="Q3495"/>
  <c r="W3495" s="1"/>
  <c r="E3496"/>
  <c r="M3496"/>
  <c r="Q3496"/>
  <c r="W3496" s="1"/>
  <c r="E3497"/>
  <c r="M3497"/>
  <c r="Q3497"/>
  <c r="W3497" s="1"/>
  <c r="E3498"/>
  <c r="M3498"/>
  <c r="Q3498"/>
  <c r="W3498" s="1"/>
  <c r="E3499"/>
  <c r="M3499"/>
  <c r="Q3499"/>
  <c r="W3499" s="1"/>
  <c r="E3500"/>
  <c r="M3500"/>
  <c r="Q3500"/>
  <c r="W3500" s="1"/>
  <c r="E3501"/>
  <c r="M3501"/>
  <c r="Q3501"/>
  <c r="W3501" s="1"/>
  <c r="E3502"/>
  <c r="M3502"/>
  <c r="Q3502"/>
  <c r="W3502" s="1"/>
  <c r="E3503"/>
  <c r="M3503"/>
  <c r="Q3503"/>
  <c r="W3503" s="1"/>
  <c r="E3504"/>
  <c r="M3504"/>
  <c r="Q3504"/>
  <c r="W3504" s="1"/>
  <c r="E3505"/>
  <c r="M3505"/>
  <c r="Q3505"/>
  <c r="W3505" s="1"/>
  <c r="E3506"/>
  <c r="M3506"/>
  <c r="Q3506"/>
  <c r="W3506" s="1"/>
  <c r="E3507"/>
  <c r="M3507"/>
  <c r="Q3507"/>
  <c r="W3507" s="1"/>
  <c r="E3508"/>
  <c r="M3508"/>
  <c r="N3508"/>
  <c r="O3508"/>
  <c r="Q3508"/>
  <c r="W3508" s="1"/>
  <c r="V3508"/>
  <c r="E3509"/>
  <c r="M3509"/>
  <c r="E3510"/>
  <c r="M3510"/>
  <c r="E3511"/>
  <c r="M3511"/>
  <c r="E3512"/>
  <c r="M3512"/>
  <c r="E3513"/>
  <c r="M3513"/>
  <c r="E3514"/>
  <c r="M3514"/>
  <c r="Q3514"/>
  <c r="W3514" s="1"/>
  <c r="E3515"/>
  <c r="M3515"/>
  <c r="Q3515"/>
  <c r="W3515" s="1"/>
  <c r="E3516"/>
  <c r="M3516"/>
  <c r="Q3516"/>
  <c r="W3516" s="1"/>
  <c r="E3517"/>
  <c r="M3517"/>
  <c r="Q3517"/>
  <c r="W3517" s="1"/>
  <c r="E3518"/>
  <c r="M3518"/>
  <c r="Q3518"/>
  <c r="W3518" s="1"/>
  <c r="E3519"/>
  <c r="M3519"/>
  <c r="Q3519"/>
  <c r="W3519" s="1"/>
  <c r="E3520"/>
  <c r="M3520"/>
  <c r="Q3520"/>
  <c r="W3520" s="1"/>
  <c r="E3521"/>
  <c r="M3521"/>
  <c r="Q3521"/>
  <c r="W3521" s="1"/>
  <c r="E3522"/>
  <c r="M3522"/>
  <c r="Q3522"/>
  <c r="W3522" s="1"/>
  <c r="E3523"/>
  <c r="M3523"/>
  <c r="Q3523"/>
  <c r="W3523" s="1"/>
  <c r="E3524"/>
  <c r="M3524"/>
  <c r="Q3524"/>
  <c r="W3524" s="1"/>
  <c r="E3525"/>
  <c r="M3525"/>
  <c r="Q3525"/>
  <c r="W3525" s="1"/>
  <c r="E3526"/>
  <c r="M3526"/>
  <c r="Q3526"/>
  <c r="W3526" s="1"/>
  <c r="E3527"/>
  <c r="M3527"/>
  <c r="Q3527"/>
  <c r="W3527" s="1"/>
  <c r="E3528"/>
  <c r="M3528"/>
  <c r="Q3528"/>
  <c r="W3528" s="1"/>
  <c r="E3529"/>
  <c r="M3529"/>
  <c r="N3529"/>
  <c r="O3529"/>
  <c r="Q3529"/>
  <c r="W3529" s="1"/>
  <c r="V3529"/>
  <c r="E3530"/>
  <c r="M3530"/>
  <c r="Q3530"/>
  <c r="W3530" s="1"/>
  <c r="E3531"/>
  <c r="M3531"/>
  <c r="Q3531"/>
  <c r="W3531" s="1"/>
  <c r="E3532"/>
  <c r="M3532"/>
  <c r="Q3532"/>
  <c r="W3532" s="1"/>
  <c r="E3533"/>
  <c r="M3533"/>
  <c r="Q3533"/>
  <c r="W3533" s="1"/>
  <c r="E3534"/>
  <c r="M3534"/>
  <c r="Q3534"/>
  <c r="W3534" s="1"/>
  <c r="E3535"/>
  <c r="M3535"/>
  <c r="Q3535"/>
  <c r="W3535" s="1"/>
  <c r="E3536"/>
  <c r="M3536"/>
  <c r="Q3536"/>
  <c r="W3536" s="1"/>
  <c r="E3537"/>
  <c r="M3537"/>
  <c r="Q3537"/>
  <c r="W3537" s="1"/>
  <c r="E3538"/>
  <c r="M3538"/>
  <c r="Q3538"/>
  <c r="W3538" s="1"/>
  <c r="E3539"/>
  <c r="M3539"/>
  <c r="Q3539"/>
  <c r="W3539" s="1"/>
  <c r="E3540"/>
  <c r="M3540"/>
  <c r="Q3540"/>
  <c r="W3540" s="1"/>
  <c r="E3541"/>
  <c r="M3541"/>
  <c r="Q3541"/>
  <c r="W3541" s="1"/>
  <c r="E3542"/>
  <c r="M3542"/>
  <c r="Q3542"/>
  <c r="W3542" s="1"/>
  <c r="E3543"/>
  <c r="M3543"/>
  <c r="Q3543"/>
  <c r="W3543" s="1"/>
  <c r="E3544"/>
  <c r="M3544"/>
  <c r="Q3544"/>
  <c r="W3544" s="1"/>
  <c r="E3545"/>
  <c r="M3545"/>
  <c r="Q3545"/>
  <c r="W3545" s="1"/>
  <c r="E3546"/>
  <c r="M3546"/>
  <c r="Q3546"/>
  <c r="W3546" s="1"/>
  <c r="E3547"/>
  <c r="M3547"/>
  <c r="Q3547"/>
  <c r="W3547" s="1"/>
  <c r="E3548"/>
  <c r="M3548"/>
  <c r="Q3548"/>
  <c r="W3548" s="1"/>
  <c r="E3549"/>
  <c r="M3549"/>
  <c r="Q3549"/>
  <c r="W3549" s="1"/>
  <c r="E3550"/>
  <c r="M3550"/>
  <c r="Q3550"/>
  <c r="W3550" s="1"/>
  <c r="E3551"/>
  <c r="M3551"/>
  <c r="N3551"/>
  <c r="O3551"/>
  <c r="Q3551"/>
  <c r="W3551" s="1"/>
  <c r="V3551"/>
  <c r="E3552"/>
  <c r="M3552"/>
  <c r="Q3552"/>
  <c r="W3552" s="1"/>
  <c r="E3553"/>
  <c r="M3553"/>
  <c r="Q3553"/>
  <c r="W3553" s="1"/>
  <c r="E3554"/>
  <c r="M3554"/>
  <c r="Q3554"/>
  <c r="W3554" s="1"/>
  <c r="E3555"/>
  <c r="M3555"/>
  <c r="Q3555"/>
  <c r="W3555" s="1"/>
  <c r="E3556"/>
  <c r="M3556"/>
  <c r="Q3556"/>
  <c r="W3556" s="1"/>
  <c r="E3557"/>
  <c r="M3557"/>
  <c r="Q3557"/>
  <c r="W3557" s="1"/>
  <c r="E3558"/>
  <c r="M3558"/>
  <c r="Q3558"/>
  <c r="W3558" s="1"/>
  <c r="E3559"/>
  <c r="M3559"/>
  <c r="Q3559"/>
  <c r="W3559" s="1"/>
  <c r="E3560"/>
  <c r="M3560"/>
  <c r="Q3560"/>
  <c r="W3560" s="1"/>
  <c r="E3561"/>
  <c r="M3561"/>
  <c r="Q3561"/>
  <c r="W3561" s="1"/>
  <c r="E3562"/>
  <c r="M3562"/>
  <c r="Q3562"/>
  <c r="W3562" s="1"/>
  <c r="E3563"/>
  <c r="M3563"/>
  <c r="Q3563"/>
  <c r="W3563" s="1"/>
  <c r="E3564"/>
  <c r="M3564"/>
  <c r="Q3564"/>
  <c r="W3564" s="1"/>
  <c r="E3565"/>
  <c r="M3565"/>
  <c r="Q3565"/>
  <c r="W3565" s="1"/>
  <c r="E3566"/>
  <c r="M3566"/>
  <c r="Q3566"/>
  <c r="W3566" s="1"/>
  <c r="E3567"/>
  <c r="M3567"/>
  <c r="Q3567"/>
  <c r="W3567" s="1"/>
  <c r="E3568"/>
  <c r="M3568"/>
  <c r="Q3568"/>
  <c r="W3568" s="1"/>
  <c r="E3571"/>
  <c r="M3571"/>
  <c r="Q3571"/>
  <c r="W3571" s="1"/>
  <c r="E3572"/>
  <c r="M3572"/>
  <c r="Q3572"/>
  <c r="W3572" s="1"/>
  <c r="E3573"/>
  <c r="M3573"/>
  <c r="N3573"/>
  <c r="O3573"/>
  <c r="Q3573"/>
  <c r="W3573" s="1"/>
  <c r="V3573"/>
  <c r="E3575"/>
  <c r="J3575"/>
  <c r="M3575"/>
  <c r="E3576"/>
  <c r="J3576"/>
  <c r="M3576"/>
  <c r="Q3576"/>
  <c r="W3576" s="1"/>
  <c r="E3577"/>
  <c r="J3577"/>
  <c r="M3577"/>
  <c r="Q3577"/>
  <c r="W3577" s="1"/>
  <c r="E3578"/>
  <c r="J3578"/>
  <c r="M3578"/>
  <c r="Q3578"/>
  <c r="W3578" s="1"/>
  <c r="E3579"/>
  <c r="J3579"/>
  <c r="M3579"/>
  <c r="Q3579"/>
  <c r="W3579" s="1"/>
  <c r="E3580"/>
  <c r="J3580"/>
  <c r="M3580"/>
  <c r="Q3580"/>
  <c r="W3580" s="1"/>
  <c r="E3581"/>
  <c r="J3581"/>
  <c r="M3581"/>
  <c r="Q3581"/>
  <c r="W3581" s="1"/>
  <c r="E3582"/>
  <c r="J3582"/>
  <c r="M3582"/>
  <c r="Q3582"/>
  <c r="W3582" s="1"/>
  <c r="E3583"/>
  <c r="J3583"/>
  <c r="M3583"/>
  <c r="Q3583"/>
  <c r="W3583" s="1"/>
  <c r="E3584"/>
  <c r="J3584"/>
  <c r="M3584"/>
  <c r="Q3584"/>
  <c r="W3584" s="1"/>
  <c r="E3585"/>
  <c r="J3585"/>
  <c r="M3585"/>
  <c r="Q3585"/>
  <c r="W3585" s="1"/>
  <c r="E3586"/>
  <c r="J3586"/>
  <c r="M3586"/>
  <c r="Q3586"/>
  <c r="W3586" s="1"/>
  <c r="E3587"/>
  <c r="J3587"/>
  <c r="M3587"/>
  <c r="Q3587"/>
  <c r="W3587" s="1"/>
  <c r="E3588"/>
  <c r="J3588"/>
  <c r="M3588"/>
  <c r="Q3588"/>
  <c r="W3588" s="1"/>
  <c r="E3589"/>
  <c r="J3589"/>
  <c r="M3589"/>
  <c r="E3590"/>
  <c r="J3590"/>
  <c r="M3590"/>
  <c r="E3591"/>
  <c r="J3591"/>
  <c r="M3591"/>
  <c r="E3592"/>
  <c r="J3592"/>
  <c r="M3592"/>
  <c r="E3593"/>
  <c r="J3593"/>
  <c r="M3593"/>
  <c r="E3594"/>
  <c r="J3594"/>
  <c r="M3594"/>
  <c r="Q3594"/>
  <c r="W3594" s="1"/>
  <c r="E3595"/>
  <c r="J3595"/>
  <c r="M3595"/>
  <c r="N3595"/>
  <c r="O3595"/>
  <c r="Q3595"/>
  <c r="W3595" s="1"/>
  <c r="G3596"/>
  <c r="H3596"/>
  <c r="V3596"/>
  <c r="E3597"/>
  <c r="J3597"/>
  <c r="M3597"/>
  <c r="Q3597"/>
  <c r="W3597" s="1"/>
  <c r="E3598"/>
  <c r="J3598"/>
  <c r="M3598"/>
  <c r="Q3598"/>
  <c r="W3598" s="1"/>
  <c r="E3599"/>
  <c r="J3599"/>
  <c r="M3599"/>
  <c r="Q3599"/>
  <c r="W3599" s="1"/>
  <c r="E3600"/>
  <c r="J3600"/>
  <c r="M3600"/>
  <c r="Q3600"/>
  <c r="W3600" s="1"/>
  <c r="E3601"/>
  <c r="J3601"/>
  <c r="M3601"/>
  <c r="Q3601"/>
  <c r="W3601" s="1"/>
  <c r="E3602"/>
  <c r="J3602"/>
  <c r="M3602"/>
  <c r="Q3602"/>
  <c r="W3602" s="1"/>
  <c r="E3603"/>
  <c r="J3603"/>
  <c r="M3603"/>
  <c r="Q3603"/>
  <c r="W3603" s="1"/>
  <c r="E3604"/>
  <c r="J3604"/>
  <c r="M3604"/>
  <c r="Q3604"/>
  <c r="W3604" s="1"/>
  <c r="E3605"/>
  <c r="J3605"/>
  <c r="M3605"/>
  <c r="Q3605"/>
  <c r="W3605" s="1"/>
  <c r="E3606"/>
  <c r="J3606"/>
  <c r="M3606"/>
  <c r="Q3606"/>
  <c r="W3606" s="1"/>
  <c r="E3607"/>
  <c r="J3607"/>
  <c r="M3607"/>
  <c r="Q3607"/>
  <c r="W3607" s="1"/>
  <c r="E3608"/>
  <c r="J3608"/>
  <c r="M3608"/>
  <c r="Q3608"/>
  <c r="W3608" s="1"/>
  <c r="E3609"/>
  <c r="J3609"/>
  <c r="M3609"/>
  <c r="Q3609"/>
  <c r="W3609" s="1"/>
  <c r="E3610"/>
  <c r="J3610"/>
  <c r="M3610"/>
  <c r="Q3610"/>
  <c r="W3610" s="1"/>
  <c r="E3611"/>
  <c r="J3611"/>
  <c r="M3611"/>
  <c r="Q3611"/>
  <c r="W3611" s="1"/>
  <c r="E3612"/>
  <c r="J3612"/>
  <c r="M3612"/>
  <c r="Q3612"/>
  <c r="W3612" s="1"/>
  <c r="E3613"/>
  <c r="J3613"/>
  <c r="M3613"/>
  <c r="Q3613"/>
  <c r="W3613" s="1"/>
  <c r="E3614"/>
  <c r="J3614"/>
  <c r="M3614"/>
  <c r="Q3614"/>
  <c r="W3614" s="1"/>
  <c r="E3615"/>
  <c r="J3615"/>
  <c r="M3615"/>
  <c r="Q3615"/>
  <c r="W3615" s="1"/>
  <c r="E3616"/>
  <c r="J3616"/>
  <c r="M3616"/>
  <c r="Q3616"/>
  <c r="W3616" s="1"/>
  <c r="E3617"/>
  <c r="J3617"/>
  <c r="M3617"/>
  <c r="N3617"/>
  <c r="O3617"/>
  <c r="Q3617"/>
  <c r="W3617" s="1"/>
  <c r="G3618"/>
  <c r="H3618"/>
  <c r="V3618"/>
  <c r="E3619"/>
  <c r="J3619"/>
  <c r="M3619"/>
  <c r="Q3619"/>
  <c r="W3619" s="1"/>
  <c r="E3620"/>
  <c r="J3620"/>
  <c r="M3620"/>
  <c r="Q3620"/>
  <c r="W3620" s="1"/>
  <c r="E3621"/>
  <c r="J3621"/>
  <c r="M3621"/>
  <c r="Q3621"/>
  <c r="W3621" s="1"/>
  <c r="E3622"/>
  <c r="J3622"/>
  <c r="M3622"/>
  <c r="Q3622"/>
  <c r="W3622" s="1"/>
  <c r="E3623"/>
  <c r="J3623"/>
  <c r="M3623"/>
  <c r="Q3623"/>
  <c r="W3623" s="1"/>
  <c r="E3624"/>
  <c r="J3624"/>
  <c r="M3624"/>
  <c r="Q3624"/>
  <c r="W3624" s="1"/>
  <c r="E3625"/>
  <c r="J3625"/>
  <c r="M3625"/>
  <c r="Q3625"/>
  <c r="W3625" s="1"/>
  <c r="E3626"/>
  <c r="J3626"/>
  <c r="M3626"/>
  <c r="Q3626"/>
  <c r="W3626" s="1"/>
  <c r="E3627"/>
  <c r="J3627"/>
  <c r="M3627"/>
  <c r="Q3627"/>
  <c r="W3627" s="1"/>
  <c r="E3628"/>
  <c r="J3628"/>
  <c r="M3628"/>
  <c r="Q3628"/>
  <c r="W3628" s="1"/>
  <c r="E3629"/>
  <c r="J3629"/>
  <c r="M3629"/>
  <c r="Q3629"/>
  <c r="W3629" s="1"/>
  <c r="E3630"/>
  <c r="J3630"/>
  <c r="M3630"/>
  <c r="Q3630"/>
  <c r="W3630" s="1"/>
  <c r="E3631"/>
  <c r="J3631"/>
  <c r="M3631"/>
  <c r="Q3631"/>
  <c r="W3631" s="1"/>
  <c r="E3632"/>
  <c r="J3632"/>
  <c r="M3632"/>
  <c r="Q3632"/>
  <c r="W3632" s="1"/>
  <c r="E3633"/>
  <c r="J3633"/>
  <c r="M3633"/>
  <c r="Q3633"/>
  <c r="W3633" s="1"/>
  <c r="E3634"/>
  <c r="J3634"/>
  <c r="M3634"/>
  <c r="Q3634"/>
  <c r="W3634" s="1"/>
  <c r="E3635"/>
  <c r="J3635"/>
  <c r="M3635"/>
  <c r="Q3635"/>
  <c r="W3635" s="1"/>
  <c r="E3636"/>
  <c r="J3636"/>
  <c r="M3636"/>
  <c r="Q3636"/>
  <c r="W3636" s="1"/>
  <c r="E3637"/>
  <c r="J3637"/>
  <c r="M3637"/>
  <c r="Q3637"/>
  <c r="W3637" s="1"/>
  <c r="E3638"/>
  <c r="J3638"/>
  <c r="M3638"/>
  <c r="Q3638"/>
  <c r="W3638" s="1"/>
  <c r="E3639"/>
  <c r="J3639"/>
  <c r="M3639"/>
  <c r="Q3639"/>
  <c r="W3639" s="1"/>
  <c r="E3640"/>
  <c r="J3640"/>
  <c r="M3640"/>
  <c r="N3640"/>
  <c r="O3640"/>
  <c r="Q3640"/>
  <c r="W3640" s="1"/>
  <c r="G3641"/>
  <c r="H3641"/>
  <c r="V3641"/>
  <c r="E3642"/>
  <c r="J3642"/>
  <c r="M3642"/>
  <c r="E3643"/>
  <c r="J3643"/>
  <c r="M3643"/>
  <c r="E3644"/>
  <c r="J3644"/>
  <c r="M3644"/>
  <c r="E3645"/>
  <c r="J3645"/>
  <c r="M3645"/>
  <c r="Q3645"/>
  <c r="W3645" s="1"/>
  <c r="Q3646"/>
  <c r="W3646" s="1"/>
  <c r="Q3647"/>
  <c r="W3647" s="1"/>
  <c r="E3648"/>
  <c r="J3648"/>
  <c r="M3648"/>
  <c r="Q3648"/>
  <c r="W3648" s="1"/>
  <c r="E3649"/>
  <c r="J3649"/>
  <c r="M3649"/>
  <c r="Q3649"/>
  <c r="W3649" s="1"/>
  <c r="E3650"/>
  <c r="J3650"/>
  <c r="M3650"/>
  <c r="Q3650"/>
  <c r="W3650" s="1"/>
  <c r="E3651"/>
  <c r="J3651"/>
  <c r="M3651"/>
  <c r="Q3651"/>
  <c r="W3651" s="1"/>
  <c r="E3652"/>
  <c r="J3652"/>
  <c r="M3652"/>
  <c r="Q3652"/>
  <c r="W3652" s="1"/>
  <c r="E3653"/>
  <c r="J3653"/>
  <c r="M3653"/>
  <c r="Q3653"/>
  <c r="W3653" s="1"/>
  <c r="E3654"/>
  <c r="J3654"/>
  <c r="M3654"/>
  <c r="Q3654"/>
  <c r="W3654" s="1"/>
  <c r="E3655"/>
  <c r="J3655"/>
  <c r="M3655"/>
  <c r="Q3655"/>
  <c r="W3655" s="1"/>
  <c r="E3656"/>
  <c r="J3656"/>
  <c r="M3656"/>
  <c r="Q3656"/>
  <c r="W3656" s="1"/>
  <c r="E3657"/>
  <c r="J3657"/>
  <c r="M3657"/>
  <c r="Q3657"/>
  <c r="W3657" s="1"/>
  <c r="E3658"/>
  <c r="J3658"/>
  <c r="M3658"/>
  <c r="Q3658"/>
  <c r="W3658" s="1"/>
  <c r="E3659"/>
  <c r="J3659"/>
  <c r="M3659"/>
  <c r="Q3659"/>
  <c r="W3659" s="1"/>
  <c r="E3660"/>
  <c r="J3660"/>
  <c r="M3660"/>
  <c r="Q3660"/>
  <c r="W3660" s="1"/>
  <c r="E3661"/>
  <c r="J3661"/>
  <c r="M3661"/>
  <c r="Q3661"/>
  <c r="W3661" s="1"/>
  <c r="E3662"/>
  <c r="J3662"/>
  <c r="M3662"/>
  <c r="N3662"/>
  <c r="O3662"/>
  <c r="G3663"/>
  <c r="H3663"/>
  <c r="V3663"/>
  <c r="E3664"/>
  <c r="J3664"/>
  <c r="M3664"/>
  <c r="E3665"/>
  <c r="J3665"/>
  <c r="M3665"/>
  <c r="Q3665"/>
  <c r="W3665" s="1"/>
  <c r="E3666"/>
  <c r="J3666"/>
  <c r="M3666"/>
  <c r="Q3666"/>
  <c r="W3666" s="1"/>
  <c r="E3667"/>
  <c r="J3667"/>
  <c r="M3667"/>
  <c r="Q3667"/>
  <c r="W3667" s="1"/>
  <c r="Q3668"/>
  <c r="W3668" s="1"/>
  <c r="E3669"/>
  <c r="J3669"/>
  <c r="M3669"/>
  <c r="Q3669"/>
  <c r="W3669" s="1"/>
  <c r="E3670"/>
  <c r="J3670"/>
  <c r="M3670"/>
  <c r="Q3670"/>
  <c r="W3670" s="1"/>
  <c r="E3671"/>
  <c r="J3671"/>
  <c r="M3671"/>
  <c r="Q3671"/>
  <c r="W3671" s="1"/>
  <c r="E3672"/>
  <c r="J3672"/>
  <c r="M3672"/>
  <c r="Q3672"/>
  <c r="W3672" s="1"/>
  <c r="E3673"/>
  <c r="J3673"/>
  <c r="M3673"/>
  <c r="Q3673"/>
  <c r="W3673" s="1"/>
  <c r="E3674"/>
  <c r="J3674"/>
  <c r="M3674"/>
  <c r="Q3674"/>
  <c r="W3674" s="1"/>
  <c r="E3675"/>
  <c r="J3675"/>
  <c r="M3675"/>
  <c r="Q3675"/>
  <c r="W3675" s="1"/>
  <c r="E3676"/>
  <c r="J3676"/>
  <c r="M3676"/>
  <c r="Q3676"/>
  <c r="W3676" s="1"/>
  <c r="E3677"/>
  <c r="J3677"/>
  <c r="M3677"/>
  <c r="Q3677"/>
  <c r="W3677" s="1"/>
  <c r="E3678"/>
  <c r="J3678"/>
  <c r="M3678"/>
  <c r="Q3678"/>
  <c r="W3678" s="1"/>
  <c r="E3679"/>
  <c r="J3679"/>
  <c r="M3679"/>
  <c r="Q3679"/>
  <c r="W3679" s="1"/>
  <c r="E3680"/>
  <c r="J3680"/>
  <c r="M3680"/>
  <c r="Q3680"/>
  <c r="W3680" s="1"/>
  <c r="E3681"/>
  <c r="J3681"/>
  <c r="M3681"/>
  <c r="Q3681"/>
  <c r="W3681" s="1"/>
  <c r="E3682"/>
  <c r="J3682"/>
  <c r="M3682"/>
  <c r="Q3682"/>
  <c r="W3682" s="1"/>
  <c r="E3683"/>
  <c r="J3683"/>
  <c r="M3683"/>
  <c r="Q3683"/>
  <c r="W3683" s="1"/>
  <c r="E3684"/>
  <c r="J3684"/>
  <c r="M3684"/>
  <c r="Q3684"/>
  <c r="W3684" s="1"/>
  <c r="E3685"/>
  <c r="J3685"/>
  <c r="M3685"/>
  <c r="Q3685"/>
  <c r="W3685" s="1"/>
  <c r="E3686"/>
  <c r="J3686"/>
  <c r="M3686"/>
  <c r="N3686"/>
  <c r="O3686"/>
  <c r="Q3686"/>
  <c r="W3686" s="1"/>
  <c r="G3687"/>
  <c r="H3687"/>
  <c r="V3687"/>
  <c r="E3688"/>
  <c r="J3688"/>
  <c r="M3688"/>
  <c r="Q3688"/>
  <c r="W3688" s="1"/>
  <c r="Q3689"/>
  <c r="W3689" s="1"/>
  <c r="Q3690"/>
  <c r="W3690" s="1"/>
  <c r="E3691"/>
  <c r="J3691"/>
  <c r="M3691"/>
  <c r="Q3691"/>
  <c r="W3691" s="1"/>
  <c r="E3692"/>
  <c r="J3692"/>
  <c r="M3692"/>
  <c r="Q3692"/>
  <c r="W3692" s="1"/>
  <c r="E3693"/>
  <c r="J3693"/>
  <c r="M3693"/>
  <c r="Q3693"/>
  <c r="W3693" s="1"/>
  <c r="E3694"/>
  <c r="J3694"/>
  <c r="M3694"/>
  <c r="Q3694"/>
  <c r="W3694" s="1"/>
  <c r="E3695"/>
  <c r="J3695"/>
  <c r="M3695"/>
  <c r="Q3695"/>
  <c r="W3695" s="1"/>
  <c r="E3696"/>
  <c r="J3696"/>
  <c r="M3696"/>
  <c r="Q3696"/>
  <c r="W3696" s="1"/>
  <c r="E3697"/>
  <c r="J3697"/>
  <c r="M3697"/>
  <c r="Q3697"/>
  <c r="W3697" s="1"/>
  <c r="E3698"/>
  <c r="J3698"/>
  <c r="M3698"/>
  <c r="Q3698"/>
  <c r="W3698" s="1"/>
  <c r="E3699"/>
  <c r="J3699"/>
  <c r="M3699"/>
  <c r="Q3699"/>
  <c r="W3699" s="1"/>
  <c r="E3700"/>
  <c r="J3700"/>
  <c r="M3700"/>
  <c r="Q3700"/>
  <c r="W3700" s="1"/>
  <c r="E3701"/>
  <c r="J3701"/>
  <c r="M3701"/>
  <c r="Q3701"/>
  <c r="W3701" s="1"/>
  <c r="E3702"/>
  <c r="J3702"/>
  <c r="M3702"/>
  <c r="Q3702"/>
  <c r="W3702" s="1"/>
  <c r="E3703"/>
  <c r="J3703"/>
  <c r="M3703"/>
  <c r="E3704"/>
  <c r="J3704"/>
  <c r="M3704"/>
  <c r="Q3704"/>
  <c r="W3704" s="1"/>
  <c r="E3705"/>
  <c r="J3705"/>
  <c r="M3705"/>
  <c r="Q3705"/>
  <c r="W3705" s="1"/>
  <c r="E3706"/>
  <c r="J3706"/>
  <c r="M3706"/>
  <c r="Q3706"/>
  <c r="W3706" s="1"/>
  <c r="E3707"/>
  <c r="J3707"/>
  <c r="M3707"/>
  <c r="Q3707"/>
  <c r="W3707" s="1"/>
  <c r="E3708"/>
  <c r="J3708"/>
  <c r="M3708"/>
  <c r="N3708"/>
  <c r="O3708"/>
  <c r="Q3708"/>
  <c r="W3708" s="1"/>
  <c r="G3709"/>
  <c r="H3709"/>
  <c r="V3709"/>
  <c r="E3710"/>
  <c r="J3710"/>
  <c r="M3710"/>
  <c r="Q3710"/>
  <c r="W3710" s="1"/>
  <c r="E3711"/>
  <c r="J3711"/>
  <c r="M3711"/>
  <c r="Q3711"/>
  <c r="W3711" s="1"/>
  <c r="E3712"/>
  <c r="J3712"/>
  <c r="M3712"/>
  <c r="Q3712"/>
  <c r="W3712" s="1"/>
  <c r="E3713"/>
  <c r="J3713"/>
  <c r="M3713"/>
  <c r="Q3713"/>
  <c r="W3713" s="1"/>
  <c r="E3714"/>
  <c r="J3714"/>
  <c r="M3714"/>
  <c r="Q3714"/>
  <c r="W3714" s="1"/>
  <c r="E3715"/>
  <c r="J3715"/>
  <c r="M3715"/>
  <c r="Q3715"/>
  <c r="W3715" s="1"/>
  <c r="E3716"/>
  <c r="J3716"/>
  <c r="M3716"/>
  <c r="Q3716"/>
  <c r="W3716" s="1"/>
  <c r="E3717"/>
  <c r="J3717"/>
  <c r="M3717"/>
  <c r="Q3717"/>
  <c r="W3717" s="1"/>
  <c r="E3718"/>
  <c r="J3718"/>
  <c r="M3718"/>
  <c r="Q3718"/>
  <c r="W3718" s="1"/>
  <c r="E3719"/>
  <c r="J3719"/>
  <c r="M3719"/>
  <c r="Q3719"/>
  <c r="W3719" s="1"/>
  <c r="E3720"/>
  <c r="J3720"/>
  <c r="M3720"/>
  <c r="Q3720"/>
  <c r="W3720" s="1"/>
  <c r="E3721"/>
  <c r="J3721"/>
  <c r="M3721"/>
  <c r="Q3721"/>
  <c r="W3721" s="1"/>
  <c r="E3722"/>
  <c r="J3722"/>
  <c r="M3722"/>
  <c r="Q3722"/>
  <c r="W3722" s="1"/>
  <c r="E3723"/>
  <c r="J3723"/>
  <c r="M3723"/>
  <c r="Q3723"/>
  <c r="W3723" s="1"/>
  <c r="E3724"/>
  <c r="J3724"/>
  <c r="M3724"/>
  <c r="Q3724"/>
  <c r="W3724" s="1"/>
  <c r="E3725"/>
  <c r="J3725"/>
  <c r="M3725"/>
  <c r="Q3725"/>
  <c r="W3725" s="1"/>
  <c r="E3726"/>
  <c r="J3726"/>
  <c r="M3726"/>
  <c r="Q3726"/>
  <c r="W3726" s="1"/>
  <c r="E3727"/>
  <c r="J3727"/>
  <c r="M3727"/>
  <c r="Q3727"/>
  <c r="W3727" s="1"/>
  <c r="E3728"/>
  <c r="J3728"/>
  <c r="M3728"/>
  <c r="Q3728"/>
  <c r="W3728" s="1"/>
  <c r="E3729"/>
  <c r="J3729"/>
  <c r="M3729"/>
  <c r="Q3729"/>
  <c r="W3729" s="1"/>
  <c r="E3730"/>
  <c r="J3730"/>
  <c r="M3730"/>
  <c r="Q3730"/>
  <c r="W3730" s="1"/>
  <c r="E3731"/>
  <c r="J3731"/>
  <c r="M3731"/>
  <c r="N3731"/>
  <c r="O3731"/>
  <c r="Q3731"/>
  <c r="W3731" s="1"/>
  <c r="G3732"/>
  <c r="H3732"/>
  <c r="V3732"/>
  <c r="E3733"/>
  <c r="J3733"/>
  <c r="M3733"/>
  <c r="Q3733"/>
  <c r="W3733" s="1"/>
  <c r="E3734"/>
  <c r="J3734"/>
  <c r="M3734"/>
  <c r="Q3734"/>
  <c r="W3734" s="1"/>
  <c r="E3735"/>
  <c r="J3735"/>
  <c r="M3735"/>
  <c r="Q3735"/>
  <c r="W3735" s="1"/>
  <c r="E3736"/>
  <c r="J3736"/>
  <c r="M3736"/>
  <c r="Q3736"/>
  <c r="W3736" s="1"/>
  <c r="E3737"/>
  <c r="J3737"/>
  <c r="M3737"/>
  <c r="Q3737"/>
  <c r="W3737" s="1"/>
  <c r="E3738"/>
  <c r="J3738"/>
  <c r="M3738"/>
  <c r="Q3738"/>
  <c r="W3738" s="1"/>
  <c r="E3739"/>
  <c r="J3739"/>
  <c r="M3739"/>
  <c r="Q3739"/>
  <c r="W3739" s="1"/>
  <c r="E3740"/>
  <c r="J3740"/>
  <c r="M3740"/>
  <c r="Q3740"/>
  <c r="W3740" s="1"/>
  <c r="E3741"/>
  <c r="J3741"/>
  <c r="M3741"/>
  <c r="Q3741"/>
  <c r="W3741" s="1"/>
  <c r="E3742"/>
  <c r="J3742"/>
  <c r="M3742"/>
  <c r="Q3742"/>
  <c r="W3742" s="1"/>
  <c r="E3743"/>
  <c r="J3743"/>
  <c r="M3743"/>
  <c r="Q3743"/>
  <c r="W3743" s="1"/>
  <c r="E3744"/>
  <c r="J3744"/>
  <c r="M3744"/>
  <c r="Q3744"/>
  <c r="W3744" s="1"/>
  <c r="E3745"/>
  <c r="J3745"/>
  <c r="M3745"/>
  <c r="Q3745"/>
  <c r="W3745" s="1"/>
  <c r="E3746"/>
  <c r="J3746"/>
  <c r="M3746"/>
  <c r="Q3746"/>
  <c r="W3746" s="1"/>
  <c r="E3747"/>
  <c r="J3747"/>
  <c r="M3747"/>
  <c r="Q3747"/>
  <c r="W3747" s="1"/>
  <c r="E3748"/>
  <c r="J3748"/>
  <c r="M3748"/>
  <c r="Q3748"/>
  <c r="W3748" s="1"/>
  <c r="E3749"/>
  <c r="J3749"/>
  <c r="M3749"/>
  <c r="Q3749"/>
  <c r="W3749" s="1"/>
  <c r="E3750"/>
  <c r="J3750"/>
  <c r="M3750"/>
  <c r="Q3750"/>
  <c r="W3750" s="1"/>
  <c r="Q3751"/>
  <c r="W3751" s="1"/>
  <c r="E3752"/>
  <c r="J3752"/>
  <c r="M3752"/>
  <c r="Q3752"/>
  <c r="W3752" s="1"/>
  <c r="E3753"/>
  <c r="J3753"/>
  <c r="M3753"/>
  <c r="Q3753"/>
  <c r="W3753" s="1"/>
  <c r="E3754"/>
  <c r="J3754"/>
  <c r="M3754"/>
  <c r="Q3754"/>
  <c r="W3754" s="1"/>
  <c r="E3755"/>
  <c r="J3755"/>
  <c r="M3755"/>
  <c r="N3755"/>
  <c r="O3755"/>
  <c r="Q3755"/>
  <c r="W3755" s="1"/>
  <c r="G3756"/>
  <c r="H3756"/>
  <c r="V3756"/>
  <c r="E3757"/>
  <c r="J3757"/>
  <c r="M3757"/>
  <c r="Q3757"/>
  <c r="W3757" s="1"/>
  <c r="E3758"/>
  <c r="J3758"/>
  <c r="M3758"/>
  <c r="Q3758"/>
  <c r="W3758" s="1"/>
  <c r="E3759"/>
  <c r="J3759"/>
  <c r="M3759"/>
  <c r="Q3759"/>
  <c r="W3759" s="1"/>
  <c r="E3760"/>
  <c r="J3760"/>
  <c r="M3760"/>
  <c r="Q3760"/>
  <c r="W3760" s="1"/>
  <c r="E3761"/>
  <c r="J3761"/>
  <c r="M3761"/>
  <c r="Q3761"/>
  <c r="W3761" s="1"/>
  <c r="E3762"/>
  <c r="J3762"/>
  <c r="M3762"/>
  <c r="Q3762"/>
  <c r="W3762" s="1"/>
  <c r="E3763"/>
  <c r="J3763"/>
  <c r="M3763"/>
  <c r="Q3763"/>
  <c r="W3763" s="1"/>
  <c r="E3764"/>
  <c r="J3764"/>
  <c r="M3764"/>
  <c r="Q3764"/>
  <c r="W3764" s="1"/>
  <c r="E3765"/>
  <c r="J3765"/>
  <c r="M3765"/>
  <c r="Q3765"/>
  <c r="W3765" s="1"/>
  <c r="E3766"/>
  <c r="J3766"/>
  <c r="M3766"/>
  <c r="Q3766"/>
  <c r="W3766" s="1"/>
  <c r="E3767"/>
  <c r="J3767"/>
  <c r="M3767"/>
  <c r="Q3767"/>
  <c r="W3767" s="1"/>
  <c r="E3768"/>
  <c r="J3768"/>
  <c r="M3768"/>
  <c r="Q3768"/>
  <c r="W3768" s="1"/>
  <c r="E3769"/>
  <c r="J3769"/>
  <c r="M3769"/>
  <c r="Q3769"/>
  <c r="W3769" s="1"/>
  <c r="E3770"/>
  <c r="J3770"/>
  <c r="M3770"/>
  <c r="Q3770"/>
  <c r="W3770" s="1"/>
  <c r="E3771"/>
  <c r="J3771"/>
  <c r="M3771"/>
  <c r="Q3771"/>
  <c r="W3771" s="1"/>
  <c r="E3772"/>
  <c r="J3772"/>
  <c r="M3772"/>
  <c r="Q3772"/>
  <c r="W3772" s="1"/>
  <c r="E3773"/>
  <c r="J3773"/>
  <c r="M3773"/>
  <c r="Q3773"/>
  <c r="W3773" s="1"/>
  <c r="E3774"/>
  <c r="J3774"/>
  <c r="M3774"/>
  <c r="Q3774"/>
  <c r="W3774" s="1"/>
  <c r="E3775"/>
  <c r="J3775"/>
  <c r="M3775"/>
  <c r="Q3775"/>
  <c r="W3775" s="1"/>
  <c r="E3776"/>
  <c r="J3776"/>
  <c r="M3776"/>
  <c r="N3776"/>
  <c r="Q3776"/>
  <c r="W3776" s="1"/>
  <c r="G3777"/>
  <c r="H3777"/>
  <c r="V3777"/>
  <c r="E3778"/>
  <c r="J3778"/>
  <c r="M3778"/>
  <c r="E3779"/>
  <c r="J3779"/>
  <c r="M3779"/>
  <c r="E3780"/>
  <c r="J3780"/>
  <c r="M3780"/>
  <c r="E3781"/>
  <c r="J3781"/>
  <c r="M3781"/>
  <c r="E3782"/>
  <c r="J3782"/>
  <c r="M3782"/>
  <c r="E3783"/>
  <c r="J3783"/>
  <c r="M3783"/>
  <c r="Q3783"/>
  <c r="W3783" s="1"/>
  <c r="E3784"/>
  <c r="J3784"/>
  <c r="M3784"/>
  <c r="Q3784"/>
  <c r="W3784" s="1"/>
  <c r="E3785"/>
  <c r="J3785"/>
  <c r="M3785"/>
  <c r="Q3785"/>
  <c r="W3785" s="1"/>
  <c r="E3786"/>
  <c r="J3786"/>
  <c r="M3786"/>
  <c r="Q3786"/>
  <c r="W3786" s="1"/>
  <c r="E3787"/>
  <c r="J3787"/>
  <c r="M3787"/>
  <c r="Q3787"/>
  <c r="W3787" s="1"/>
  <c r="E3788"/>
  <c r="J3788"/>
  <c r="M3788"/>
  <c r="Q3788"/>
  <c r="W3788" s="1"/>
  <c r="E3789"/>
  <c r="J3789"/>
  <c r="M3789"/>
  <c r="Q3789"/>
  <c r="W3789" s="1"/>
  <c r="E3790"/>
  <c r="J3790"/>
  <c r="M3790"/>
  <c r="Q3790"/>
  <c r="W3790" s="1"/>
  <c r="E3791"/>
  <c r="J3791"/>
  <c r="M3791"/>
  <c r="Q3791"/>
  <c r="W3791" s="1"/>
  <c r="E3792"/>
  <c r="J3792"/>
  <c r="M3792"/>
  <c r="Q3792"/>
  <c r="W3792" s="1"/>
  <c r="E3793"/>
  <c r="J3793"/>
  <c r="M3793"/>
  <c r="Q3793"/>
  <c r="W3793" s="1"/>
  <c r="E3794"/>
  <c r="J3794"/>
  <c r="M3794"/>
  <c r="Q3794"/>
  <c r="W3794" s="1"/>
  <c r="E3795"/>
  <c r="J3795"/>
  <c r="M3795"/>
  <c r="Q3795"/>
  <c r="W3795" s="1"/>
  <c r="E3796"/>
  <c r="J3796"/>
  <c r="M3796"/>
  <c r="Q3796"/>
  <c r="W3796" s="1"/>
  <c r="E3797"/>
  <c r="J3797"/>
  <c r="M3797"/>
  <c r="Q3797"/>
  <c r="W3797" s="1"/>
  <c r="E3798"/>
  <c r="J3798"/>
  <c r="M3798"/>
  <c r="Q3798"/>
  <c r="W3798" s="1"/>
  <c r="E3799"/>
  <c r="J3799"/>
  <c r="M3799"/>
  <c r="Q3799"/>
  <c r="W3799" s="1"/>
  <c r="E3800"/>
  <c r="J3800"/>
  <c r="M3800"/>
  <c r="N3800"/>
  <c r="O3800"/>
  <c r="Q3800"/>
  <c r="W3800" s="1"/>
  <c r="G3801"/>
  <c r="H3801"/>
  <c r="V3801"/>
  <c r="E3802"/>
  <c r="J3802"/>
  <c r="M3802"/>
  <c r="Q3802"/>
  <c r="W3802" s="1"/>
  <c r="E3803"/>
  <c r="J3803"/>
  <c r="M3803"/>
  <c r="Q3803"/>
  <c r="W3803" s="1"/>
  <c r="E3804"/>
  <c r="J3804"/>
  <c r="M3804"/>
  <c r="Q3804"/>
  <c r="W3804" s="1"/>
  <c r="E3805"/>
  <c r="J3805"/>
  <c r="M3805"/>
  <c r="Q3805"/>
  <c r="W3805" s="1"/>
  <c r="E3806"/>
  <c r="J3806"/>
  <c r="M3806"/>
  <c r="Q3806"/>
  <c r="W3806" s="1"/>
  <c r="E3807"/>
  <c r="J3807"/>
  <c r="M3807"/>
  <c r="Q3807"/>
  <c r="W3807" s="1"/>
  <c r="E3808"/>
  <c r="J3808"/>
  <c r="M3808"/>
  <c r="Q3808"/>
  <c r="W3808" s="1"/>
  <c r="E3809"/>
  <c r="J3809"/>
  <c r="M3809"/>
  <c r="Q3809"/>
  <c r="W3809" s="1"/>
  <c r="E3810"/>
  <c r="J3810"/>
  <c r="M3810"/>
  <c r="Q3810"/>
  <c r="W3810" s="1"/>
  <c r="E3811"/>
  <c r="J3811"/>
  <c r="M3811"/>
  <c r="Q3811"/>
  <c r="W3811" s="1"/>
  <c r="E3812"/>
  <c r="J3812"/>
  <c r="M3812"/>
  <c r="Q3812"/>
  <c r="W3812" s="1"/>
  <c r="E3813"/>
  <c r="J3813"/>
  <c r="M3813"/>
  <c r="Q3813"/>
  <c r="W3813" s="1"/>
  <c r="E3814"/>
  <c r="J3814"/>
  <c r="M3814"/>
  <c r="Q3814"/>
  <c r="W3814" s="1"/>
  <c r="E3815"/>
  <c r="J3815"/>
  <c r="M3815"/>
  <c r="Q3815"/>
  <c r="W3815" s="1"/>
  <c r="E3816"/>
  <c r="J3816"/>
  <c r="M3816"/>
  <c r="Q3816"/>
  <c r="W3816" s="1"/>
  <c r="E3817"/>
  <c r="J3817"/>
  <c r="M3817"/>
  <c r="Q3817"/>
  <c r="W3817" s="1"/>
  <c r="E3818"/>
  <c r="J3818"/>
  <c r="M3818"/>
  <c r="Q3818"/>
  <c r="W3818" s="1"/>
  <c r="E3819"/>
  <c r="J3819"/>
  <c r="M3819"/>
  <c r="Q3819"/>
  <c r="W3819" s="1"/>
  <c r="E3820"/>
  <c r="J3820"/>
  <c r="M3820"/>
  <c r="Q3820"/>
  <c r="W3820" s="1"/>
  <c r="E3821"/>
  <c r="J3821"/>
  <c r="M3821"/>
  <c r="Q3821"/>
  <c r="W3821" s="1"/>
  <c r="E3822"/>
  <c r="J3822"/>
  <c r="M3822"/>
  <c r="Q3822"/>
  <c r="W3822" s="1"/>
  <c r="E3823"/>
  <c r="J3823"/>
  <c r="M3823"/>
  <c r="N3823"/>
  <c r="O3823"/>
  <c r="Q3823"/>
  <c r="W3823" s="1"/>
  <c r="G3824"/>
  <c r="H3824"/>
  <c r="V3824"/>
  <c r="E3825"/>
  <c r="J3825"/>
  <c r="M3825"/>
  <c r="Q3825"/>
  <c r="W3825" s="1"/>
  <c r="E3826"/>
  <c r="J3826"/>
  <c r="M3826"/>
  <c r="Q3826"/>
  <c r="W3826" s="1"/>
  <c r="E3827"/>
  <c r="J3827"/>
  <c r="M3827"/>
  <c r="Q3827"/>
  <c r="W3827" s="1"/>
  <c r="E3828"/>
  <c r="J3828"/>
  <c r="M3828"/>
  <c r="Q3828"/>
  <c r="W3828" s="1"/>
  <c r="E3829"/>
  <c r="J3829"/>
  <c r="M3829"/>
  <c r="Q3829"/>
  <c r="W3829" s="1"/>
  <c r="E3830"/>
  <c r="J3830"/>
  <c r="M3830"/>
  <c r="Q3830"/>
  <c r="W3830" s="1"/>
  <c r="E3831"/>
  <c r="J3831"/>
  <c r="M3831"/>
  <c r="Q3831"/>
  <c r="W3831" s="1"/>
  <c r="E3832"/>
  <c r="J3832"/>
  <c r="M3832"/>
  <c r="Q3832"/>
  <c r="W3832" s="1"/>
  <c r="Z3832"/>
  <c r="E3833"/>
  <c r="J3833"/>
  <c r="M3833"/>
  <c r="Q3833"/>
  <c r="W3833" s="1"/>
  <c r="E3834"/>
  <c r="J3834"/>
  <c r="M3834"/>
  <c r="Q3834"/>
  <c r="W3834" s="1"/>
  <c r="E3835"/>
  <c r="J3835"/>
  <c r="M3835"/>
  <c r="Q3835"/>
  <c r="W3835" s="1"/>
  <c r="E3836"/>
  <c r="J3836"/>
  <c r="M3836"/>
  <c r="Q3836"/>
  <c r="W3836" s="1"/>
  <c r="E3837"/>
  <c r="J3837"/>
  <c r="M3837"/>
  <c r="Q3837"/>
  <c r="W3837" s="1"/>
  <c r="E3838"/>
  <c r="J3838"/>
  <c r="M3838"/>
  <c r="Q3838"/>
  <c r="W3838" s="1"/>
  <c r="E3839"/>
  <c r="J3839"/>
  <c r="M3839"/>
  <c r="Q3839"/>
  <c r="W3839" s="1"/>
  <c r="E3840"/>
  <c r="J3840"/>
  <c r="M3840"/>
  <c r="Q3840"/>
  <c r="W3840" s="1"/>
  <c r="Q3841"/>
  <c r="W3841" s="1"/>
  <c r="Q3842"/>
  <c r="W3842" s="1"/>
  <c r="E3843"/>
  <c r="J3843"/>
  <c r="M3843"/>
  <c r="Q3843"/>
  <c r="W3843" s="1"/>
  <c r="E3844"/>
  <c r="J3844"/>
  <c r="M3844"/>
  <c r="Q3844"/>
  <c r="E3845"/>
  <c r="J3845"/>
  <c r="M3845"/>
  <c r="N3845"/>
  <c r="Q3845"/>
  <c r="W3845" s="1"/>
  <c r="G3846"/>
  <c r="H3846"/>
  <c r="V3846"/>
  <c r="E3848"/>
  <c r="J3848"/>
  <c r="M3848"/>
  <c r="E3849"/>
  <c r="J3849"/>
  <c r="M3849"/>
  <c r="Z3849"/>
  <c r="E3850"/>
  <c r="J3850"/>
  <c r="M3850"/>
  <c r="Q3850"/>
  <c r="W3850" s="1"/>
  <c r="E3851"/>
  <c r="J3851"/>
  <c r="M3851"/>
  <c r="E3852"/>
  <c r="J3852"/>
  <c r="M3852"/>
  <c r="E3853"/>
  <c r="J3853"/>
  <c r="M3853"/>
  <c r="Q3853"/>
  <c r="W3853" s="1"/>
  <c r="E3854"/>
  <c r="J3854"/>
  <c r="M3854"/>
  <c r="Q3854"/>
  <c r="E3855"/>
  <c r="J3855"/>
  <c r="M3855"/>
  <c r="Q3855"/>
  <c r="W3855" s="1"/>
  <c r="E3856"/>
  <c r="J3856"/>
  <c r="M3856"/>
  <c r="Q3856"/>
  <c r="E3857"/>
  <c r="J3857"/>
  <c r="M3857"/>
  <c r="Q3857"/>
  <c r="E3858"/>
  <c r="J3858"/>
  <c r="M3858"/>
  <c r="Q3858"/>
  <c r="E3859"/>
  <c r="J3859"/>
  <c r="M3859"/>
  <c r="Q3859"/>
  <c r="E3860"/>
  <c r="J3860"/>
  <c r="M3860"/>
  <c r="Q3860"/>
  <c r="E3861"/>
  <c r="J3861"/>
  <c r="M3861"/>
  <c r="Q3861"/>
  <c r="E3862"/>
  <c r="J3862"/>
  <c r="M3862"/>
  <c r="Q3862"/>
  <c r="W3862" s="1"/>
  <c r="E3863"/>
  <c r="J3863"/>
  <c r="M3863"/>
  <c r="Q3863"/>
  <c r="W3863" s="1"/>
  <c r="E3864"/>
  <c r="J3864"/>
  <c r="M3864"/>
  <c r="Q3864"/>
  <c r="E3865"/>
  <c r="J3865"/>
  <c r="M3865"/>
  <c r="Q3865"/>
  <c r="W3865" s="1"/>
  <c r="E3866"/>
  <c r="J3866"/>
  <c r="M3866"/>
  <c r="Q3866"/>
  <c r="W3866" s="1"/>
  <c r="E3867"/>
  <c r="J3867"/>
  <c r="M3867"/>
  <c r="Q3867"/>
  <c r="W3867" s="1"/>
  <c r="E3868"/>
  <c r="J3868"/>
  <c r="M3868"/>
  <c r="Q3868"/>
  <c r="E3869"/>
  <c r="J3869"/>
  <c r="M3869"/>
  <c r="N3869"/>
  <c r="O3869"/>
  <c r="Q3869"/>
  <c r="W3869" s="1"/>
  <c r="G3870"/>
  <c r="H3870"/>
  <c r="V3870"/>
  <c r="E3871"/>
  <c r="J3871"/>
  <c r="M3871"/>
  <c r="Q3871"/>
  <c r="R3871" s="1"/>
  <c r="S3871" s="1"/>
  <c r="T3871" s="1"/>
  <c r="E3872"/>
  <c r="J3872"/>
  <c r="M3872"/>
  <c r="Q3872"/>
  <c r="E3873"/>
  <c r="J3873"/>
  <c r="M3873"/>
  <c r="Q3873"/>
  <c r="W3873" s="1"/>
  <c r="E3874"/>
  <c r="J3874"/>
  <c r="M3874"/>
  <c r="Q3874"/>
  <c r="W3874" s="1"/>
  <c r="E3875"/>
  <c r="J3875"/>
  <c r="M3875"/>
  <c r="Q3875"/>
  <c r="E3876"/>
  <c r="J3876"/>
  <c r="M3876"/>
  <c r="Q3876"/>
  <c r="W3876" s="1"/>
  <c r="E3877"/>
  <c r="J3877"/>
  <c r="M3877"/>
  <c r="E3878"/>
  <c r="J3878"/>
  <c r="M3878"/>
  <c r="E3879"/>
  <c r="J3879"/>
  <c r="M3879"/>
  <c r="E3880"/>
  <c r="J3880"/>
  <c r="M3880"/>
  <c r="E3881"/>
  <c r="J3881"/>
  <c r="M3881"/>
  <c r="E3882"/>
  <c r="J3882"/>
  <c r="M3882"/>
  <c r="Q3882"/>
  <c r="W3882" s="1"/>
  <c r="E3883"/>
  <c r="J3883"/>
  <c r="M3883"/>
  <c r="Q3883"/>
  <c r="E3884"/>
  <c r="J3884"/>
  <c r="M3884"/>
  <c r="Q3884"/>
  <c r="W3884" s="1"/>
  <c r="E3885"/>
  <c r="J3885"/>
  <c r="M3885"/>
  <c r="Q3885"/>
  <c r="E3886"/>
  <c r="J3886"/>
  <c r="M3886"/>
  <c r="Q3886"/>
  <c r="W3886" s="1"/>
  <c r="E3887"/>
  <c r="J3887"/>
  <c r="M3887"/>
  <c r="Q3887"/>
  <c r="W3887" s="1"/>
  <c r="E3888"/>
  <c r="J3888"/>
  <c r="M3888"/>
  <c r="Q3888"/>
  <c r="E3889"/>
  <c r="J3889"/>
  <c r="M3889"/>
  <c r="Q3889"/>
  <c r="E3890"/>
  <c r="J3890"/>
  <c r="M3890"/>
  <c r="N3890"/>
  <c r="O3890"/>
  <c r="Q3890"/>
  <c r="G3891"/>
  <c r="H3891"/>
  <c r="V3891"/>
  <c r="E3892"/>
  <c r="J3892"/>
  <c r="M3892"/>
  <c r="Q3892"/>
  <c r="Z3892"/>
  <c r="E3893"/>
  <c r="J3893"/>
  <c r="M3893"/>
  <c r="Q3893"/>
  <c r="W3893" s="1"/>
  <c r="E3894"/>
  <c r="J3894"/>
  <c r="M3894"/>
  <c r="Q3894"/>
  <c r="W3894" s="1"/>
  <c r="E3895"/>
  <c r="J3895"/>
  <c r="M3895"/>
  <c r="Q3895"/>
  <c r="E3896"/>
  <c r="J3896"/>
  <c r="M3896"/>
  <c r="Q3896"/>
  <c r="W3896" s="1"/>
  <c r="E3897"/>
  <c r="J3897"/>
  <c r="M3897"/>
  <c r="Q3897"/>
  <c r="E3898"/>
  <c r="J3898"/>
  <c r="M3898"/>
  <c r="Q3898"/>
  <c r="W3898" s="1"/>
  <c r="E3899"/>
  <c r="J3899"/>
  <c r="M3899"/>
  <c r="Q3899"/>
  <c r="W3899" s="1"/>
  <c r="E3900"/>
  <c r="J3900"/>
  <c r="M3900"/>
  <c r="Q3900"/>
  <c r="W3900" s="1"/>
  <c r="E3901"/>
  <c r="J3901"/>
  <c r="M3901"/>
  <c r="Q3901"/>
  <c r="W3901" s="1"/>
  <c r="E3902"/>
  <c r="J3902"/>
  <c r="M3902"/>
  <c r="Q3902"/>
  <c r="W3902" s="1"/>
  <c r="E3903"/>
  <c r="J3903"/>
  <c r="M3903"/>
  <c r="Q3903"/>
  <c r="W3903" s="1"/>
  <c r="E3904"/>
  <c r="J3904"/>
  <c r="M3904"/>
  <c r="Q3904"/>
  <c r="W3904" s="1"/>
  <c r="E3905"/>
  <c r="J3905"/>
  <c r="M3905"/>
  <c r="Q3905"/>
  <c r="W3905" s="1"/>
  <c r="E3906"/>
  <c r="J3906"/>
  <c r="M3906"/>
  <c r="Q3906"/>
  <c r="E3907"/>
  <c r="J3907"/>
  <c r="M3907"/>
  <c r="Q3907"/>
  <c r="E3908"/>
  <c r="J3908"/>
  <c r="M3908"/>
  <c r="Q3908"/>
  <c r="E3909"/>
  <c r="J3909"/>
  <c r="M3909"/>
  <c r="Q3909"/>
  <c r="E3910"/>
  <c r="J3910"/>
  <c r="M3910"/>
  <c r="Q3910"/>
  <c r="W3910" s="1"/>
  <c r="E3911"/>
  <c r="J3911"/>
  <c r="M3911"/>
  <c r="Q3911"/>
  <c r="N3912"/>
  <c r="O3912"/>
  <c r="Q3912"/>
  <c r="G3913"/>
  <c r="H3913"/>
  <c r="V3913"/>
  <c r="Q3914"/>
  <c r="E3915"/>
  <c r="J3915"/>
  <c r="M3915"/>
  <c r="Q3915"/>
  <c r="E3916"/>
  <c r="J3916"/>
  <c r="M3916"/>
  <c r="Q3916"/>
  <c r="E3917"/>
  <c r="J3917"/>
  <c r="M3917"/>
  <c r="E3918"/>
  <c r="J3918"/>
  <c r="M3918"/>
  <c r="E3919"/>
  <c r="J3919"/>
  <c r="M3919"/>
  <c r="Q3919"/>
  <c r="W3919" s="1"/>
  <c r="E3920"/>
  <c r="J3920"/>
  <c r="M3920"/>
  <c r="Q3920"/>
  <c r="E3921"/>
  <c r="J3921"/>
  <c r="M3921"/>
  <c r="Q3921"/>
  <c r="E3922"/>
  <c r="J3922"/>
  <c r="M3922"/>
  <c r="Q3922"/>
  <c r="W3922" s="1"/>
  <c r="E3923"/>
  <c r="J3923"/>
  <c r="M3923"/>
  <c r="Q3923"/>
  <c r="E3924"/>
  <c r="J3924"/>
  <c r="M3924"/>
  <c r="Q3924"/>
  <c r="E3925"/>
  <c r="J3925"/>
  <c r="M3925"/>
  <c r="Q3925"/>
  <c r="E3926"/>
  <c r="J3926"/>
  <c r="M3926"/>
  <c r="Q3926"/>
  <c r="E3927"/>
  <c r="J3927"/>
  <c r="M3927"/>
  <c r="Q3927"/>
  <c r="E3928"/>
  <c r="J3928"/>
  <c r="M3928"/>
  <c r="Q3928"/>
  <c r="W3928" s="1"/>
  <c r="E3929"/>
  <c r="J3929"/>
  <c r="M3929"/>
  <c r="Q3929"/>
  <c r="E3930"/>
  <c r="J3930"/>
  <c r="M3930"/>
  <c r="Q3930"/>
  <c r="W3930" s="1"/>
  <c r="E3931"/>
  <c r="J3931"/>
  <c r="M3931"/>
  <c r="Q3931"/>
  <c r="E3932"/>
  <c r="J3932"/>
  <c r="M3932"/>
  <c r="Q3932"/>
  <c r="W3932" s="1"/>
  <c r="E3933"/>
  <c r="J3933"/>
  <c r="M3933"/>
  <c r="Q3933"/>
  <c r="E3934"/>
  <c r="J3934"/>
  <c r="M3934"/>
  <c r="E3935"/>
  <c r="J3935"/>
  <c r="M3935"/>
  <c r="N3935"/>
  <c r="G3936"/>
  <c r="H3936"/>
  <c r="V3936"/>
  <c r="E3937"/>
  <c r="J3937"/>
  <c r="M3937"/>
  <c r="E3938"/>
  <c r="J3938"/>
  <c r="M3938"/>
  <c r="Q3938"/>
  <c r="E3939"/>
  <c r="J3939"/>
  <c r="M3939"/>
  <c r="Q3939"/>
  <c r="Q3940"/>
  <c r="W3940" s="1"/>
  <c r="J3941"/>
  <c r="M3941"/>
  <c r="Q3941"/>
  <c r="W3941" s="1"/>
  <c r="E3942"/>
  <c r="J3942"/>
  <c r="M3942"/>
  <c r="Q3942"/>
  <c r="E3943"/>
  <c r="J3943"/>
  <c r="M3943"/>
  <c r="Q3943"/>
  <c r="W3943" s="1"/>
  <c r="E3944"/>
  <c r="J3944"/>
  <c r="M3944"/>
  <c r="Q3944"/>
  <c r="W3944" s="1"/>
  <c r="E3945"/>
  <c r="J3945"/>
  <c r="M3945"/>
  <c r="Q3945"/>
  <c r="W3945" s="1"/>
  <c r="E3946"/>
  <c r="J3946"/>
  <c r="M3946"/>
  <c r="Q3946"/>
  <c r="E3947"/>
  <c r="J3947"/>
  <c r="M3947"/>
  <c r="Q3947"/>
  <c r="J3948"/>
  <c r="M3948"/>
  <c r="E3949"/>
  <c r="J3949"/>
  <c r="M3949"/>
  <c r="Q3949"/>
  <c r="E3950"/>
  <c r="J3950"/>
  <c r="M3950"/>
  <c r="Q3950"/>
  <c r="E3951"/>
  <c r="J3951"/>
  <c r="M3951"/>
  <c r="Q3951"/>
  <c r="E3952"/>
  <c r="J3952"/>
  <c r="M3952"/>
  <c r="Q3952"/>
  <c r="W3952" s="1"/>
  <c r="E3953"/>
  <c r="J3953"/>
  <c r="M3953"/>
  <c r="Q3953"/>
  <c r="W3953" s="1"/>
  <c r="E3954"/>
  <c r="J3954"/>
  <c r="M3954"/>
  <c r="Q3954"/>
  <c r="Q3955"/>
  <c r="E3956"/>
  <c r="J3956"/>
  <c r="M3956"/>
  <c r="Q3956"/>
  <c r="W3956" s="1"/>
  <c r="E3957"/>
  <c r="J3957"/>
  <c r="M3957"/>
  <c r="Q3957"/>
  <c r="W3957" s="1"/>
  <c r="E3958"/>
  <c r="J3958"/>
  <c r="M3958"/>
  <c r="Q3958"/>
  <c r="W3958" s="1"/>
  <c r="E3959"/>
  <c r="J3959"/>
  <c r="M3959"/>
  <c r="N3959"/>
  <c r="O3959"/>
  <c r="Q3959"/>
  <c r="W3959" s="1"/>
  <c r="G3960"/>
  <c r="H3960"/>
  <c r="V3960"/>
  <c r="E3961"/>
  <c r="J3961"/>
  <c r="M3961"/>
  <c r="Q3961"/>
  <c r="E3962"/>
  <c r="J3962"/>
  <c r="M3962"/>
  <c r="Q3962"/>
  <c r="W3962" s="1"/>
  <c r="E3963"/>
  <c r="J3963"/>
  <c r="M3963"/>
  <c r="E3964"/>
  <c r="J3964"/>
  <c r="M3964"/>
  <c r="Q3964"/>
  <c r="E3965"/>
  <c r="J3965"/>
  <c r="M3965"/>
  <c r="E3966"/>
  <c r="J3966"/>
  <c r="M3966"/>
  <c r="G1034" i="13"/>
  <c r="G968"/>
  <c r="E795"/>
  <c r="G644"/>
  <c r="I644"/>
  <c r="E473"/>
  <c r="G255"/>
  <c r="G1555"/>
  <c r="E1250"/>
  <c r="E1118"/>
  <c r="E731"/>
  <c r="G516"/>
  <c r="I516"/>
  <c r="E407"/>
  <c r="G319"/>
  <c r="E149"/>
  <c r="E1184"/>
  <c r="E1055"/>
  <c r="G473"/>
  <c r="E1380"/>
  <c r="G384"/>
  <c r="I384" s="1"/>
  <c r="E1316"/>
  <c r="R3902" i="6"/>
  <c r="S3902" s="1"/>
  <c r="R3989"/>
  <c r="S3989" s="1"/>
  <c r="R4014"/>
  <c r="S4014" s="1"/>
  <c r="T4014" s="1"/>
  <c r="R3986"/>
  <c r="S3986" s="1"/>
  <c r="T3986" s="1"/>
  <c r="R4040"/>
  <c r="S4040" s="1"/>
  <c r="R3996"/>
  <c r="S3996" s="1"/>
  <c r="R3994"/>
  <c r="R3850" l="1"/>
  <c r="S3850" s="1"/>
  <c r="R3893"/>
  <c r="S3893" s="1"/>
  <c r="T3893" s="1"/>
  <c r="R4038"/>
  <c r="R3997"/>
  <c r="S3997" s="1"/>
  <c r="T3997" s="1"/>
  <c r="R3987"/>
  <c r="S3987" s="1"/>
  <c r="T3987" s="1"/>
  <c r="R3970"/>
  <c r="S3970" s="1"/>
  <c r="T3970" s="1"/>
  <c r="R4026"/>
  <c r="S4026" s="1"/>
  <c r="T4026" s="1"/>
  <c r="R4025"/>
  <c r="R3953"/>
  <c r="S3953" s="1"/>
  <c r="T3953" s="1"/>
  <c r="R3962"/>
  <c r="S3962" s="1"/>
  <c r="T3962" s="1"/>
  <c r="R3959"/>
  <c r="S3959" s="1"/>
  <c r="T3959" s="1"/>
  <c r="R3843"/>
  <c r="S3843" s="1"/>
  <c r="T3843" s="1"/>
  <c r="E1598" i="13"/>
  <c r="E1534"/>
  <c r="G1294"/>
  <c r="E1163"/>
  <c r="E902"/>
  <c r="G902"/>
  <c r="E775"/>
  <c r="E752"/>
  <c r="E687"/>
  <c r="G709"/>
  <c r="I709" s="1"/>
  <c r="E622"/>
  <c r="E537"/>
  <c r="G579"/>
  <c r="I579" s="1"/>
  <c r="E298"/>
  <c r="E1816"/>
  <c r="E1641"/>
  <c r="E1619"/>
  <c r="E1469"/>
  <c r="E1359"/>
  <c r="E1272"/>
  <c r="G1229"/>
  <c r="E1098"/>
  <c r="E1011"/>
  <c r="E946"/>
  <c r="E709"/>
  <c r="E644"/>
  <c r="E601"/>
  <c r="E516"/>
  <c r="E428"/>
  <c r="G450"/>
  <c r="I450" s="1"/>
  <c r="E363"/>
  <c r="E277"/>
  <c r="E214"/>
  <c r="E191"/>
  <c r="G191"/>
  <c r="I191" s="1"/>
  <c r="R3940" i="6"/>
  <c r="S3940" s="1"/>
  <c r="T3940" s="1"/>
  <c r="E1555" i="13"/>
  <c r="E1424"/>
  <c r="G1424"/>
  <c r="E1294"/>
  <c r="E1207"/>
  <c r="G1163"/>
  <c r="E1075"/>
  <c r="G1098"/>
  <c r="E1034"/>
  <c r="E989"/>
  <c r="E860"/>
  <c r="E815"/>
  <c r="G838"/>
  <c r="E579"/>
  <c r="E450"/>
  <c r="E384"/>
  <c r="E237"/>
  <c r="E1707"/>
  <c r="E1729"/>
  <c r="R3894" i="6"/>
  <c r="S3894" s="1"/>
  <c r="R3896"/>
  <c r="S3896" s="1"/>
  <c r="R3898"/>
  <c r="S3898" s="1"/>
  <c r="T3898" s="1"/>
  <c r="E1684" i="13"/>
  <c r="E1664"/>
  <c r="E1578"/>
  <c r="E1512"/>
  <c r="E1489"/>
  <c r="E1446"/>
  <c r="E1403"/>
  <c r="E1337"/>
  <c r="G1359"/>
  <c r="E1229"/>
  <c r="E1141"/>
  <c r="E968"/>
  <c r="E924"/>
  <c r="E879"/>
  <c r="E838"/>
  <c r="G775"/>
  <c r="E667"/>
  <c r="E557"/>
  <c r="E493"/>
  <c r="G493"/>
  <c r="E341"/>
  <c r="E319"/>
  <c r="E255"/>
  <c r="E171"/>
  <c r="E127"/>
  <c r="E106"/>
  <c r="G127"/>
  <c r="I127" s="1"/>
  <c r="E1794"/>
  <c r="R3900" i="6"/>
  <c r="S3900" s="1"/>
  <c r="T3900" s="1"/>
  <c r="R3974"/>
  <c r="S3974" s="1"/>
  <c r="T3974" s="1"/>
  <c r="R3988"/>
  <c r="S3988" s="1"/>
  <c r="T3988" s="1"/>
  <c r="R3887"/>
  <c r="S3887" s="1"/>
  <c r="T3887" s="1"/>
  <c r="R3876"/>
  <c r="S3876" s="1"/>
  <c r="T3876" s="1"/>
  <c r="R3865"/>
  <c r="S3865" s="1"/>
  <c r="R3944"/>
  <c r="S3944" s="1"/>
  <c r="T3944" s="1"/>
  <c r="R3845"/>
  <c r="S3845" s="1"/>
  <c r="T3845" s="1"/>
  <c r="R3928"/>
  <c r="S3928" s="1"/>
  <c r="T3928" s="1"/>
  <c r="R3955"/>
  <c r="S3955" s="1"/>
  <c r="W3955"/>
  <c r="R3924"/>
  <c r="S3924" s="1"/>
  <c r="T3924" s="1"/>
  <c r="W3924"/>
  <c r="Y3924" s="1"/>
  <c r="R3888"/>
  <c r="W3888"/>
  <c r="R3885"/>
  <c r="S3885" s="1"/>
  <c r="T3885" s="1"/>
  <c r="W3885"/>
  <c r="R3864"/>
  <c r="S3864" s="1"/>
  <c r="T3864" s="1"/>
  <c r="W3864"/>
  <c r="R3861"/>
  <c r="S3861" s="1"/>
  <c r="T3861" s="1"/>
  <c r="W3861"/>
  <c r="R3859"/>
  <c r="S3859" s="1"/>
  <c r="T3859" s="1"/>
  <c r="W3859"/>
  <c r="R3856"/>
  <c r="S3856" s="1"/>
  <c r="T3856" s="1"/>
  <c r="W3856"/>
  <c r="R3971"/>
  <c r="S3971" s="1"/>
  <c r="T3971" s="1"/>
  <c r="W3971"/>
  <c r="R3976"/>
  <c r="S3976" s="1"/>
  <c r="T3976" s="1"/>
  <c r="W3976"/>
  <c r="R3980"/>
  <c r="S3980" s="1"/>
  <c r="T3980" s="1"/>
  <c r="W3980"/>
  <c r="R3985"/>
  <c r="S3985" s="1"/>
  <c r="T3985" s="1"/>
  <c r="W3985"/>
  <c r="R3998"/>
  <c r="S3998" s="1"/>
  <c r="T3998" s="1"/>
  <c r="W3998"/>
  <c r="R4003"/>
  <c r="S4003" s="1"/>
  <c r="T4003" s="1"/>
  <c r="W4003"/>
  <c r="R4006"/>
  <c r="S4006" s="1"/>
  <c r="T4006" s="1"/>
  <c r="W4006"/>
  <c r="R4011"/>
  <c r="S4011" s="1"/>
  <c r="T4011" s="1"/>
  <c r="W4011"/>
  <c r="R4016"/>
  <c r="S4016" s="1"/>
  <c r="T4016" s="1"/>
  <c r="W4016"/>
  <c r="R4020"/>
  <c r="W4020"/>
  <c r="R4027"/>
  <c r="S4027" s="1"/>
  <c r="T4027" s="1"/>
  <c r="W4027"/>
  <c r="R4029"/>
  <c r="S4029" s="1"/>
  <c r="T4029" s="1"/>
  <c r="W4029"/>
  <c r="R4036"/>
  <c r="S4036" s="1"/>
  <c r="T4036" s="1"/>
  <c r="W4036"/>
  <c r="R4059"/>
  <c r="S4059" s="1"/>
  <c r="T4059" s="1"/>
  <c r="W4059"/>
  <c r="R4077"/>
  <c r="W4077"/>
  <c r="R4080"/>
  <c r="S4080" s="1"/>
  <c r="T4080" s="1"/>
  <c r="W4080"/>
  <c r="R4081"/>
  <c r="W4081"/>
  <c r="R4085"/>
  <c r="S4085" s="1"/>
  <c r="T4085" s="1"/>
  <c r="W4085"/>
  <c r="R4092"/>
  <c r="W4092"/>
  <c r="R4108"/>
  <c r="S4108" s="1"/>
  <c r="T4108" s="1"/>
  <c r="W4108"/>
  <c r="R3927"/>
  <c r="W3927"/>
  <c r="R3920"/>
  <c r="W3920"/>
  <c r="R3892"/>
  <c r="W3892"/>
  <c r="R3875"/>
  <c r="S3875" s="1"/>
  <c r="T3875" s="1"/>
  <c r="W3875"/>
  <c r="R3965"/>
  <c r="S3965" s="1"/>
  <c r="T3965" s="1"/>
  <c r="W3965"/>
  <c r="R3972"/>
  <c r="S3972" s="1"/>
  <c r="T3972" s="1"/>
  <c r="W3972"/>
  <c r="R3977"/>
  <c r="S3977" s="1"/>
  <c r="T3977" s="1"/>
  <c r="W3977"/>
  <c r="R3983"/>
  <c r="W3983"/>
  <c r="R3991"/>
  <c r="S3991" s="1"/>
  <c r="T3991" s="1"/>
  <c r="W3991"/>
  <c r="R4000"/>
  <c r="S4000" s="1"/>
  <c r="T4000" s="1"/>
  <c r="W4000"/>
  <c r="R4002"/>
  <c r="W4002"/>
  <c r="R4034"/>
  <c r="W4034"/>
  <c r="R4035"/>
  <c r="S4035" s="1"/>
  <c r="T4035" s="1"/>
  <c r="W4035"/>
  <c r="R4037"/>
  <c r="S4037" s="1"/>
  <c r="T4037" s="1"/>
  <c r="W4037"/>
  <c r="R4046"/>
  <c r="S4046" s="1"/>
  <c r="T4046" s="1"/>
  <c r="W4046"/>
  <c r="R4062"/>
  <c r="S4062" s="1"/>
  <c r="T4062" s="1"/>
  <c r="W4062"/>
  <c r="R4068"/>
  <c r="S4068" s="1"/>
  <c r="T4068" s="1"/>
  <c r="W4068"/>
  <c r="R4070"/>
  <c r="S4070" s="1"/>
  <c r="T4070" s="1"/>
  <c r="W4070"/>
  <c r="R4078"/>
  <c r="S4078" s="1"/>
  <c r="T4078" s="1"/>
  <c r="W4078"/>
  <c r="R4082"/>
  <c r="S4082" s="1"/>
  <c r="T4082" s="1"/>
  <c r="W4082"/>
  <c r="R4086"/>
  <c r="S4086" s="1"/>
  <c r="T4086" s="1"/>
  <c r="W4086"/>
  <c r="R4094"/>
  <c r="S4094" s="1"/>
  <c r="T4094" s="1"/>
  <c r="W4094"/>
  <c r="R4107"/>
  <c r="S4107" s="1"/>
  <c r="T4107" s="1"/>
  <c r="W4107"/>
  <c r="R4109"/>
  <c r="S4109" s="1"/>
  <c r="T4109" s="1"/>
  <c r="W4109"/>
  <c r="R4112"/>
  <c r="S4112" s="1"/>
  <c r="T4112" s="1"/>
  <c r="W4112"/>
  <c r="R3862"/>
  <c r="S3862" s="1"/>
  <c r="R3925"/>
  <c r="S3925" s="1"/>
  <c r="T3925" s="1"/>
  <c r="W3925"/>
  <c r="Y3925" s="1"/>
  <c r="R3889"/>
  <c r="S3889" s="1"/>
  <c r="T3889" s="1"/>
  <c r="W3889"/>
  <c r="R3868"/>
  <c r="S3868" s="1"/>
  <c r="T3868" s="1"/>
  <c r="W3868"/>
  <c r="R3860"/>
  <c r="S3860" s="1"/>
  <c r="T3860" s="1"/>
  <c r="W3860"/>
  <c r="R3857"/>
  <c r="S3857" s="1"/>
  <c r="T3857" s="1"/>
  <c r="W3857"/>
  <c r="R3854"/>
  <c r="S3854" s="1"/>
  <c r="T3854" s="1"/>
  <c r="W3854"/>
  <c r="R3946"/>
  <c r="W3946"/>
  <c r="R3939"/>
  <c r="S3939" s="1"/>
  <c r="W3939"/>
  <c r="R3916"/>
  <c r="S3916" s="1"/>
  <c r="T3916" s="1"/>
  <c r="W3916"/>
  <c r="R3915"/>
  <c r="S3915" s="1"/>
  <c r="T3915" s="1"/>
  <c r="W3915"/>
  <c r="R3914"/>
  <c r="S3914" s="1"/>
  <c r="T3914" s="1"/>
  <c r="W3914"/>
  <c r="R3912"/>
  <c r="S3912" s="1"/>
  <c r="T3912" s="1"/>
  <c r="W3912"/>
  <c r="R3897"/>
  <c r="S3897" s="1"/>
  <c r="T3897" s="1"/>
  <c r="W3897"/>
  <c r="R3895"/>
  <c r="S3895" s="1"/>
  <c r="W3895"/>
  <c r="R3890"/>
  <c r="S3890" s="1"/>
  <c r="T3890" s="1"/>
  <c r="W3890"/>
  <c r="R3969"/>
  <c r="S3969" s="1"/>
  <c r="T3969" s="1"/>
  <c r="W3969"/>
  <c r="R3973"/>
  <c r="S3973" s="1"/>
  <c r="T3973" s="1"/>
  <c r="W3973"/>
  <c r="R3978"/>
  <c r="S3978" s="1"/>
  <c r="T3978" s="1"/>
  <c r="W3978"/>
  <c r="R3984"/>
  <c r="S3984" s="1"/>
  <c r="T3984" s="1"/>
  <c r="W3984"/>
  <c r="R3995"/>
  <c r="S3995" s="1"/>
  <c r="T3995" s="1"/>
  <c r="W3995"/>
  <c r="R3999"/>
  <c r="S3999" s="1"/>
  <c r="T3999" s="1"/>
  <c r="W3999"/>
  <c r="R4012"/>
  <c r="S4012" s="1"/>
  <c r="T4012" s="1"/>
  <c r="W4012"/>
  <c r="R4017"/>
  <c r="S4017" s="1"/>
  <c r="T4017" s="1"/>
  <c r="W4017"/>
  <c r="R4021"/>
  <c r="S4021" s="1"/>
  <c r="T4021" s="1"/>
  <c r="W4021"/>
  <c r="R4030"/>
  <c r="S4030" s="1"/>
  <c r="T4030" s="1"/>
  <c r="W4030"/>
  <c r="R4041"/>
  <c r="S4041" s="1"/>
  <c r="T4041" s="1"/>
  <c r="W4041"/>
  <c r="R4044"/>
  <c r="S4044" s="1"/>
  <c r="T4044" s="1"/>
  <c r="W4044"/>
  <c r="R4045"/>
  <c r="S4045" s="1"/>
  <c r="T4045" s="1"/>
  <c r="W4045"/>
  <c r="R4047"/>
  <c r="S4047" s="1"/>
  <c r="T4047" s="1"/>
  <c r="W4047"/>
  <c r="R4058"/>
  <c r="S4058" s="1"/>
  <c r="T4058" s="1"/>
  <c r="W4058"/>
  <c r="R4063"/>
  <c r="S4063" s="1"/>
  <c r="T4063" s="1"/>
  <c r="W4063"/>
  <c r="R4064"/>
  <c r="S4064" s="1"/>
  <c r="T4064" s="1"/>
  <c r="W4064"/>
  <c r="R4066"/>
  <c r="S4066" s="1"/>
  <c r="T4066" s="1"/>
  <c r="W4066"/>
  <c r="R4067"/>
  <c r="S4067" s="1"/>
  <c r="T4067" s="1"/>
  <c r="W4067"/>
  <c r="R4071"/>
  <c r="S4071" s="1"/>
  <c r="T4071" s="1"/>
  <c r="W4071"/>
  <c r="R4076"/>
  <c r="S4076" s="1"/>
  <c r="T4076" s="1"/>
  <c r="W4076"/>
  <c r="R4090"/>
  <c r="S4090" s="1"/>
  <c r="T4090" s="1"/>
  <c r="W4090"/>
  <c r="R4095"/>
  <c r="S4095" s="1"/>
  <c r="T4095" s="1"/>
  <c r="W4095"/>
  <c r="R4102"/>
  <c r="S4102" s="1"/>
  <c r="T4102" s="1"/>
  <c r="W4102"/>
  <c r="R4105"/>
  <c r="S4105" s="1"/>
  <c r="T4105" s="1"/>
  <c r="W4105"/>
  <c r="R4114"/>
  <c r="S4114" s="1"/>
  <c r="T4114" s="1"/>
  <c r="W4114"/>
  <c r="R3922"/>
  <c r="S3922" s="1"/>
  <c r="T3922" s="1"/>
  <c r="R3874"/>
  <c r="S3874" s="1"/>
  <c r="T3874" s="1"/>
  <c r="R3957"/>
  <c r="S3957" s="1"/>
  <c r="R3941"/>
  <c r="S3941" s="1"/>
  <c r="T3941" s="1"/>
  <c r="R3853"/>
  <c r="S3853" s="1"/>
  <c r="R3952"/>
  <c r="S3952" s="1"/>
  <c r="T3952" s="1"/>
  <c r="R3910"/>
  <c r="S3910" s="1"/>
  <c r="T3910" s="1"/>
  <c r="R3884"/>
  <c r="S3884" s="1"/>
  <c r="R3904"/>
  <c r="R4023"/>
  <c r="S4023" s="1"/>
  <c r="T4023" s="1"/>
  <c r="R4024"/>
  <c r="S4024" s="1"/>
  <c r="T4024" s="1"/>
  <c r="R3933"/>
  <c r="S3933" s="1"/>
  <c r="T3933" s="1"/>
  <c r="W3933"/>
  <c r="R3931"/>
  <c r="S3931" s="1"/>
  <c r="T3931" s="1"/>
  <c r="W3931"/>
  <c r="R3929"/>
  <c r="S3929" s="1"/>
  <c r="T3929" s="1"/>
  <c r="W3929"/>
  <c r="R3926"/>
  <c r="S3926" s="1"/>
  <c r="T3926" s="1"/>
  <c r="W3926"/>
  <c r="R3923"/>
  <c r="W3923"/>
  <c r="Y3923" s="1"/>
  <c r="R3921"/>
  <c r="S3921" s="1"/>
  <c r="W3921"/>
  <c r="R3883"/>
  <c r="W3883"/>
  <c r="R3858"/>
  <c r="S3858" s="1"/>
  <c r="W3858"/>
  <c r="R3947"/>
  <c r="S3947" s="1"/>
  <c r="T3947" s="1"/>
  <c r="W3947"/>
  <c r="R3942"/>
  <c r="S3942" s="1"/>
  <c r="T3942" s="1"/>
  <c r="W3942"/>
  <c r="R3938"/>
  <c r="S3938" s="1"/>
  <c r="W3938"/>
  <c r="R3872"/>
  <c r="S3872" s="1"/>
  <c r="T3872" s="1"/>
  <c r="W3872"/>
  <c r="R3964"/>
  <c r="W3964"/>
  <c r="R3961"/>
  <c r="S3961" s="1"/>
  <c r="W3961"/>
  <c r="R3954"/>
  <c r="W3954"/>
  <c r="R3951"/>
  <c r="S3951" s="1"/>
  <c r="T3951" s="1"/>
  <c r="W3951"/>
  <c r="R3950"/>
  <c r="S3950" s="1"/>
  <c r="W3950"/>
  <c r="R3949"/>
  <c r="S3949" s="1"/>
  <c r="W3949"/>
  <c r="R3911"/>
  <c r="W3911"/>
  <c r="R3909"/>
  <c r="S3909" s="1"/>
  <c r="T3909" s="1"/>
  <c r="W3909"/>
  <c r="R3908"/>
  <c r="W3908"/>
  <c r="R3907"/>
  <c r="S3907" s="1"/>
  <c r="T3907" s="1"/>
  <c r="W3907"/>
  <c r="R3906"/>
  <c r="S3906" s="1"/>
  <c r="T3906" s="1"/>
  <c r="W3906"/>
  <c r="R3844"/>
  <c r="S3844" s="1"/>
  <c r="T3844" s="1"/>
  <c r="W3844"/>
  <c r="R3975"/>
  <c r="S3975" s="1"/>
  <c r="T3975" s="1"/>
  <c r="W3975"/>
  <c r="R3979"/>
  <c r="S3979" s="1"/>
  <c r="T3979" s="1"/>
  <c r="W3979"/>
  <c r="R3993"/>
  <c r="W3993"/>
  <c r="R4001"/>
  <c r="S4001" s="1"/>
  <c r="T4001" s="1"/>
  <c r="W4001"/>
  <c r="R4010"/>
  <c r="S4010" s="1"/>
  <c r="T4010" s="1"/>
  <c r="W4010"/>
  <c r="R4013"/>
  <c r="S4013" s="1"/>
  <c r="T4013" s="1"/>
  <c r="W4013"/>
  <c r="R4018"/>
  <c r="S4018" s="1"/>
  <c r="T4018" s="1"/>
  <c r="W4018"/>
  <c r="R4022"/>
  <c r="S4022" s="1"/>
  <c r="T4022" s="1"/>
  <c r="W4022"/>
  <c r="R4031"/>
  <c r="S4031" s="1"/>
  <c r="T4031" s="1"/>
  <c r="W4031"/>
  <c r="R4056"/>
  <c r="S4056" s="1"/>
  <c r="T4056" s="1"/>
  <c r="W4056"/>
  <c r="R4057"/>
  <c r="S4057" s="1"/>
  <c r="T4057" s="1"/>
  <c r="W4057"/>
  <c r="R4060"/>
  <c r="S4060" s="1"/>
  <c r="T4060" s="1"/>
  <c r="W4060"/>
  <c r="R4061"/>
  <c r="S4061" s="1"/>
  <c r="T4061" s="1"/>
  <c r="W4061"/>
  <c r="R4065"/>
  <c r="S4065" s="1"/>
  <c r="T4065" s="1"/>
  <c r="W4065"/>
  <c r="R4069"/>
  <c r="S4069" s="1"/>
  <c r="T4069" s="1"/>
  <c r="W4069"/>
  <c r="R4072"/>
  <c r="S4072" s="1"/>
  <c r="T4072" s="1"/>
  <c r="W4072"/>
  <c r="R4079"/>
  <c r="S4079" s="1"/>
  <c r="T4079" s="1"/>
  <c r="W4079"/>
  <c r="R4087"/>
  <c r="S4087" s="1"/>
  <c r="T4087" s="1"/>
  <c r="W4087"/>
  <c r="R4091"/>
  <c r="S4091" s="1"/>
  <c r="T4091" s="1"/>
  <c r="W4091"/>
  <c r="R4106"/>
  <c r="S4106" s="1"/>
  <c r="T4106" s="1"/>
  <c r="W4106"/>
  <c r="R4117"/>
  <c r="S4117" s="1"/>
  <c r="T4117" s="1"/>
  <c r="W4117"/>
  <c r="R3886"/>
  <c r="S3886" s="1"/>
  <c r="R3873"/>
  <c r="S3873" s="1"/>
  <c r="W3871"/>
  <c r="R3943"/>
  <c r="S3943" s="1"/>
  <c r="T3921"/>
  <c r="R3990"/>
  <c r="S3990" s="1"/>
  <c r="T3990" s="1"/>
  <c r="S3993"/>
  <c r="T3993" s="1"/>
  <c r="R3992"/>
  <c r="S3992" s="1"/>
  <c r="T3992" s="1"/>
  <c r="R4015"/>
  <c r="S4015" s="1"/>
  <c r="T4015" s="1"/>
  <c r="R3882"/>
  <c r="S3882" s="1"/>
  <c r="S3954"/>
  <c r="T3954" s="1"/>
  <c r="S4002"/>
  <c r="T4002" s="1"/>
  <c r="S4020"/>
  <c r="T4020" s="1"/>
  <c r="R4075"/>
  <c r="S4075" s="1"/>
  <c r="T4075" s="1"/>
  <c r="R4084"/>
  <c r="R4093"/>
  <c r="R4099"/>
  <c r="S4099" s="1"/>
  <c r="T4099" s="1"/>
  <c r="R4101"/>
  <c r="R4116"/>
  <c r="T3955"/>
  <c r="R3919"/>
  <c r="S3919" s="1"/>
  <c r="R4004"/>
  <c r="R4073"/>
  <c r="S4077"/>
  <c r="T4077" s="1"/>
  <c r="S4081"/>
  <c r="T4081" s="1"/>
  <c r="R4088"/>
  <c r="R4103"/>
  <c r="S4103" s="1"/>
  <c r="T4103" s="1"/>
  <c r="R4110"/>
  <c r="S4110" s="1"/>
  <c r="T4110" s="1"/>
  <c r="R4115"/>
  <c r="S4115" s="1"/>
  <c r="T4115" s="1"/>
  <c r="T3996"/>
  <c r="R3903"/>
  <c r="S3903" s="1"/>
  <c r="T3903" s="1"/>
  <c r="R3869"/>
  <c r="S3869" s="1"/>
  <c r="T3869" s="1"/>
  <c r="R3855"/>
  <c r="R4048"/>
  <c r="S4048" s="1"/>
  <c r="T4048" s="1"/>
  <c r="R4049"/>
  <c r="S4049" s="1"/>
  <c r="T4049" s="1"/>
  <c r="R4083"/>
  <c r="S4083" s="1"/>
  <c r="T4083" s="1"/>
  <c r="R4089"/>
  <c r="S4092"/>
  <c r="T4092" s="1"/>
  <c r="R4097"/>
  <c r="R4104"/>
  <c r="S4104" s="1"/>
  <c r="T4104" s="1"/>
  <c r="T3858"/>
  <c r="R3982"/>
  <c r="R4098"/>
  <c r="S4098" s="1"/>
  <c r="T4098" s="1"/>
  <c r="R4100"/>
  <c r="S4100" s="1"/>
  <c r="T4100" s="1"/>
  <c r="R4111"/>
  <c r="S4111" s="1"/>
  <c r="T4111" s="1"/>
  <c r="R4113"/>
  <c r="R4118"/>
  <c r="S4118" s="1"/>
  <c r="T4118" s="1"/>
  <c r="E1267"/>
  <c r="R4007"/>
  <c r="S4007" s="1"/>
  <c r="T4007" s="1"/>
  <c r="R4019"/>
  <c r="S4019" s="1"/>
  <c r="T4019" s="1"/>
  <c r="S3946"/>
  <c r="T3946" s="1"/>
  <c r="S3927"/>
  <c r="T3927" s="1"/>
  <c r="S3920"/>
  <c r="T3920" s="1"/>
  <c r="S3908"/>
  <c r="T3908" s="1"/>
  <c r="S3964"/>
  <c r="T3964" s="1"/>
  <c r="S3911"/>
  <c r="T3911" s="1"/>
  <c r="S4038"/>
  <c r="T4038" s="1"/>
  <c r="S3994"/>
  <c r="T3994" s="1"/>
  <c r="R3899"/>
  <c r="T3939"/>
  <c r="T3884"/>
  <c r="T3950"/>
  <c r="T3938"/>
  <c r="S3883"/>
  <c r="T3883" s="1"/>
  <c r="T4040"/>
  <c r="T3902"/>
  <c r="T3989"/>
  <c r="R3866"/>
  <c r="T3865"/>
  <c r="R3932"/>
  <c r="R3958"/>
  <c r="R3945"/>
  <c r="R3901"/>
  <c r="T3894"/>
  <c r="S3892"/>
  <c r="T3892" s="1"/>
  <c r="R3956"/>
  <c r="R3930"/>
  <c r="R3905"/>
  <c r="R3863"/>
  <c r="S3923"/>
  <c r="T3923" s="1"/>
  <c r="S4025"/>
  <c r="T4025" s="1"/>
  <c r="T3850"/>
  <c r="R3867"/>
  <c r="E84" i="13"/>
  <c r="R4009" i="6"/>
  <c r="R4032"/>
  <c r="R4033"/>
  <c r="R4008"/>
  <c r="T3957" l="1"/>
  <c r="T3882"/>
  <c r="T3873"/>
  <c r="T3862"/>
  <c r="T3961"/>
  <c r="T3949"/>
  <c r="T3896"/>
  <c r="T3853"/>
  <c r="T3895"/>
  <c r="T3943"/>
  <c r="T3919"/>
  <c r="S3888"/>
  <c r="T3888" s="1"/>
  <c r="T3886"/>
  <c r="S3904"/>
  <c r="T3904" s="1"/>
  <c r="S4034"/>
  <c r="T4034" s="1"/>
  <c r="S3983"/>
  <c r="T3983" s="1"/>
  <c r="S3855"/>
  <c r="T3855" s="1"/>
  <c r="S4073"/>
  <c r="T4073" s="1"/>
  <c r="S4116"/>
  <c r="T4116" s="1"/>
  <c r="S4084"/>
  <c r="T4084" s="1"/>
  <c r="S4113"/>
  <c r="T4113" s="1"/>
  <c r="S3982"/>
  <c r="T3982" s="1"/>
  <c r="S4097"/>
  <c r="T4097" s="1"/>
  <c r="S4089"/>
  <c r="T4089" s="1"/>
  <c r="S4088"/>
  <c r="T4088" s="1"/>
  <c r="S4004"/>
  <c r="T4004" s="1"/>
  <c r="S4101"/>
  <c r="T4101" s="1"/>
  <c r="S4093"/>
  <c r="T4093" s="1"/>
  <c r="S4032"/>
  <c r="T4032" s="1"/>
  <c r="S4033"/>
  <c r="T4033" s="1"/>
  <c r="S3905"/>
  <c r="T3905" s="1"/>
  <c r="S3956"/>
  <c r="T3956" s="1"/>
  <c r="S3958"/>
  <c r="T3958" s="1"/>
  <c r="S3867"/>
  <c r="T3867" s="1"/>
  <c r="S4009"/>
  <c r="T4009" s="1"/>
  <c r="S3863"/>
  <c r="T3863" s="1"/>
  <c r="S3901"/>
  <c r="T3901" s="1"/>
  <c r="S4008"/>
  <c r="T4008" s="1"/>
  <c r="S3930"/>
  <c r="T3930" s="1"/>
  <c r="S3932"/>
  <c r="T3932" s="1"/>
  <c r="S3866"/>
  <c r="T3866" s="1"/>
  <c r="S3945"/>
  <c r="T3945" s="1"/>
  <c r="S3899"/>
  <c r="T3899" s="1"/>
</calcChain>
</file>

<file path=xl/comments1.xml><?xml version="1.0" encoding="utf-8"?>
<comments xmlns="http://schemas.openxmlformats.org/spreadsheetml/2006/main">
  <authors>
    <author>이정은</author>
    <author>유완규</author>
    <author>NOSAE</author>
  </authors>
  <commentList>
    <comment ref="U2" authorId="0">
      <text>
        <r>
          <rPr>
            <sz val="9"/>
            <color indexed="81"/>
            <rFont val="굴림"/>
            <family val="3"/>
            <charset val="129"/>
          </rPr>
          <t xml:space="preserve">07년6월1일부터 수출세로 부과 </t>
        </r>
      </text>
    </comment>
    <comment ref="A1333" authorId="1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gbattery</author>
  </authors>
  <commentList>
    <comment ref="A3" author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comments3.xml><?xml version="1.0" encoding="utf-8"?>
<comments xmlns="http://schemas.openxmlformats.org/spreadsheetml/2006/main">
  <authors>
    <author>이정은</author>
  </authors>
  <commentList>
    <comment ref="H2" author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</commentList>
</comments>
</file>

<file path=xl/sharedStrings.xml><?xml version="1.0" encoding="utf-8"?>
<sst xmlns="http://schemas.openxmlformats.org/spreadsheetml/2006/main" count="487" uniqueCount="195">
  <si>
    <t>3-Month</t>
  </si>
  <si>
    <t>Cash</t>
    <phoneticPr fontId="2" type="noConversion"/>
  </si>
  <si>
    <t>STOCK</t>
    <phoneticPr fontId="2" type="noConversion"/>
  </si>
  <si>
    <t>DATE</t>
    <phoneticPr fontId="2" type="noConversion"/>
  </si>
  <si>
    <t>USA</t>
    <phoneticPr fontId="2" type="noConversion"/>
  </si>
  <si>
    <t>TOTAL</t>
    <phoneticPr fontId="2" type="noConversion"/>
  </si>
  <si>
    <t>CASH</t>
    <phoneticPr fontId="2" type="noConversion"/>
  </si>
  <si>
    <t>CROSS RATE</t>
    <phoneticPr fontId="2" type="noConversion"/>
  </si>
  <si>
    <t>구분</t>
    <phoneticPr fontId="10" type="noConversion"/>
  </si>
  <si>
    <t>AVG</t>
    <phoneticPr fontId="10" type="noConversion"/>
  </si>
  <si>
    <t>휴장</t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</si>
  <si>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</si>
  <si>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t>전월대비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</si>
  <si>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</si>
  <si>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</si>
  <si>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</si>
  <si>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</si>
  <si>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</si>
  <si>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t>휴장</t>
    <phoneticPr fontId="2" type="noConversion"/>
  </si>
  <si>
    <t>월 AVG</t>
    <phoneticPr fontId="2" type="noConversion"/>
  </si>
  <si>
    <t>분기AVG</t>
    <phoneticPr fontId="2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</si>
  <si>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</si>
  <si>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</si>
  <si>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</si>
  <si>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</si>
  <si>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</si>
  <si>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</si>
  <si>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</si>
  <si>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</si>
  <si>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</si>
  <si>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</si>
  <si>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</si>
  <si>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</si>
  <si>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</si>
  <si>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</si>
  <si>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</si>
  <si>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</si>
  <si>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</si>
  <si>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</si>
  <si>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</si>
  <si>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</si>
  <si>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</si>
  <si>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</si>
  <si>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</si>
  <si>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</si>
  <si>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</si>
  <si>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t>안티모니(PB99.65%)</t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</si>
  <si>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</si>
  <si>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전산오류</t>
    <phoneticPr fontId="2" type="noConversion"/>
  </si>
  <si>
    <t>추석연휴</t>
    <phoneticPr fontId="2" type="noConversion"/>
  </si>
  <si>
    <t>휴장(북경절)</t>
    <phoneticPr fontId="2" type="noConversion"/>
  </si>
  <si>
    <t>환율</t>
    <phoneticPr fontId="2" type="noConversion"/>
  </si>
  <si>
    <t>휴장(Easter Holiday)</t>
    <phoneticPr fontId="2" type="noConversion"/>
  </si>
  <si>
    <t>휴장(Spring Bank Holiday)</t>
    <phoneticPr fontId="2" type="noConversion"/>
  </si>
  <si>
    <t>휴장(Summer Bank Holiday)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</si>
  <si>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</si>
  <si>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</si>
  <si>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2009년</t>
    </r>
    <r>
      <rPr>
        <b/>
        <sz val="10"/>
        <rFont val="굴림"/>
        <family val="3"/>
        <charset val="129"/>
      </rPr>
      <t/>
    </r>
  </si>
  <si>
    <t>Sb단가(KRW)</t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</si>
  <si>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</si>
  <si>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휴장</t>
    </r>
    <r>
      <rPr>
        <b/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</si>
  <si>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</si>
  <si>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</si>
  <si>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</si>
  <si>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장(Christmas Holidays)</t>
    <phoneticPr fontId="2" type="noConversion"/>
  </si>
  <si>
    <t>휴 장(Easter Holidays)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</si>
  <si>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</si>
  <si>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</si>
  <si>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t>휴 장(Holiday)</t>
    <phoneticPr fontId="2" type="noConversion"/>
  </si>
  <si>
    <t>Malaysia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</si>
  <si>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</si>
  <si>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</si>
  <si>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</si>
  <si>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</si>
  <si>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</si>
  <si>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장(Holiday)</t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</si>
  <si>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</si>
  <si>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t>휴 장(Holidays)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</si>
  <si>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</si>
  <si>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</si>
  <si>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</si>
  <si>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</si>
  <si>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</si>
  <si>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</si>
  <si>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장(Holiday)</t>
    <phoneticPr fontId="2" type="noConversion"/>
  </si>
  <si>
    <t>휴 장(Holiday)</t>
    <phoneticPr fontId="2" type="noConversion"/>
  </si>
  <si>
    <t>휴 장(Holidays)</t>
  </si>
  <si>
    <r>
      <t>2012년</t>
    </r>
    <r>
      <rPr>
        <sz val="10"/>
        <rFont val="바탕"/>
        <family val="1"/>
        <charset val="129"/>
      </rPr>
      <t/>
    </r>
  </si>
  <si>
    <t>1. LME Sn Cash Settlement AVG</t>
    <phoneticPr fontId="10" type="noConversion"/>
  </si>
  <si>
    <t>1. LME Ni Cash Settlement AVG</t>
    <phoneticPr fontId="10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</si>
  <si>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</si>
  <si>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</si>
  <si>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</si>
  <si>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</si>
  <si>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LME PRICE</t>
    <phoneticPr fontId="2" type="noConversion"/>
  </si>
  <si>
    <t>YTD</t>
    <phoneticPr fontId="2" type="noConversion"/>
  </si>
  <si>
    <t>9/13일 기준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</si>
  <si>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</si>
  <si>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</si>
  <si>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t xml:space="preserve">LME PRICE SIMULATION </t>
    <phoneticPr fontId="2" type="noConversion"/>
  </si>
  <si>
    <t>IN</t>
    <phoneticPr fontId="2" type="noConversion"/>
  </si>
  <si>
    <t>OUT</t>
    <phoneticPr fontId="2" type="noConversion"/>
  </si>
  <si>
    <t>STCOK IN &amp; OUT TOTAL</t>
    <phoneticPr fontId="2" type="noConversion"/>
  </si>
  <si>
    <t>STCOK IN &amp; OUT TOTAL</t>
    <phoneticPr fontId="2" type="noConversion"/>
  </si>
  <si>
    <t>STOCK In &amp; Out</t>
    <phoneticPr fontId="2" type="noConversion"/>
  </si>
  <si>
    <t>C/W</t>
    <phoneticPr fontId="2" type="noConversion"/>
  </si>
  <si>
    <t>Qty</t>
    <phoneticPr fontId="2" type="noConversion"/>
  </si>
  <si>
    <t>Per</t>
    <phoneticPr fontId="2" type="noConversion"/>
  </si>
  <si>
    <t>EUROPE</t>
    <phoneticPr fontId="2" type="noConversion"/>
  </si>
  <si>
    <t>3-Month</t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</si>
  <si>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</si>
  <si>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</si>
  <si>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 장( Holidays)</t>
    <phoneticPr fontId="2" type="noConversion"/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</si>
  <si>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</si>
  <si>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</si>
  <si>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</si>
  <si>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</si>
  <si>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</si>
  <si>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</si>
  <si>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휴장</t>
  </si>
  <si>
    <t>휴 장(Holidays)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</si>
  <si>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</si>
  <si>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</si>
  <si>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t>SHMET/10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</si>
  <si>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</si>
  <si>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</si>
  <si>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</si>
  <si>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</si>
  <si>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</si>
  <si>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</si>
  <si>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</si>
  <si>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</si>
  <si>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</si>
  <si>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</si>
  <si>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</si>
  <si>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</si>
  <si>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</si>
  <si>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</si>
  <si>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</si>
  <si>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</si>
  <si>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t>전월대비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</si>
  <si>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</si>
  <si>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</si>
  <si>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</si>
  <si>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</si>
  <si>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</si>
  <si>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</si>
  <si>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r>
      <t xml:space="preserve">SHMET </t>
    </r>
    <r>
      <rPr>
        <sz val="11"/>
        <rFont val="돋움"/>
        <family val="3"/>
        <charset val="129"/>
      </rPr>
      <t>휴장</t>
    </r>
    <r>
      <rPr>
        <sz val="11"/>
        <rFont val="Times New Roman"/>
        <family val="1"/>
      </rPr>
      <t xml:space="preserve"> (</t>
    </r>
    <r>
      <rPr>
        <sz val="11"/>
        <rFont val="돋움"/>
        <family val="3"/>
        <charset val="129"/>
      </rPr>
      <t>중국</t>
    </r>
    <r>
      <rPr>
        <sz val="11"/>
        <rFont val="Times New Roman"/>
        <family val="1"/>
      </rPr>
      <t xml:space="preserve"> </t>
    </r>
    <r>
      <rPr>
        <sz val="11"/>
        <rFont val="돋움"/>
        <family val="3"/>
        <charset val="129"/>
      </rPr>
      <t>중추절</t>
    </r>
    <r>
      <rPr>
        <sz val="11"/>
        <rFont val="Times New Roman"/>
        <family val="1"/>
      </rPr>
      <t xml:space="preserve"> </t>
    </r>
    <r>
      <rPr>
        <sz val="11"/>
        <rFont val="돋움"/>
        <family val="3"/>
        <charset val="129"/>
      </rPr>
      <t>연휴</t>
    </r>
    <r>
      <rPr>
        <sz val="11"/>
        <rFont val="Times New Roman"/>
        <family val="1"/>
      </rPr>
      <t>_9/19~9/22)</t>
    </r>
    <phoneticPr fontId="2" type="noConversion"/>
  </si>
  <si>
    <t>SHMET 휴장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</si>
  <si>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</si>
  <si>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셀레늄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</si>
  <si>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</si>
  <si>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</si>
  <si>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</si>
  <si>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</si>
  <si>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</si>
  <si>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</si>
  <si>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</si>
  <si>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$/ton</t>
    <phoneticPr fontId="2" type="noConversion"/>
  </si>
  <si>
    <t>년AVG</t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</si>
  <si>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</si>
  <si>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</si>
  <si>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</si>
  <si>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t>2013년</t>
  </si>
  <si>
    <t>휴장 (Holiday)</t>
  </si>
  <si>
    <t>휴장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</si>
  <si>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</si>
  <si>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t>AVG</t>
    <phoneticPr fontId="10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</si>
  <si>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</si>
  <si>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</si>
  <si>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</si>
  <si>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</si>
  <si>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</si>
  <si>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</si>
  <si>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 xml:space="preserve">3. CURRENCY (BASIC)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</si>
  <si>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</si>
  <si>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</si>
  <si>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t>S'PORE</t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</si>
  <si>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</si>
  <si>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t>SHMET(중국)</t>
    <phoneticPr fontId="2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</si>
  <si>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</si>
  <si>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</si>
  <si>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</si>
  <si>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</si>
  <si>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휴장(Holiday)</t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</si>
  <si>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</si>
  <si>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  <phoneticPr fontId="2" type="noConversion"/>
  </si>
  <si>
    <t>Spread</t>
    <phoneticPr fontId="2" type="noConversion"/>
  </si>
  <si>
    <t>휴장(Holiday)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</si>
  <si>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</si>
  <si>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t>휴장(Holiday)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</si>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</sst>
</file>

<file path=xl/styles.xml><?xml version="1.0" encoding="utf-8"?>
<styleSheet xmlns="http://schemas.openxmlformats.org/spreadsheetml/2006/main">
  <numFmts count="28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#,##0_);[Red]\(#,##0\)"/>
    <numFmt numFmtId="186" formatCode="0.0%"/>
    <numFmt numFmtId="187" formatCode="\$#,##0.00"/>
    <numFmt numFmtId="188" formatCode="[$¥-804]#,##0"/>
    <numFmt numFmtId="189" formatCode="_-* #,##0_-;\-* #,##0_-;_-* &quot;-&quot;??_-;_-@_-"/>
    <numFmt numFmtId="190" formatCode="_-[$$-409]* #,##0.00_ ;_-[$$-409]* \-#,##0.00\ ;_-[$$-409]* &quot;-&quot;??_ ;_-@_ "/>
    <numFmt numFmtId="191" formatCode="[$¥-804]#,##0_);\([$¥-804]#,##0\)"/>
    <numFmt numFmtId="192" formatCode="[$¥-804]#,##0.00"/>
    <numFmt numFmtId="193" formatCode="#,##0_ "/>
    <numFmt numFmtId="194" formatCode="[$¥-804]#,##0;[Red][$¥-804]#,##0"/>
    <numFmt numFmtId="195" formatCode="\$#,##0.00000_);[Red]\(\$#,##0.00000\)"/>
    <numFmt numFmtId="196" formatCode="[$¥-478]#,##0_);[Red]\([$¥-478]#,##0\)"/>
    <numFmt numFmtId="197" formatCode="0.00_ "/>
    <numFmt numFmtId="198" formatCode="_-* #,##0.0_-;\-* #,##0.0_-;_-* &quot;-&quot;_-;_-@_-"/>
  </numFmts>
  <fonts count="4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sz val="11"/>
      <name val="돋움"/>
      <family val="3"/>
      <charset val="129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sz val="10"/>
      <color rgb="FFFF0000"/>
      <name val="Times New Roman"/>
      <family val="1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</fonts>
  <fills count="2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</borders>
  <cellStyleXfs count="6">
    <xf numFmtId="0" fontId="0" fillId="0" borderId="0"/>
    <xf numFmtId="0" fontId="1" fillId="6" borderId="31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</cellStyleXfs>
  <cellXfs count="1110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26" fontId="4" fillId="0" borderId="0" xfId="0" applyNumberFormat="1" applyFont="1" applyFill="1" applyAlignment="1">
      <alignment horizontal="right" vertical="center"/>
    </xf>
    <xf numFmtId="177" fontId="4" fillId="0" borderId="1" xfId="0" applyNumberFormat="1" applyFont="1" applyFill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Fill="1" applyBorder="1" applyAlignment="1">
      <alignment vertical="center"/>
    </xf>
    <xf numFmtId="26" fontId="4" fillId="0" borderId="1" xfId="0" applyNumberFormat="1" applyFont="1" applyFill="1" applyBorder="1" applyAlignment="1">
      <alignment vertical="center"/>
    </xf>
    <xf numFmtId="26" fontId="4" fillId="0" borderId="2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26" fontId="7" fillId="0" borderId="0" xfId="0" applyNumberFormat="1" applyFont="1" applyFill="1" applyAlignment="1">
      <alignment horizontal="right" vertical="center"/>
    </xf>
    <xf numFmtId="26" fontId="7" fillId="0" borderId="0" xfId="0" applyNumberFormat="1" applyFont="1" applyFill="1" applyBorder="1" applyAlignment="1">
      <alignment horizontal="right" vertical="center"/>
    </xf>
    <xf numFmtId="26" fontId="7" fillId="0" borderId="1" xfId="0" applyNumberFormat="1" applyFont="1" applyFill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79" fontId="4" fillId="0" borderId="0" xfId="3" applyNumberFormat="1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9" fontId="4" fillId="0" borderId="1" xfId="2" applyFont="1" applyFill="1" applyBorder="1" applyAlignment="1">
      <alignment vertical="center"/>
    </xf>
    <xf numFmtId="26" fontId="4" fillId="0" borderId="3" xfId="0" applyNumberFormat="1" applyFont="1" applyFill="1" applyBorder="1" applyAlignment="1">
      <alignment vertical="center"/>
    </xf>
    <xf numFmtId="179" fontId="4" fillId="0" borderId="0" xfId="0" applyNumberFormat="1" applyFont="1" applyFill="1" applyBorder="1" applyAlignment="1">
      <alignment vertical="center"/>
    </xf>
    <xf numFmtId="41" fontId="4" fillId="0" borderId="0" xfId="0" applyNumberFormat="1" applyFont="1" applyFill="1" applyBorder="1" applyAlignment="1">
      <alignment vertical="center"/>
    </xf>
    <xf numFmtId="43" fontId="4" fillId="0" borderId="0" xfId="0" applyNumberFormat="1" applyFont="1" applyFill="1" applyBorder="1" applyAlignment="1">
      <alignment vertical="center"/>
    </xf>
    <xf numFmtId="177" fontId="4" fillId="0" borderId="2" xfId="0" applyNumberFormat="1" applyFont="1" applyFill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Fill="1" applyBorder="1" applyAlignment="1">
      <alignment horizontal="right" vertical="center"/>
    </xf>
    <xf numFmtId="26" fontId="4" fillId="0" borderId="2" xfId="0" applyNumberFormat="1" applyFont="1" applyFill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5" xfId="3" applyNumberFormat="1" applyFont="1" applyFill="1" applyBorder="1" applyAlignment="1">
      <alignment horizontal="center"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Fill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Fill="1" applyBorder="1" applyAlignment="1">
      <alignment vertical="center"/>
    </xf>
    <xf numFmtId="178" fontId="7" fillId="2" borderId="0" xfId="4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Border="1" applyAlignment="1">
      <alignment vertical="center"/>
    </xf>
    <xf numFmtId="178" fontId="16" fillId="2" borderId="0" xfId="4" applyNumberFormat="1" applyFont="1" applyFill="1" applyAlignment="1">
      <alignment vertical="center"/>
    </xf>
    <xf numFmtId="176" fontId="7" fillId="2" borderId="0" xfId="0" applyNumberFormat="1" applyFont="1" applyFill="1" applyBorder="1" applyAlignment="1">
      <alignment vertical="center"/>
    </xf>
    <xf numFmtId="178" fontId="14" fillId="2" borderId="0" xfId="0" applyNumberFormat="1" applyFont="1" applyFill="1" applyBorder="1" applyAlignment="1">
      <alignment horizontal="center" vertical="center"/>
    </xf>
    <xf numFmtId="182" fontId="19" fillId="0" borderId="0" xfId="5" applyNumberFormat="1" applyFont="1" applyFill="1" applyAlignment="1">
      <alignment horizontal="center" vertical="center"/>
    </xf>
    <xf numFmtId="41" fontId="19" fillId="0" borderId="0" xfId="3" applyFont="1" applyFill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 applyFill="1">
      <alignment vertical="center"/>
    </xf>
    <xf numFmtId="41" fontId="19" fillId="0" borderId="0" xfId="3" applyFont="1" applyFill="1" applyAlignment="1">
      <alignment vertical="center"/>
    </xf>
    <xf numFmtId="0" fontId="21" fillId="0" borderId="0" xfId="5" applyFont="1" applyFill="1">
      <alignment vertical="center"/>
    </xf>
    <xf numFmtId="0" fontId="19" fillId="0" borderId="0" xfId="5" applyFont="1" applyFill="1" applyAlignment="1">
      <alignment horizontal="center" vertical="center"/>
    </xf>
    <xf numFmtId="182" fontId="21" fillId="0" borderId="0" xfId="5" applyNumberFormat="1" applyFont="1" applyFill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41" fontId="19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Fill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19" fillId="0" borderId="1" xfId="3" applyFont="1" applyFill="1" applyBorder="1" applyAlignment="1">
      <alignment horizontal="right" vertical="center"/>
    </xf>
    <xf numFmtId="179" fontId="19" fillId="0" borderId="1" xfId="3" applyNumberFormat="1" applyFont="1" applyFill="1" applyBorder="1" applyAlignment="1">
      <alignment vertical="center"/>
    </xf>
    <xf numFmtId="179" fontId="20" fillId="0" borderId="1" xfId="3" applyNumberFormat="1" applyFont="1" applyFill="1" applyBorder="1" applyAlignment="1">
      <alignment vertical="center"/>
    </xf>
    <xf numFmtId="182" fontId="21" fillId="0" borderId="0" xfId="5" applyNumberFormat="1" applyFont="1" applyFill="1" applyBorder="1" applyAlignment="1">
      <alignment horizontal="center" vertical="center"/>
    </xf>
    <xf numFmtId="41" fontId="21" fillId="0" borderId="0" xfId="3" applyFont="1" applyFill="1" applyBorder="1" applyAlignment="1">
      <alignment horizontal="right" vertical="center"/>
    </xf>
    <xf numFmtId="41" fontId="19" fillId="0" borderId="0" xfId="3" applyFont="1" applyFill="1" applyBorder="1" applyAlignment="1">
      <alignment horizontal="right" vertical="center"/>
    </xf>
    <xf numFmtId="179" fontId="19" fillId="0" borderId="0" xfId="3" applyNumberFormat="1" applyFont="1" applyFill="1" applyBorder="1" applyAlignment="1">
      <alignment vertical="center"/>
    </xf>
    <xf numFmtId="179" fontId="20" fillId="0" borderId="1" xfId="3" applyNumberFormat="1" applyFont="1" applyFill="1" applyBorder="1" applyAlignment="1">
      <alignment horizontal="right" vertical="center"/>
    </xf>
    <xf numFmtId="179" fontId="20" fillId="0" borderId="0" xfId="3" applyNumberFormat="1" applyFont="1" applyFill="1" applyAlignment="1">
      <alignment horizontal="right" vertical="center"/>
    </xf>
    <xf numFmtId="177" fontId="21" fillId="0" borderId="0" xfId="0" applyNumberFormat="1" applyFont="1" applyFill="1" applyBorder="1" applyAlignment="1">
      <alignment horizontal="center" vertical="center"/>
    </xf>
    <xf numFmtId="177" fontId="21" fillId="0" borderId="1" xfId="0" applyNumberFormat="1" applyFont="1" applyFill="1" applyBorder="1" applyAlignment="1">
      <alignment horizontal="center" vertical="center"/>
    </xf>
    <xf numFmtId="41" fontId="21" fillId="0" borderId="0" xfId="5" applyNumberFormat="1" applyFont="1" applyFill="1">
      <alignment vertical="center"/>
    </xf>
    <xf numFmtId="41" fontId="21" fillId="0" borderId="0" xfId="3" applyFont="1" applyFill="1" applyBorder="1" applyAlignment="1">
      <alignment horizontal="center" vertical="center"/>
    </xf>
    <xf numFmtId="0" fontId="19" fillId="0" borderId="1" xfId="5" applyFont="1" applyFill="1" applyBorder="1">
      <alignment vertical="center"/>
    </xf>
    <xf numFmtId="41" fontId="19" fillId="3" borderId="0" xfId="3" applyFont="1" applyFill="1" applyAlignment="1">
      <alignment vertical="center"/>
    </xf>
    <xf numFmtId="41" fontId="19" fillId="3" borderId="1" xfId="3" applyFont="1" applyFill="1" applyBorder="1" applyAlignment="1">
      <alignment vertical="center"/>
    </xf>
    <xf numFmtId="177" fontId="21" fillId="0" borderId="2" xfId="0" applyNumberFormat="1" applyFont="1" applyFill="1" applyBorder="1" applyAlignment="1">
      <alignment horizontal="center" vertical="center"/>
    </xf>
    <xf numFmtId="41" fontId="19" fillId="0" borderId="1" xfId="3" applyFont="1" applyFill="1" applyBorder="1" applyAlignment="1">
      <alignment vertical="center"/>
    </xf>
    <xf numFmtId="178" fontId="4" fillId="0" borderId="0" xfId="4" applyNumberFormat="1" applyFont="1" applyFill="1" applyAlignment="1">
      <alignment vertical="center"/>
    </xf>
    <xf numFmtId="178" fontId="4" fillId="0" borderId="9" xfId="4" applyNumberFormat="1" applyFont="1" applyFill="1" applyBorder="1" applyAlignment="1">
      <alignment horizontal="center" vertical="center"/>
    </xf>
    <xf numFmtId="178" fontId="4" fillId="0" borderId="6" xfId="4" applyNumberFormat="1" applyFont="1" applyFill="1" applyBorder="1" applyAlignment="1">
      <alignment horizontal="right" vertical="center"/>
    </xf>
    <xf numFmtId="178" fontId="22" fillId="2" borderId="0" xfId="3" applyNumberFormat="1" applyFont="1" applyFill="1" applyBorder="1" applyAlignment="1">
      <alignment horizontal="center" vertical="center"/>
    </xf>
    <xf numFmtId="176" fontId="7" fillId="2" borderId="0" xfId="3" applyNumberFormat="1" applyFont="1" applyFill="1" applyBorder="1" applyAlignment="1">
      <alignment vertical="center"/>
    </xf>
    <xf numFmtId="178" fontId="7" fillId="0" borderId="0" xfId="0" applyNumberFormat="1" applyFont="1" applyFill="1" applyBorder="1" applyAlignment="1">
      <alignment vertical="center"/>
    </xf>
    <xf numFmtId="177" fontId="16" fillId="0" borderId="0" xfId="0" applyNumberFormat="1" applyFont="1" applyFill="1" applyBorder="1" applyAlignment="1">
      <alignment horizontal="center" vertical="center"/>
    </xf>
    <xf numFmtId="178" fontId="7" fillId="0" borderId="0" xfId="3" applyNumberFormat="1" applyFont="1" applyFill="1" applyBorder="1" applyAlignment="1">
      <alignment vertical="center"/>
    </xf>
    <xf numFmtId="176" fontId="7" fillId="2" borderId="0" xfId="4" applyNumberFormat="1" applyFont="1" applyFill="1" applyBorder="1" applyAlignment="1">
      <alignment vertical="center"/>
    </xf>
    <xf numFmtId="176" fontId="7" fillId="0" borderId="0" xfId="4" applyNumberFormat="1" applyFont="1" applyFill="1" applyBorder="1" applyAlignment="1">
      <alignment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Fill="1" applyBorder="1" applyAlignment="1">
      <alignment vertical="center"/>
    </xf>
    <xf numFmtId="178" fontId="4" fillId="0" borderId="10" xfId="4" applyNumberFormat="1" applyFont="1" applyFill="1" applyBorder="1" applyAlignment="1">
      <alignment vertical="center"/>
    </xf>
    <xf numFmtId="176" fontId="8" fillId="0" borderId="0" xfId="3" applyNumberFormat="1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vertical="center"/>
    </xf>
    <xf numFmtId="0" fontId="4" fillId="0" borderId="0" xfId="0" applyFont="1"/>
    <xf numFmtId="26" fontId="4" fillId="0" borderId="0" xfId="0" applyNumberFormat="1" applyFont="1" applyFill="1" applyBorder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26" fontId="7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/>
    <xf numFmtId="181" fontId="4" fillId="0" borderId="1" xfId="3" applyNumberFormat="1" applyFont="1" applyFill="1" applyBorder="1" applyAlignment="1">
      <alignment horizontal="center" vertical="center"/>
    </xf>
    <xf numFmtId="41" fontId="4" fillId="0" borderId="0" xfId="3" applyFont="1" applyBorder="1"/>
    <xf numFmtId="41" fontId="4" fillId="0" borderId="0" xfId="3" applyFont="1" applyFill="1" applyBorder="1"/>
    <xf numFmtId="26" fontId="4" fillId="4" borderId="3" xfId="0" applyNumberFormat="1" applyFont="1" applyFill="1" applyBorder="1" applyAlignment="1">
      <alignment vertical="center"/>
    </xf>
    <xf numFmtId="41" fontId="4" fillId="0" borderId="0" xfId="3" applyFont="1"/>
    <xf numFmtId="181" fontId="4" fillId="0" borderId="0" xfId="0" applyNumberFormat="1" applyFont="1"/>
    <xf numFmtId="26" fontId="4" fillId="0" borderId="0" xfId="0" applyNumberFormat="1" applyFont="1"/>
    <xf numFmtId="181" fontId="4" fillId="0" borderId="0" xfId="0" applyNumberFormat="1" applyFont="1" applyAlignment="1">
      <alignment horizontal="center"/>
    </xf>
    <xf numFmtId="26" fontId="4" fillId="0" borderId="0" xfId="0" applyNumberFormat="1" applyFont="1" applyAlignment="1">
      <alignment horizontal="center"/>
    </xf>
    <xf numFmtId="26" fontId="7" fillId="0" borderId="0" xfId="0" applyNumberFormat="1" applyFont="1" applyAlignment="1">
      <alignment horizontal="center"/>
    </xf>
    <xf numFmtId="26" fontId="4" fillId="0" borderId="0" xfId="0" applyNumberFormat="1" applyFont="1" applyBorder="1" applyAlignment="1">
      <alignment horizontal="center"/>
    </xf>
    <xf numFmtId="26" fontId="4" fillId="0" borderId="3" xfId="0" applyNumberFormat="1" applyFont="1" applyBorder="1"/>
    <xf numFmtId="26" fontId="7" fillId="0" borderId="0" xfId="0" applyNumberFormat="1" applyFont="1" applyBorder="1" applyAlignment="1">
      <alignment horizontal="center"/>
    </xf>
    <xf numFmtId="26" fontId="4" fillId="0" borderId="3" xfId="0" applyNumberFormat="1" applyFont="1" applyFill="1" applyBorder="1"/>
    <xf numFmtId="41" fontId="4" fillId="0" borderId="1" xfId="3" applyFont="1" applyBorder="1"/>
    <xf numFmtId="26" fontId="7" fillId="0" borderId="1" xfId="0" applyNumberFormat="1" applyFont="1" applyBorder="1" applyAlignment="1">
      <alignment horizontal="center"/>
    </xf>
    <xf numFmtId="26" fontId="4" fillId="0" borderId="1" xfId="0" applyNumberFormat="1" applyFont="1" applyBorder="1" applyAlignment="1">
      <alignment horizontal="center"/>
    </xf>
    <xf numFmtId="26" fontId="4" fillId="0" borderId="0" xfId="0" applyNumberFormat="1" applyFont="1" applyFill="1"/>
    <xf numFmtId="0" fontId="4" fillId="0" borderId="13" xfId="0" applyFont="1" applyFill="1" applyBorder="1" applyAlignment="1">
      <alignment horizontal="center" vertical="center"/>
    </xf>
    <xf numFmtId="181" fontId="4" fillId="0" borderId="14" xfId="3" applyNumberFormat="1" applyFont="1" applyFill="1" applyBorder="1" applyAlignment="1">
      <alignment horizontal="center" vertical="center"/>
    </xf>
    <xf numFmtId="181" fontId="4" fillId="0" borderId="14" xfId="0" applyNumberFormat="1" applyFont="1" applyBorder="1" applyAlignment="1">
      <alignment horizontal="center"/>
    </xf>
    <xf numFmtId="181" fontId="4" fillId="0" borderId="5" xfId="0" applyNumberFormat="1" applyFont="1" applyBorder="1" applyAlignment="1">
      <alignment horizontal="center"/>
    </xf>
    <xf numFmtId="0" fontId="24" fillId="0" borderId="0" xfId="0" applyFont="1"/>
    <xf numFmtId="181" fontId="4" fillId="0" borderId="1" xfId="0" applyNumberFormat="1" applyFont="1" applyBorder="1" applyAlignment="1">
      <alignment horizontal="center"/>
    </xf>
    <xf numFmtId="41" fontId="4" fillId="0" borderId="2" xfId="3" applyFont="1" applyBorder="1"/>
    <xf numFmtId="26" fontId="7" fillId="0" borderId="2" xfId="0" applyNumberFormat="1" applyFont="1" applyBorder="1" applyAlignment="1">
      <alignment horizontal="center"/>
    </xf>
    <xf numFmtId="26" fontId="4" fillId="0" borderId="2" xfId="0" applyNumberFormat="1" applyFont="1" applyBorder="1" applyAlignment="1">
      <alignment horizontal="center"/>
    </xf>
    <xf numFmtId="26" fontId="4" fillId="0" borderId="2" xfId="0" applyNumberFormat="1" applyFont="1" applyBorder="1"/>
    <xf numFmtId="181" fontId="4" fillId="0" borderId="2" xfId="0" applyNumberFormat="1" applyFont="1" applyBorder="1" applyAlignment="1">
      <alignment horizontal="center"/>
    </xf>
    <xf numFmtId="182" fontId="21" fillId="0" borderId="2" xfId="5" applyNumberFormat="1" applyFont="1" applyFill="1" applyBorder="1" applyAlignment="1">
      <alignment horizontal="center" vertical="center"/>
    </xf>
    <xf numFmtId="41" fontId="21" fillId="0" borderId="2" xfId="3" applyFont="1" applyFill="1" applyBorder="1" applyAlignment="1">
      <alignment horizontal="right" vertical="center"/>
    </xf>
    <xf numFmtId="184" fontId="4" fillId="0" borderId="0" xfId="0" applyNumberFormat="1" applyFont="1" applyBorder="1"/>
    <xf numFmtId="26" fontId="4" fillId="5" borderId="1" xfId="0" applyNumberFormat="1" applyFont="1" applyFill="1" applyBorder="1" applyAlignment="1">
      <alignment vertical="center"/>
    </xf>
    <xf numFmtId="26" fontId="4" fillId="0" borderId="0" xfId="0" applyNumberFormat="1" applyFont="1" applyBorder="1"/>
    <xf numFmtId="181" fontId="4" fillId="0" borderId="0" xfId="0" applyNumberFormat="1" applyFont="1" applyBorder="1" applyAlignment="1">
      <alignment horizontal="center"/>
    </xf>
    <xf numFmtId="179" fontId="19" fillId="0" borderId="2" xfId="3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8" borderId="1" xfId="0" applyNumberFormat="1" applyFont="1" applyFill="1" applyBorder="1"/>
    <xf numFmtId="26" fontId="4" fillId="9" borderId="1" xfId="0" applyNumberFormat="1" applyFont="1" applyFill="1" applyBorder="1"/>
    <xf numFmtId="26" fontId="4" fillId="9" borderId="1" xfId="0" applyNumberFormat="1" applyFont="1" applyFill="1" applyBorder="1" applyAlignment="1">
      <alignment vertical="center"/>
    </xf>
    <xf numFmtId="181" fontId="4" fillId="0" borderId="11" xfId="0" applyNumberFormat="1" applyFont="1" applyBorder="1" applyAlignment="1">
      <alignment horizontal="center"/>
    </xf>
    <xf numFmtId="181" fontId="4" fillId="0" borderId="3" xfId="0" applyNumberFormat="1" applyFont="1" applyBorder="1" applyAlignment="1">
      <alignment horizontal="center"/>
    </xf>
    <xf numFmtId="181" fontId="4" fillId="0" borderId="4" xfId="0" applyNumberFormat="1" applyFont="1" applyBorder="1" applyAlignment="1">
      <alignment horizontal="center"/>
    </xf>
    <xf numFmtId="26" fontId="4" fillId="7" borderId="1" xfId="0" applyNumberFormat="1" applyFont="1" applyFill="1" applyBorder="1"/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Fill="1" applyBorder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16" fillId="0" borderId="0" xfId="4" applyNumberFormat="1" applyFont="1" applyFill="1" applyAlignment="1">
      <alignment horizontal="center" vertical="center"/>
    </xf>
    <xf numFmtId="179" fontId="20" fillId="0" borderId="0" xfId="3" applyNumberFormat="1" applyFont="1" applyFill="1" applyBorder="1" applyAlignment="1">
      <alignment vertical="center"/>
    </xf>
    <xf numFmtId="0" fontId="19" fillId="0" borderId="0" xfId="5" applyFont="1" applyFill="1" applyBorder="1">
      <alignment vertical="center"/>
    </xf>
    <xf numFmtId="41" fontId="19" fillId="0" borderId="0" xfId="3" applyFont="1" applyFill="1" applyBorder="1" applyAlignment="1">
      <alignment vertical="center"/>
    </xf>
    <xf numFmtId="178" fontId="23" fillId="0" borderId="6" xfId="4" applyNumberFormat="1" applyFont="1" applyFill="1" applyBorder="1" applyAlignment="1">
      <alignment vertical="center"/>
    </xf>
    <xf numFmtId="26" fontId="4" fillId="0" borderId="6" xfId="0" applyNumberFormat="1" applyFont="1" applyFill="1" applyBorder="1" applyAlignment="1">
      <alignment vertical="center"/>
    </xf>
    <xf numFmtId="178" fontId="4" fillId="0" borderId="15" xfId="4" applyNumberFormat="1" applyFont="1" applyFill="1" applyBorder="1" applyAlignment="1">
      <alignment vertical="center"/>
    </xf>
    <xf numFmtId="178" fontId="4" fillId="2" borderId="12" xfId="4" applyNumberFormat="1" applyFont="1" applyFill="1" applyBorder="1" applyAlignment="1">
      <alignment horizontal="center" vertical="center"/>
    </xf>
    <xf numFmtId="178" fontId="11" fillId="2" borderId="12" xfId="4" applyNumberFormat="1" applyFont="1" applyFill="1" applyBorder="1" applyAlignment="1">
      <alignment horizontal="center" vertical="center"/>
    </xf>
    <xf numFmtId="178" fontId="4" fillId="2" borderId="15" xfId="4" applyNumberFormat="1" applyFont="1" applyFill="1" applyBorder="1" applyAlignment="1">
      <alignment horizontal="center" vertical="center"/>
    </xf>
    <xf numFmtId="178" fontId="4" fillId="2" borderId="15" xfId="4" applyNumberFormat="1" applyFont="1" applyFill="1" applyBorder="1" applyAlignment="1">
      <alignment vertical="center"/>
    </xf>
    <xf numFmtId="178" fontId="23" fillId="0" borderId="15" xfId="4" applyNumberFormat="1" applyFont="1" applyFill="1" applyBorder="1" applyAlignment="1">
      <alignment vertical="center"/>
    </xf>
    <xf numFmtId="26" fontId="4" fillId="0" borderId="15" xfId="0" applyNumberFormat="1" applyFont="1" applyFill="1" applyBorder="1" applyAlignment="1">
      <alignment vertical="center"/>
    </xf>
    <xf numFmtId="26" fontId="7" fillId="0" borderId="0" xfId="0" applyNumberFormat="1" applyFont="1" applyFill="1" applyBorder="1" applyAlignment="1">
      <alignment horizontal="center" vertical="center" wrapText="1"/>
    </xf>
    <xf numFmtId="26" fontId="7" fillId="0" borderId="1" xfId="0" applyNumberFormat="1" applyFont="1" applyFill="1" applyBorder="1" applyAlignment="1">
      <alignment horizontal="center" vertical="center"/>
    </xf>
    <xf numFmtId="26" fontId="4" fillId="0" borderId="1" xfId="0" applyNumberFormat="1" applyFont="1" applyFill="1" applyBorder="1" applyAlignment="1">
      <alignment horizontal="center" vertical="center"/>
    </xf>
    <xf numFmtId="181" fontId="4" fillId="0" borderId="3" xfId="3" applyNumberFormat="1" applyFont="1" applyFill="1" applyBorder="1" applyAlignment="1">
      <alignment horizontal="center" vertical="center"/>
    </xf>
    <xf numFmtId="181" fontId="4" fillId="0" borderId="4" xfId="3" applyNumberFormat="1" applyFont="1" applyFill="1" applyBorder="1" applyAlignment="1">
      <alignment horizontal="center" vertical="center"/>
    </xf>
    <xf numFmtId="181" fontId="4" fillId="0" borderId="11" xfId="3" applyNumberFormat="1" applyFont="1" applyFill="1" applyBorder="1" applyAlignment="1">
      <alignment horizontal="center" vertical="center"/>
    </xf>
    <xf numFmtId="26" fontId="7" fillId="0" borderId="1" xfId="0" applyNumberFormat="1" applyFont="1" applyFill="1" applyBorder="1" applyAlignment="1">
      <alignment horizontal="center" vertical="center" wrapText="1"/>
    </xf>
    <xf numFmtId="26" fontId="7" fillId="0" borderId="2" xfId="0" applyNumberFormat="1" applyFont="1" applyFill="1" applyBorder="1" applyAlignment="1">
      <alignment horizontal="center" vertical="center" wrapText="1"/>
    </xf>
    <xf numFmtId="26" fontId="4" fillId="0" borderId="2" xfId="0" applyNumberFormat="1" applyFont="1" applyFill="1" applyBorder="1" applyAlignment="1">
      <alignment horizontal="center" vertical="center"/>
    </xf>
    <xf numFmtId="26" fontId="4" fillId="0" borderId="3" xfId="0" applyNumberFormat="1" applyFont="1" applyFill="1" applyBorder="1" applyAlignment="1">
      <alignment horizontal="center" vertical="center"/>
    </xf>
    <xf numFmtId="26" fontId="4" fillId="0" borderId="11" xfId="0" applyNumberFormat="1" applyFont="1" applyFill="1" applyBorder="1" applyAlignment="1">
      <alignment horizontal="center" vertical="center"/>
    </xf>
    <xf numFmtId="179" fontId="4" fillId="0" borderId="0" xfId="3" applyNumberFormat="1" applyFont="1" applyFill="1" applyBorder="1" applyAlignment="1">
      <alignment horizontal="right" vertical="center"/>
    </xf>
    <xf numFmtId="26" fontId="4" fillId="7" borderId="1" xfId="0" applyNumberFormat="1" applyFont="1" applyFill="1" applyBorder="1" applyAlignment="1">
      <alignment horizontal="center" vertical="center"/>
    </xf>
    <xf numFmtId="26" fontId="4" fillId="11" borderId="4" xfId="0" applyNumberFormat="1" applyFont="1" applyFill="1" applyBorder="1" applyAlignment="1">
      <alignment horizontal="center" vertical="center"/>
    </xf>
    <xf numFmtId="26" fontId="4" fillId="7" borderId="0" xfId="0" applyNumberFormat="1" applyFont="1" applyFill="1" applyBorder="1" applyAlignment="1">
      <alignment vertical="center"/>
    </xf>
    <xf numFmtId="26" fontId="4" fillId="11" borderId="4" xfId="0" applyNumberFormat="1" applyFont="1" applyFill="1" applyBorder="1" applyAlignment="1">
      <alignment vertical="center"/>
    </xf>
    <xf numFmtId="26" fontId="4" fillId="12" borderId="11" xfId="0" applyNumberFormat="1" applyFont="1" applyFill="1" applyBorder="1" applyAlignment="1">
      <alignment horizontal="center" vertical="center"/>
    </xf>
    <xf numFmtId="26" fontId="4" fillId="8" borderId="4" xfId="0" applyNumberFormat="1" applyFont="1" applyFill="1" applyBorder="1"/>
    <xf numFmtId="178" fontId="4" fillId="0" borderId="6" xfId="3" applyNumberFormat="1" applyFont="1" applyFill="1" applyBorder="1" applyAlignment="1">
      <alignment horizontal="right" vertical="center"/>
    </xf>
    <xf numFmtId="26" fontId="7" fillId="0" borderId="0" xfId="0" applyNumberFormat="1" applyFont="1" applyFill="1" applyBorder="1" applyAlignment="1">
      <alignment horizontal="center"/>
    </xf>
    <xf numFmtId="26" fontId="4" fillId="0" borderId="0" xfId="0" applyNumberFormat="1" applyFont="1" applyFill="1" applyBorder="1" applyAlignment="1">
      <alignment horizontal="center"/>
    </xf>
    <xf numFmtId="0" fontId="4" fillId="0" borderId="0" xfId="0" applyFont="1" applyFill="1"/>
    <xf numFmtId="26" fontId="4" fillId="0" borderId="0" xfId="0" applyNumberFormat="1" applyFont="1" applyFill="1" applyBorder="1"/>
    <xf numFmtId="181" fontId="4" fillId="0" borderId="3" xfId="0" applyNumberFormat="1" applyFont="1" applyFill="1" applyBorder="1" applyAlignment="1">
      <alignment horizontal="center"/>
    </xf>
    <xf numFmtId="0" fontId="4" fillId="0" borderId="2" xfId="0" applyFont="1" applyFill="1" applyBorder="1" applyAlignment="1">
      <alignment vertical="center"/>
    </xf>
    <xf numFmtId="26" fontId="4" fillId="0" borderId="2" xfId="0" applyNumberFormat="1" applyFont="1" applyFill="1" applyBorder="1"/>
    <xf numFmtId="181" fontId="6" fillId="0" borderId="3" xfId="0" applyNumberFormat="1" applyFont="1" applyFill="1" applyBorder="1" applyAlignment="1">
      <alignment horizontal="center"/>
    </xf>
    <xf numFmtId="41" fontId="4" fillId="0" borderId="0" xfId="3" applyFont="1" applyBorder="1" applyAlignment="1"/>
    <xf numFmtId="26" fontId="7" fillId="0" borderId="0" xfId="0" quotePrefix="1" applyNumberFormat="1" applyFont="1" applyFill="1" applyBorder="1" applyAlignment="1">
      <alignment horizontal="right" vertical="center"/>
    </xf>
    <xf numFmtId="185" fontId="4" fillId="2" borderId="0" xfId="4" applyNumberFormat="1" applyFont="1" applyFill="1" applyAlignment="1">
      <alignment vertical="center"/>
    </xf>
    <xf numFmtId="0" fontId="0" fillId="0" borderId="0" xfId="0" applyFont="1" applyFill="1"/>
    <xf numFmtId="26" fontId="4" fillId="12" borderId="2" xfId="0" applyNumberFormat="1" applyFont="1" applyFill="1" applyBorder="1"/>
    <xf numFmtId="178" fontId="8" fillId="0" borderId="0" xfId="0" applyNumberFormat="1" applyFont="1" applyFill="1" applyBorder="1" applyAlignment="1">
      <alignment vertical="center"/>
    </xf>
    <xf numFmtId="178" fontId="8" fillId="0" borderId="0" xfId="4" applyNumberFormat="1" applyFont="1" applyFill="1" applyBorder="1" applyAlignment="1">
      <alignment vertical="center"/>
    </xf>
    <xf numFmtId="178" fontId="26" fillId="2" borderId="0" xfId="4" applyNumberFormat="1" applyFont="1" applyFill="1" applyAlignment="1">
      <alignment horizontal="left" vertical="center"/>
    </xf>
    <xf numFmtId="178" fontId="23" fillId="0" borderId="7" xfId="4" applyNumberFormat="1" applyFont="1" applyFill="1" applyBorder="1" applyAlignment="1">
      <alignment vertical="center"/>
    </xf>
    <xf numFmtId="179" fontId="20" fillId="0" borderId="2" xfId="3" applyNumberFormat="1" applyFont="1" applyFill="1" applyBorder="1" applyAlignment="1">
      <alignment vertical="center"/>
    </xf>
    <xf numFmtId="0" fontId="19" fillId="0" borderId="2" xfId="5" applyFont="1" applyFill="1" applyBorder="1">
      <alignment vertical="center"/>
    </xf>
    <xf numFmtId="41" fontId="19" fillId="0" borderId="2" xfId="3" applyFont="1" applyFill="1" applyBorder="1" applyAlignment="1">
      <alignment vertical="center"/>
    </xf>
    <xf numFmtId="0" fontId="4" fillId="0" borderId="8" xfId="0" applyFont="1" applyBorder="1"/>
    <xf numFmtId="0" fontId="21" fillId="0" borderId="0" xfId="5" applyFont="1" applyFill="1" applyBorder="1">
      <alignment vertical="center"/>
    </xf>
    <xf numFmtId="0" fontId="4" fillId="0" borderId="0" xfId="0" applyFont="1" applyAlignment="1">
      <alignment vertical="center"/>
    </xf>
    <xf numFmtId="26" fontId="4" fillId="0" borderId="1" xfId="0" applyNumberFormat="1" applyFont="1" applyBorder="1"/>
    <xf numFmtId="181" fontId="6" fillId="0" borderId="4" xfId="0" applyNumberFormat="1" applyFont="1" applyBorder="1" applyAlignment="1">
      <alignment horizontal="center" vertical="center"/>
    </xf>
    <xf numFmtId="41" fontId="4" fillId="0" borderId="2" xfId="3" applyFont="1" applyFill="1" applyBorder="1"/>
    <xf numFmtId="41" fontId="4" fillId="0" borderId="1" xfId="3" applyFont="1" applyFill="1" applyBorder="1"/>
    <xf numFmtId="181" fontId="6" fillId="0" borderId="11" xfId="0" applyNumberFormat="1" applyFont="1" applyBorder="1" applyAlignment="1">
      <alignment horizontal="center" vertical="center"/>
    </xf>
    <xf numFmtId="24" fontId="4" fillId="0" borderId="0" xfId="0" applyNumberFormat="1" applyFont="1" applyFill="1" applyBorder="1" applyAlignment="1">
      <alignment vertical="center"/>
    </xf>
    <xf numFmtId="179" fontId="19" fillId="13" borderId="0" xfId="3" applyNumberFormat="1" applyFont="1" applyFill="1" applyAlignment="1">
      <alignment vertical="center"/>
    </xf>
    <xf numFmtId="179" fontId="19" fillId="13" borderId="1" xfId="3" applyNumberFormat="1" applyFont="1" applyFill="1" applyBorder="1" applyAlignment="1">
      <alignment vertical="center"/>
    </xf>
    <xf numFmtId="41" fontId="4" fillId="2" borderId="0" xfId="3" applyFont="1" applyFill="1" applyAlignment="1">
      <alignment vertical="center"/>
    </xf>
    <xf numFmtId="0" fontId="31" fillId="0" borderId="0" xfId="0" applyFont="1"/>
    <xf numFmtId="0" fontId="32" fillId="0" borderId="17" xfId="0" applyFont="1" applyBorder="1"/>
    <xf numFmtId="41" fontId="32" fillId="0" borderId="18" xfId="3" applyFont="1" applyFill="1" applyBorder="1" applyAlignment="1">
      <alignment vertical="center"/>
    </xf>
    <xf numFmtId="41" fontId="32" fillId="0" borderId="19" xfId="3" applyFont="1" applyFill="1" applyBorder="1" applyAlignment="1">
      <alignment vertical="center"/>
    </xf>
    <xf numFmtId="0" fontId="32" fillId="0" borderId="20" xfId="0" applyFont="1" applyBorder="1"/>
    <xf numFmtId="179" fontId="32" fillId="0" borderId="21" xfId="3" applyNumberFormat="1" applyFont="1" applyFill="1" applyBorder="1" applyAlignment="1">
      <alignment vertical="center"/>
    </xf>
    <xf numFmtId="179" fontId="32" fillId="0" borderId="22" xfId="3" applyNumberFormat="1" applyFont="1" applyFill="1" applyBorder="1" applyAlignment="1">
      <alignment vertical="center"/>
    </xf>
    <xf numFmtId="0" fontId="32" fillId="0" borderId="0" xfId="0" applyFont="1"/>
    <xf numFmtId="41" fontId="4" fillId="14" borderId="1" xfId="3" applyFont="1" applyFill="1" applyBorder="1" applyAlignment="1">
      <alignment horizontal="center" vertical="center"/>
    </xf>
    <xf numFmtId="26" fontId="7" fillId="15" borderId="1" xfId="0" applyNumberFormat="1" applyFont="1" applyFill="1" applyBorder="1" applyAlignment="1">
      <alignment horizontal="right" vertical="center"/>
    </xf>
    <xf numFmtId="26" fontId="4" fillId="15" borderId="1" xfId="0" applyNumberFormat="1" applyFont="1" applyFill="1" applyBorder="1" applyAlignment="1">
      <alignment horizontal="right" vertical="center"/>
    </xf>
    <xf numFmtId="26" fontId="4" fillId="15" borderId="1" xfId="0" applyNumberFormat="1" applyFont="1" applyFill="1" applyBorder="1" applyAlignment="1">
      <alignment vertical="center"/>
    </xf>
    <xf numFmtId="41" fontId="16" fillId="15" borderId="1" xfId="3" applyFont="1" applyFill="1" applyBorder="1" applyAlignment="1">
      <alignment horizontal="center" vertical="center"/>
    </xf>
    <xf numFmtId="26" fontId="16" fillId="7" borderId="0" xfId="0" applyNumberFormat="1" applyFont="1" applyFill="1" applyBorder="1" applyAlignment="1">
      <alignment vertical="center"/>
    </xf>
    <xf numFmtId="26" fontId="16" fillId="15" borderId="1" xfId="0" applyNumberFormat="1" applyFont="1" applyFill="1" applyBorder="1" applyAlignment="1">
      <alignment horizontal="right" vertical="center"/>
    </xf>
    <xf numFmtId="26" fontId="16" fillId="15" borderId="1" xfId="0" applyNumberFormat="1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26" fontId="16" fillId="0" borderId="0" xfId="0" applyNumberFormat="1" applyFont="1" applyFill="1" applyBorder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 applyFill="1" applyBorder="1"/>
    <xf numFmtId="186" fontId="4" fillId="0" borderId="0" xfId="2" applyNumberFormat="1" applyFont="1" applyFill="1" applyBorder="1" applyAlignment="1">
      <alignment horizontal="right" vertical="center"/>
    </xf>
    <xf numFmtId="186" fontId="4" fillId="0" borderId="1" xfId="2" applyNumberFormat="1" applyFont="1" applyFill="1" applyBorder="1" applyAlignment="1">
      <alignment horizontal="right" vertical="center"/>
    </xf>
    <xf numFmtId="186" fontId="4" fillId="0" borderId="0" xfId="2" applyNumberFormat="1" applyFont="1" applyFill="1" applyBorder="1" applyAlignment="1">
      <alignment horizontal="right" vertical="center" wrapText="1"/>
    </xf>
    <xf numFmtId="186" fontId="4" fillId="0" borderId="0" xfId="2" applyNumberFormat="1" applyFont="1" applyFill="1" applyBorder="1" applyAlignment="1" applyProtection="1">
      <alignment horizontal="right" vertical="center"/>
      <protection locked="0"/>
    </xf>
    <xf numFmtId="186" fontId="5" fillId="0" borderId="0" xfId="2" applyNumberFormat="1" applyFont="1" applyFill="1" applyBorder="1" applyAlignment="1">
      <alignment horizontal="right" vertical="center"/>
    </xf>
    <xf numFmtId="186" fontId="4" fillId="0" borderId="2" xfId="2" applyNumberFormat="1" applyFont="1" applyFill="1" applyBorder="1" applyAlignment="1">
      <alignment horizontal="right" vertical="center"/>
    </xf>
    <xf numFmtId="186" fontId="16" fillId="15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8" fontId="4" fillId="0" borderId="1" xfId="0" applyNumberFormat="1" applyFont="1" applyFill="1" applyBorder="1" applyAlignment="1">
      <alignment vertical="center"/>
    </xf>
    <xf numFmtId="38" fontId="4" fillId="0" borderId="2" xfId="0" applyNumberFormat="1" applyFont="1" applyFill="1" applyBorder="1" applyAlignment="1">
      <alignment vertical="center"/>
    </xf>
    <xf numFmtId="38" fontId="4" fillId="15" borderId="1" xfId="0" applyNumberFormat="1" applyFont="1" applyFill="1" applyBorder="1" applyAlignment="1">
      <alignment vertical="center"/>
    </xf>
    <xf numFmtId="38" fontId="16" fillId="15" borderId="1" xfId="0" applyNumberFormat="1" applyFont="1" applyFill="1" applyBorder="1" applyAlignment="1">
      <alignment vertical="center"/>
    </xf>
    <xf numFmtId="41" fontId="4" fillId="16" borderId="1" xfId="3" applyFont="1" applyFill="1" applyBorder="1" applyAlignment="1">
      <alignment horizontal="center" vertical="center"/>
    </xf>
    <xf numFmtId="186" fontId="4" fillId="16" borderId="1" xfId="2" applyNumberFormat="1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vertical="center"/>
    </xf>
    <xf numFmtId="0" fontId="4" fillId="0" borderId="24" xfId="0" applyFont="1" applyFill="1" applyBorder="1" applyAlignment="1">
      <alignment vertical="center"/>
    </xf>
    <xf numFmtId="41" fontId="4" fillId="0" borderId="24" xfId="0" applyNumberFormat="1" applyFont="1" applyFill="1" applyBorder="1" applyAlignment="1">
      <alignment vertical="center"/>
    </xf>
    <xf numFmtId="26" fontId="4" fillId="0" borderId="23" xfId="0" applyNumberFormat="1" applyFont="1" applyFill="1" applyBorder="1" applyAlignment="1">
      <alignment vertical="center"/>
    </xf>
    <xf numFmtId="26" fontId="4" fillId="0" borderId="24" xfId="0" applyNumberFormat="1" applyFont="1" applyFill="1" applyBorder="1" applyAlignment="1">
      <alignment vertical="center"/>
    </xf>
    <xf numFmtId="26" fontId="4" fillId="3" borderId="24" xfId="0" applyNumberFormat="1" applyFont="1" applyFill="1" applyBorder="1" applyAlignment="1">
      <alignment vertical="center"/>
    </xf>
    <xf numFmtId="26" fontId="4" fillId="0" borderId="25" xfId="0" applyNumberFormat="1" applyFont="1" applyFill="1" applyBorder="1" applyAlignment="1">
      <alignment vertical="center"/>
    </xf>
    <xf numFmtId="26" fontId="4" fillId="3" borderId="25" xfId="0" applyNumberFormat="1" applyFont="1" applyFill="1" applyBorder="1" applyAlignment="1">
      <alignment vertical="center"/>
    </xf>
    <xf numFmtId="0" fontId="4" fillId="0" borderId="25" xfId="0" applyFont="1" applyFill="1" applyBorder="1" applyAlignment="1">
      <alignment vertical="center"/>
    </xf>
    <xf numFmtId="26" fontId="4" fillId="4" borderId="24" xfId="0" applyNumberFormat="1" applyFont="1" applyFill="1" applyBorder="1" applyAlignment="1">
      <alignment vertical="center"/>
    </xf>
    <xf numFmtId="26" fontId="4" fillId="12" borderId="23" xfId="0" applyNumberFormat="1" applyFont="1" applyFill="1" applyBorder="1" applyAlignment="1">
      <alignment vertical="center"/>
    </xf>
    <xf numFmtId="26" fontId="4" fillId="8" borderId="24" xfId="0" applyNumberFormat="1" applyFont="1" applyFill="1" applyBorder="1" applyAlignment="1">
      <alignment vertical="center"/>
    </xf>
    <xf numFmtId="26" fontId="4" fillId="12" borderId="25" xfId="0" applyNumberFormat="1" applyFont="1" applyFill="1" applyBorder="1" applyAlignment="1">
      <alignment vertical="center"/>
    </xf>
    <xf numFmtId="26" fontId="16" fillId="8" borderId="23" xfId="0" applyNumberFormat="1" applyFont="1" applyFill="1" applyBorder="1" applyAlignment="1">
      <alignment vertical="center"/>
    </xf>
    <xf numFmtId="26" fontId="4" fillId="15" borderId="24" xfId="0" applyNumberFormat="1" applyFont="1" applyFill="1" applyBorder="1" applyAlignment="1">
      <alignment vertical="center"/>
    </xf>
    <xf numFmtId="26" fontId="16" fillId="15" borderId="24" xfId="0" applyNumberFormat="1" applyFont="1" applyFill="1" applyBorder="1" applyAlignment="1">
      <alignment vertical="center"/>
    </xf>
    <xf numFmtId="26" fontId="16" fillId="0" borderId="23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41" fontId="4" fillId="14" borderId="1" xfId="3" applyFont="1" applyFill="1" applyBorder="1" applyAlignment="1">
      <alignment horizontal="right" vertical="center"/>
    </xf>
    <xf numFmtId="180" fontId="4" fillId="17" borderId="1" xfId="3" applyNumberFormat="1" applyFont="1" applyFill="1" applyBorder="1" applyAlignment="1">
      <alignment horizontal="center" vertical="center"/>
    </xf>
    <xf numFmtId="9" fontId="4" fillId="17" borderId="1" xfId="2" applyFont="1" applyFill="1" applyBorder="1" applyAlignment="1">
      <alignment horizontal="center" vertical="center"/>
    </xf>
    <xf numFmtId="181" fontId="16" fillId="17" borderId="1" xfId="3" applyNumberFormat="1" applyFont="1" applyFill="1" applyBorder="1" applyAlignment="1">
      <alignment vertical="center"/>
    </xf>
    <xf numFmtId="180" fontId="16" fillId="17" borderId="1" xfId="3" applyNumberFormat="1" applyFont="1" applyFill="1" applyBorder="1" applyAlignment="1">
      <alignment vertical="center"/>
    </xf>
    <xf numFmtId="9" fontId="16" fillId="17" borderId="1" xfId="2" applyFont="1" applyFill="1" applyBorder="1" applyAlignment="1">
      <alignment vertical="center"/>
    </xf>
    <xf numFmtId="180" fontId="4" fillId="17" borderId="1" xfId="3" applyNumberFormat="1" applyFont="1" applyFill="1" applyBorder="1" applyAlignment="1">
      <alignment vertical="center"/>
    </xf>
    <xf numFmtId="9" fontId="4" fillId="17" borderId="1" xfId="2" applyFont="1" applyFill="1" applyBorder="1" applyAlignment="1">
      <alignment vertical="center"/>
    </xf>
    <xf numFmtId="26" fontId="16" fillId="0" borderId="2" xfId="0" applyNumberFormat="1" applyFont="1" applyFill="1" applyBorder="1"/>
    <xf numFmtId="26" fontId="16" fillId="0" borderId="0" xfId="0" applyNumberFormat="1" applyFont="1" applyFill="1"/>
    <xf numFmtId="178" fontId="8" fillId="2" borderId="0" xfId="0" applyNumberFormat="1" applyFont="1" applyFill="1" applyBorder="1" applyAlignment="1">
      <alignment vertical="center"/>
    </xf>
    <xf numFmtId="176" fontId="8" fillId="0" borderId="0" xfId="4" applyNumberFormat="1" applyFont="1" applyFill="1" applyBorder="1" applyAlignment="1">
      <alignment vertical="center"/>
    </xf>
    <xf numFmtId="41" fontId="27" fillId="15" borderId="1" xfId="3" applyFont="1" applyFill="1" applyBorder="1" applyAlignment="1">
      <alignment horizontal="center" vertical="center"/>
    </xf>
    <xf numFmtId="26" fontId="4" fillId="18" borderId="2" xfId="0" applyNumberFormat="1" applyFont="1" applyFill="1" applyBorder="1"/>
    <xf numFmtId="26" fontId="4" fillId="18" borderId="25" xfId="0" applyNumberFormat="1" applyFont="1" applyFill="1" applyBorder="1" applyAlignment="1">
      <alignment vertical="center"/>
    </xf>
    <xf numFmtId="0" fontId="0" fillId="0" borderId="25" xfId="0" applyFill="1" applyBorder="1"/>
    <xf numFmtId="0" fontId="0" fillId="0" borderId="23" xfId="0" applyFill="1" applyBorder="1"/>
    <xf numFmtId="41" fontId="4" fillId="0" borderId="0" xfId="3" applyNumberFormat="1" applyFont="1" applyFill="1" applyBorder="1" applyAlignment="1">
      <alignment vertical="center"/>
    </xf>
    <xf numFmtId="189" fontId="4" fillId="0" borderId="0" xfId="3" applyNumberFormat="1" applyFont="1" applyFill="1" applyBorder="1" applyAlignment="1">
      <alignment vertical="center"/>
    </xf>
    <xf numFmtId="178" fontId="4" fillId="0" borderId="26" xfId="4" applyNumberFormat="1" applyFont="1" applyFill="1" applyBorder="1" applyAlignment="1">
      <alignment vertical="center"/>
    </xf>
    <xf numFmtId="190" fontId="4" fillId="0" borderId="0" xfId="0" applyNumberFormat="1" applyFont="1" applyAlignment="1">
      <alignment horizontal="center"/>
    </xf>
    <xf numFmtId="190" fontId="33" fillId="0" borderId="0" xfId="0" applyNumberFormat="1" applyFont="1" applyBorder="1" applyAlignment="1">
      <alignment horizontal="center"/>
    </xf>
    <xf numFmtId="190" fontId="33" fillId="0" borderId="1" xfId="0" applyNumberFormat="1" applyFont="1" applyBorder="1" applyAlignment="1">
      <alignment horizontal="center"/>
    </xf>
    <xf numFmtId="190" fontId="33" fillId="0" borderId="0" xfId="0" applyNumberFormat="1" applyFont="1" applyAlignment="1">
      <alignment horizontal="center"/>
    </xf>
    <xf numFmtId="190" fontId="33" fillId="0" borderId="2" xfId="0" applyNumberFormat="1" applyFont="1" applyBorder="1" applyAlignment="1">
      <alignment horizontal="center"/>
    </xf>
    <xf numFmtId="190" fontId="33" fillId="0" borderId="2" xfId="0" applyNumberFormat="1" applyFont="1" applyFill="1" applyBorder="1" applyAlignment="1">
      <alignment horizontal="center"/>
    </xf>
    <xf numFmtId="190" fontId="33" fillId="0" borderId="0" xfId="0" applyNumberFormat="1" applyFont="1" applyFill="1" applyBorder="1" applyAlignment="1">
      <alignment horizontal="center"/>
    </xf>
    <xf numFmtId="190" fontId="33" fillId="0" borderId="1" xfId="0" applyNumberFormat="1" applyFont="1" applyFill="1" applyBorder="1" applyAlignment="1">
      <alignment horizontal="center"/>
    </xf>
    <xf numFmtId="190" fontId="4" fillId="0" borderId="0" xfId="0" applyNumberFormat="1" applyFont="1" applyBorder="1" applyAlignment="1">
      <alignment horizontal="center"/>
    </xf>
    <xf numFmtId="190" fontId="4" fillId="0" borderId="1" xfId="0" applyNumberFormat="1" applyFont="1" applyBorder="1" applyAlignment="1">
      <alignment horizontal="center"/>
    </xf>
    <xf numFmtId="190" fontId="4" fillId="0" borderId="2" xfId="0" applyNumberFormat="1" applyFont="1" applyBorder="1" applyAlignment="1">
      <alignment horizontal="center"/>
    </xf>
    <xf numFmtId="190" fontId="4" fillId="0" borderId="2" xfId="0" applyNumberFormat="1" applyFont="1" applyFill="1" applyBorder="1" applyAlignment="1">
      <alignment horizontal="center"/>
    </xf>
    <xf numFmtId="190" fontId="4" fillId="0" borderId="0" xfId="0" applyNumberFormat="1" applyFont="1" applyFill="1" applyBorder="1" applyAlignment="1">
      <alignment horizontal="center"/>
    </xf>
    <xf numFmtId="190" fontId="4" fillId="0" borderId="1" xfId="0" applyNumberFormat="1" applyFont="1" applyFill="1" applyBorder="1" applyAlignment="1">
      <alignment horizontal="center"/>
    </xf>
    <xf numFmtId="190" fontId="34" fillId="0" borderId="0" xfId="0" applyNumberFormat="1" applyFont="1" applyAlignment="1">
      <alignment horizontal="center"/>
    </xf>
    <xf numFmtId="190" fontId="0" fillId="0" borderId="0" xfId="0" applyNumberFormat="1" applyAlignment="1">
      <alignment horizontal="center"/>
    </xf>
    <xf numFmtId="41" fontId="0" fillId="0" borderId="0" xfId="3" applyFont="1"/>
    <xf numFmtId="41" fontId="16" fillId="19" borderId="1" xfId="3" applyFont="1" applyFill="1" applyBorder="1" applyAlignment="1">
      <alignment horizontal="center" vertical="center"/>
    </xf>
    <xf numFmtId="186" fontId="16" fillId="19" borderId="1" xfId="2" applyNumberFormat="1" applyFont="1" applyFill="1" applyBorder="1" applyAlignment="1">
      <alignment horizontal="right" vertical="center"/>
    </xf>
    <xf numFmtId="26" fontId="7" fillId="19" borderId="1" xfId="0" applyNumberFormat="1" applyFont="1" applyFill="1" applyBorder="1" applyAlignment="1">
      <alignment horizontal="right" vertical="center"/>
    </xf>
    <xf numFmtId="26" fontId="16" fillId="19" borderId="1" xfId="0" applyNumberFormat="1" applyFont="1" applyFill="1" applyBorder="1" applyAlignment="1">
      <alignment horizontal="right" vertical="center"/>
    </xf>
    <xf numFmtId="38" fontId="16" fillId="19" borderId="1" xfId="0" applyNumberFormat="1" applyFont="1" applyFill="1" applyBorder="1" applyAlignment="1">
      <alignment vertical="center"/>
    </xf>
    <xf numFmtId="26" fontId="16" fillId="19" borderId="1" xfId="0" applyNumberFormat="1" applyFont="1" applyFill="1" applyBorder="1" applyAlignment="1">
      <alignment vertical="center"/>
    </xf>
    <xf numFmtId="26" fontId="16" fillId="19" borderId="23" xfId="0" applyNumberFormat="1" applyFont="1" applyFill="1" applyBorder="1" applyAlignment="1">
      <alignment vertical="center"/>
    </xf>
    <xf numFmtId="41" fontId="16" fillId="17" borderId="1" xfId="3" applyNumberFormat="1" applyFont="1" applyFill="1" applyBorder="1" applyAlignment="1">
      <alignment vertical="center"/>
    </xf>
    <xf numFmtId="189" fontId="16" fillId="17" borderId="1" xfId="3" applyNumberFormat="1" applyFont="1" applyFill="1" applyBorder="1" applyAlignment="1">
      <alignment vertical="center"/>
    </xf>
    <xf numFmtId="190" fontId="16" fillId="0" borderId="0" xfId="0" applyNumberFormat="1" applyFont="1" applyFill="1" applyBorder="1"/>
    <xf numFmtId="190" fontId="4" fillId="0" borderId="0" xfId="0" applyNumberFormat="1" applyFont="1" applyBorder="1"/>
    <xf numFmtId="190" fontId="16" fillId="0" borderId="0" xfId="0" applyNumberFormat="1" applyFont="1" applyFill="1"/>
    <xf numFmtId="191" fontId="4" fillId="17" borderId="1" xfId="3" applyNumberFormat="1" applyFont="1" applyFill="1" applyBorder="1" applyAlignment="1">
      <alignment horizontal="center" vertical="center"/>
    </xf>
    <xf numFmtId="191" fontId="4" fillId="0" borderId="0" xfId="3" applyNumberFormat="1" applyFont="1" applyFill="1" applyBorder="1" applyAlignment="1">
      <alignment vertical="center"/>
    </xf>
    <xf numFmtId="191" fontId="4" fillId="0" borderId="1" xfId="3" applyNumberFormat="1" applyFont="1" applyFill="1" applyBorder="1" applyAlignment="1">
      <alignment vertical="center"/>
    </xf>
    <xf numFmtId="191" fontId="8" fillId="0" borderId="0" xfId="3" applyNumberFormat="1" applyFont="1" applyFill="1" applyBorder="1" applyAlignment="1">
      <alignment vertical="center"/>
    </xf>
    <xf numFmtId="191" fontId="4" fillId="0" borderId="2" xfId="3" applyNumberFormat="1" applyFont="1" applyFill="1" applyBorder="1" applyAlignment="1">
      <alignment vertical="center"/>
    </xf>
    <xf numFmtId="191" fontId="4" fillId="17" borderId="1" xfId="3" applyNumberFormat="1" applyFont="1" applyFill="1" applyBorder="1" applyAlignment="1">
      <alignment vertical="center"/>
    </xf>
    <xf numFmtId="191" fontId="16" fillId="17" borderId="1" xfId="3" applyNumberFormat="1" applyFont="1" applyFill="1" applyBorder="1" applyAlignment="1">
      <alignment vertical="center"/>
    </xf>
    <xf numFmtId="191" fontId="16" fillId="17" borderId="27" xfId="3" applyNumberFormat="1" applyFont="1" applyFill="1" applyBorder="1" applyAlignment="1">
      <alignment vertical="center"/>
    </xf>
    <xf numFmtId="176" fontId="8" fillId="20" borderId="0" xfId="0" applyNumberFormat="1" applyFont="1" applyFill="1" applyBorder="1" applyAlignment="1">
      <alignment vertical="center"/>
    </xf>
    <xf numFmtId="26" fontId="16" fillId="19" borderId="24" xfId="0" applyNumberFormat="1" applyFont="1" applyFill="1" applyBorder="1" applyAlignment="1">
      <alignment vertical="center"/>
    </xf>
    <xf numFmtId="181" fontId="6" fillId="0" borderId="11" xfId="0" applyNumberFormat="1" applyFont="1" applyBorder="1" applyAlignment="1">
      <alignment horizontal="center"/>
    </xf>
    <xf numFmtId="190" fontId="16" fillId="7" borderId="1" xfId="0" applyNumberFormat="1" applyFont="1" applyFill="1" applyBorder="1"/>
    <xf numFmtId="190" fontId="16" fillId="8" borderId="1" xfId="0" applyNumberFormat="1" applyFont="1" applyFill="1" applyBorder="1"/>
    <xf numFmtId="191" fontId="4" fillId="0" borderId="28" xfId="3" applyNumberFormat="1" applyFont="1" applyFill="1" applyBorder="1" applyAlignment="1">
      <alignment vertical="center"/>
    </xf>
    <xf numFmtId="9" fontId="4" fillId="0" borderId="0" xfId="3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4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vertical="center"/>
    </xf>
    <xf numFmtId="26" fontId="6" fillId="0" borderId="0" xfId="0" applyNumberFormat="1" applyFont="1" applyFill="1" applyBorder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3" xfId="3" applyFont="1" applyFill="1" applyBorder="1" applyAlignment="1">
      <alignment vertical="center"/>
    </xf>
    <xf numFmtId="181" fontId="6" fillId="0" borderId="28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7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8" xfId="3" applyFont="1" applyFill="1" applyBorder="1" applyAlignment="1">
      <alignment vertical="center"/>
    </xf>
    <xf numFmtId="191" fontId="4" fillId="0" borderId="0" xfId="0" applyNumberFormat="1" applyFont="1" applyFill="1" applyBorder="1" applyAlignment="1">
      <alignment vertical="center"/>
    </xf>
    <xf numFmtId="26" fontId="6" fillId="0" borderId="23" xfId="0" applyNumberFormat="1" applyFont="1" applyFill="1" applyBorder="1" applyAlignment="1">
      <alignment vertical="center"/>
    </xf>
    <xf numFmtId="181" fontId="21" fillId="0" borderId="28" xfId="3" applyNumberFormat="1" applyFont="1" applyFill="1" applyBorder="1" applyAlignment="1">
      <alignment vertical="center"/>
    </xf>
    <xf numFmtId="9" fontId="6" fillId="0" borderId="29" xfId="2" applyFont="1" applyFill="1" applyBorder="1" applyAlignment="1">
      <alignment vertical="center"/>
    </xf>
    <xf numFmtId="9" fontId="6" fillId="0" borderId="28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8" xfId="3" applyNumberFormat="1" applyFont="1" applyFill="1" applyBorder="1" applyAlignment="1">
      <alignment vertical="center"/>
    </xf>
    <xf numFmtId="181" fontId="4" fillId="0" borderId="29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9" xfId="2" applyFont="1" applyFill="1" applyBorder="1" applyAlignment="1">
      <alignment vertical="center"/>
    </xf>
    <xf numFmtId="41" fontId="6" fillId="0" borderId="29" xfId="3" applyFont="1" applyFill="1" applyBorder="1" applyAlignment="1">
      <alignment vertical="center"/>
    </xf>
    <xf numFmtId="41" fontId="4" fillId="0" borderId="28" xfId="3" applyFont="1" applyFill="1" applyBorder="1" applyAlignment="1">
      <alignment vertical="center"/>
    </xf>
    <xf numFmtId="177" fontId="4" fillId="15" borderId="1" xfId="0" applyNumberFormat="1" applyFont="1" applyFill="1" applyBorder="1" applyAlignment="1">
      <alignment vertical="center"/>
    </xf>
    <xf numFmtId="177" fontId="16" fillId="15" borderId="1" xfId="0" applyNumberFormat="1" applyFont="1" applyFill="1" applyBorder="1" applyAlignment="1">
      <alignment vertical="center"/>
    </xf>
    <xf numFmtId="177" fontId="16" fillId="19" borderId="1" xfId="0" applyNumberFormat="1" applyFont="1" applyFill="1" applyBorder="1" applyAlignment="1">
      <alignment vertical="center"/>
    </xf>
    <xf numFmtId="193" fontId="31" fillId="0" borderId="0" xfId="0" applyNumberFormat="1" applyFont="1"/>
    <xf numFmtId="187" fontId="31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1" fontId="4" fillId="0" borderId="29" xfId="3" applyNumberFormat="1" applyFont="1" applyFill="1" applyBorder="1" applyAlignment="1">
      <alignment vertical="center"/>
    </xf>
    <xf numFmtId="192" fontId="31" fillId="0" borderId="0" xfId="0" applyNumberFormat="1" applyFont="1"/>
    <xf numFmtId="0" fontId="31" fillId="0" borderId="0" xfId="0" applyFont="1" applyAlignment="1">
      <alignment horizontal="center"/>
    </xf>
    <xf numFmtId="14" fontId="31" fillId="0" borderId="0" xfId="0" applyNumberFormat="1" applyFont="1" applyAlignment="1">
      <alignment horizontal="center"/>
    </xf>
    <xf numFmtId="192" fontId="31" fillId="0" borderId="0" xfId="0" applyNumberFormat="1" applyFont="1" applyAlignment="1">
      <alignment horizontal="right"/>
    </xf>
    <xf numFmtId="0" fontId="36" fillId="0" borderId="0" xfId="0" applyFont="1" applyAlignment="1">
      <alignment horizontal="center"/>
    </xf>
    <xf numFmtId="187" fontId="36" fillId="0" borderId="0" xfId="0" applyNumberFormat="1" applyFont="1" applyAlignment="1">
      <alignment horizontal="center"/>
    </xf>
    <xf numFmtId="192" fontId="36" fillId="0" borderId="0" xfId="0" applyNumberFormat="1" applyFont="1" applyAlignment="1">
      <alignment horizontal="center"/>
    </xf>
    <xf numFmtId="190" fontId="29" fillId="0" borderId="0" xfId="0" applyNumberFormat="1" applyFont="1" applyAlignment="1">
      <alignment horizontal="center"/>
    </xf>
    <xf numFmtId="41" fontId="19" fillId="0" borderId="0" xfId="5" applyNumberFormat="1" applyFont="1" applyFill="1">
      <alignment vertical="center"/>
    </xf>
    <xf numFmtId="0" fontId="4" fillId="0" borderId="0" xfId="0" applyNumberFormat="1" applyFont="1" applyBorder="1"/>
    <xf numFmtId="190" fontId="0" fillId="0" borderId="0" xfId="0" applyNumberFormat="1"/>
    <xf numFmtId="195" fontId="4" fillId="0" borderId="0" xfId="0" applyNumberFormat="1" applyFont="1" applyFill="1" applyBorder="1" applyAlignment="1">
      <alignment horizontal="right" vertical="center"/>
    </xf>
    <xf numFmtId="41" fontId="4" fillId="0" borderId="0" xfId="3" applyNumberFormat="1" applyFont="1" applyBorder="1"/>
    <xf numFmtId="190" fontId="16" fillId="8" borderId="23" xfId="0" applyNumberFormat="1" applyFont="1" applyFill="1" applyBorder="1" applyAlignment="1">
      <alignment vertical="center"/>
    </xf>
    <xf numFmtId="178" fontId="4" fillId="2" borderId="26" xfId="4" applyNumberFormat="1" applyFont="1" applyFill="1" applyBorder="1" applyAlignment="1">
      <alignment horizontal="center" vertical="center"/>
    </xf>
    <xf numFmtId="178" fontId="4" fillId="20" borderId="26" xfId="4" applyNumberFormat="1" applyFont="1" applyFill="1" applyBorder="1" applyAlignment="1">
      <alignment vertical="center"/>
    </xf>
    <xf numFmtId="4" fontId="4" fillId="0" borderId="6" xfId="0" applyNumberFormat="1" applyFont="1" applyBorder="1" applyAlignment="1">
      <alignment vertical="center"/>
    </xf>
    <xf numFmtId="26" fontId="4" fillId="20" borderId="6" xfId="0" applyNumberFormat="1" applyFont="1" applyFill="1" applyBorder="1" applyAlignment="1">
      <alignment vertical="center"/>
    </xf>
    <xf numFmtId="178" fontId="37" fillId="2" borderId="6" xfId="4" applyNumberFormat="1" applyFont="1" applyFill="1" applyBorder="1" applyAlignment="1">
      <alignment vertical="center"/>
    </xf>
    <xf numFmtId="178" fontId="4" fillId="20" borderId="6" xfId="4" applyNumberFormat="1" applyFont="1" applyFill="1" applyBorder="1" applyAlignment="1">
      <alignment vertical="center"/>
    </xf>
    <xf numFmtId="178" fontId="4" fillId="20" borderId="6" xfId="4" applyNumberFormat="1" applyFont="1" applyFill="1" applyBorder="1" applyAlignment="1">
      <alignment horizontal="right" vertical="center"/>
    </xf>
    <xf numFmtId="178" fontId="4" fillId="20" borderId="6" xfId="3" applyNumberFormat="1" applyFont="1" applyFill="1" applyBorder="1" applyAlignment="1">
      <alignment vertical="center"/>
    </xf>
    <xf numFmtId="0" fontId="0" fillId="0" borderId="0" xfId="0" applyFill="1" applyBorder="1"/>
    <xf numFmtId="26" fontId="16" fillId="7" borderId="32" xfId="1" applyNumberFormat="1" applyFont="1" applyFill="1" applyBorder="1" applyAlignment="1">
      <alignment vertical="center"/>
    </xf>
    <xf numFmtId="0" fontId="0" fillId="0" borderId="0" xfId="0" applyBorder="1"/>
    <xf numFmtId="0" fontId="0" fillId="0" borderId="23" xfId="0" applyBorder="1"/>
    <xf numFmtId="14" fontId="31" fillId="0" borderId="0" xfId="0" applyNumberFormat="1" applyFont="1" applyFill="1" applyBorder="1" applyAlignment="1">
      <alignment horizontal="center" vertical="center"/>
    </xf>
    <xf numFmtId="41" fontId="31" fillId="20" borderId="0" xfId="3" applyFont="1" applyFill="1" applyBorder="1" applyAlignment="1">
      <alignment horizontal="center" vertical="center"/>
    </xf>
    <xf numFmtId="191" fontId="31" fillId="20" borderId="0" xfId="3" applyNumberFormat="1" applyFont="1" applyFill="1" applyBorder="1" applyAlignment="1">
      <alignment vertical="center"/>
    </xf>
    <xf numFmtId="26" fontId="31" fillId="20" borderId="0" xfId="0" applyNumberFormat="1" applyFont="1" applyFill="1" applyBorder="1" applyAlignment="1">
      <alignment horizontal="right" vertical="center"/>
    </xf>
    <xf numFmtId="192" fontId="31" fillId="20" borderId="0" xfId="0" applyNumberFormat="1" applyFont="1" applyFill="1" applyBorder="1" applyAlignment="1">
      <alignment horizontal="right"/>
    </xf>
    <xf numFmtId="0" fontId="28" fillId="0" borderId="0" xfId="0" applyFont="1"/>
    <xf numFmtId="26" fontId="16" fillId="0" borderId="32" xfId="1" applyNumberFormat="1" applyFont="1" applyFill="1" applyBorder="1" applyAlignment="1">
      <alignment vertical="center"/>
    </xf>
    <xf numFmtId="190" fontId="16" fillId="0" borderId="23" xfId="0" applyNumberFormat="1" applyFont="1" applyFill="1" applyBorder="1" applyAlignment="1">
      <alignment vertical="center"/>
    </xf>
    <xf numFmtId="0" fontId="0" fillId="0" borderId="25" xfId="0" applyBorder="1"/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90" fontId="33" fillId="0" borderId="0" xfId="0" applyNumberFormat="1" applyFont="1" applyAlignment="1">
      <alignment horizontal="center" vertical="center"/>
    </xf>
    <xf numFmtId="190" fontId="4" fillId="0" borderId="0" xfId="0" applyNumberFormat="1" applyFont="1" applyAlignment="1">
      <alignment horizontal="center" vertical="center"/>
    </xf>
    <xf numFmtId="190" fontId="4" fillId="0" borderId="0" xfId="0" applyNumberFormat="1" applyFont="1" applyBorder="1" applyAlignment="1">
      <alignment vertical="center"/>
    </xf>
    <xf numFmtId="0" fontId="28" fillId="0" borderId="0" xfId="0" applyFont="1" applyAlignment="1">
      <alignment vertical="center"/>
    </xf>
    <xf numFmtId="190" fontId="33" fillId="0" borderId="1" xfId="0" applyNumberFormat="1" applyFont="1" applyBorder="1" applyAlignment="1">
      <alignment horizontal="center" vertical="center"/>
    </xf>
    <xf numFmtId="190" fontId="4" fillId="0" borderId="1" xfId="0" applyNumberFormat="1" applyFont="1" applyBorder="1" applyAlignment="1">
      <alignment horizontal="center" vertical="center"/>
    </xf>
    <xf numFmtId="190" fontId="4" fillId="0" borderId="1" xfId="0" applyNumberFormat="1" applyFont="1" applyBorder="1" applyAlignment="1">
      <alignment vertical="center"/>
    </xf>
    <xf numFmtId="190" fontId="16" fillId="7" borderId="1" xfId="0" applyNumberFormat="1" applyFont="1" applyFill="1" applyBorder="1" applyAlignment="1">
      <alignment vertical="center"/>
    </xf>
    <xf numFmtId="190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90" fontId="16" fillId="0" borderId="0" xfId="0" applyNumberFormat="1" applyFont="1" applyFill="1" applyBorder="1" applyAlignment="1">
      <alignment vertical="center"/>
    </xf>
    <xf numFmtId="190" fontId="4" fillId="0" borderId="0" xfId="0" applyNumberFormat="1" applyFont="1"/>
    <xf numFmtId="196" fontId="29" fillId="0" borderId="0" xfId="3" applyNumberFormat="1" applyFont="1" applyFill="1" applyBorder="1" applyAlignment="1">
      <alignment vertical="center"/>
    </xf>
    <xf numFmtId="196" fontId="29" fillId="0" borderId="0" xfId="0" applyNumberFormat="1" applyFont="1" applyBorder="1"/>
    <xf numFmtId="196" fontId="29" fillId="0" borderId="0" xfId="0" applyNumberFormat="1" applyFont="1" applyFill="1" applyBorder="1"/>
    <xf numFmtId="190" fontId="29" fillId="0" borderId="1" xfId="0" applyNumberFormat="1" applyFont="1" applyBorder="1" applyAlignment="1">
      <alignment horizontal="center"/>
    </xf>
    <xf numFmtId="190" fontId="4" fillId="0" borderId="1" xfId="0" applyNumberFormat="1" applyFont="1" applyBorder="1"/>
    <xf numFmtId="41" fontId="4" fillId="0" borderId="0" xfId="3" applyNumberFormat="1" applyFont="1" applyFill="1" applyBorder="1" applyAlignment="1">
      <alignment horizontal="right" vertical="center"/>
    </xf>
    <xf numFmtId="41" fontId="4" fillId="0" borderId="0" xfId="3" applyNumberFormat="1" applyFont="1" applyFill="1" applyBorder="1" applyAlignment="1">
      <alignment horizontal="center" vertical="center"/>
    </xf>
    <xf numFmtId="41" fontId="4" fillId="17" borderId="1" xfId="3" applyNumberFormat="1" applyFont="1" applyFill="1" applyBorder="1" applyAlignment="1">
      <alignment vertical="center"/>
    </xf>
    <xf numFmtId="189" fontId="4" fillId="17" borderId="1" xfId="3" applyNumberFormat="1" applyFont="1" applyFill="1" applyBorder="1" applyAlignment="1">
      <alignment vertical="center"/>
    </xf>
    <xf numFmtId="0" fontId="0" fillId="0" borderId="0" xfId="0" applyFill="1"/>
    <xf numFmtId="41" fontId="4" fillId="20" borderId="30" xfId="3" applyFont="1" applyFill="1" applyBorder="1" applyAlignment="1">
      <alignment horizontal="right" vertical="center"/>
    </xf>
    <xf numFmtId="41" fontId="4" fillId="20" borderId="30" xfId="3" applyFont="1" applyFill="1" applyBorder="1" applyAlignment="1">
      <alignment horizontal="center" vertical="center"/>
    </xf>
    <xf numFmtId="41" fontId="21" fillId="20" borderId="30" xfId="3" applyFont="1" applyFill="1" applyBorder="1" applyAlignment="1">
      <alignment horizontal="right" vertical="center"/>
    </xf>
    <xf numFmtId="26" fontId="16" fillId="7" borderId="1" xfId="0" applyNumberFormat="1" applyFont="1" applyFill="1" applyBorder="1" applyAlignment="1">
      <alignment vertical="center"/>
    </xf>
    <xf numFmtId="26" fontId="16" fillId="8" borderId="1" xfId="0" applyNumberFormat="1" applyFont="1" applyFill="1" applyBorder="1" applyAlignment="1">
      <alignment vertical="center"/>
    </xf>
    <xf numFmtId="26" fontId="16" fillId="0" borderId="2" xfId="0" applyNumberFormat="1" applyFont="1" applyFill="1" applyBorder="1" applyAlignment="1">
      <alignment vertical="center"/>
    </xf>
    <xf numFmtId="0" fontId="30" fillId="0" borderId="0" xfId="0" applyFont="1" applyFill="1" applyBorder="1" applyAlignment="1">
      <alignment vertical="center"/>
    </xf>
    <xf numFmtId="26" fontId="16" fillId="20" borderId="32" xfId="1" applyNumberFormat="1" applyFont="1" applyFill="1" applyBorder="1" applyAlignment="1">
      <alignment vertical="center"/>
    </xf>
    <xf numFmtId="26" fontId="16" fillId="20" borderId="0" xfId="0" applyNumberFormat="1" applyFont="1" applyFill="1" applyBorder="1" applyAlignment="1">
      <alignment vertical="center"/>
    </xf>
    <xf numFmtId="190" fontId="29" fillId="0" borderId="0" xfId="0" applyNumberFormat="1" applyFont="1" applyBorder="1" applyAlignment="1">
      <alignment horizontal="center"/>
    </xf>
    <xf numFmtId="190" fontId="16" fillId="18" borderId="1" xfId="0" applyNumberFormat="1" applyFont="1" applyFill="1" applyBorder="1"/>
    <xf numFmtId="0" fontId="30" fillId="0" borderId="28" xfId="0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19" fillId="0" borderId="0" xfId="3" applyFont="1" applyFill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0" fontId="0" fillId="0" borderId="0" xfId="0"/>
    <xf numFmtId="0" fontId="0" fillId="0" borderId="0" xfId="0" applyBorder="1"/>
    <xf numFmtId="0" fontId="39" fillId="0" borderId="0" xfId="0" applyFont="1"/>
    <xf numFmtId="0" fontId="0" fillId="0" borderId="21" xfId="0" applyBorder="1"/>
    <xf numFmtId="0" fontId="40" fillId="0" borderId="21" xfId="0" applyFont="1" applyBorder="1"/>
    <xf numFmtId="197" fontId="39" fillId="0" borderId="22" xfId="0" applyNumberFormat="1" applyFont="1" applyBorder="1"/>
    <xf numFmtId="0" fontId="0" fillId="19" borderId="18" xfId="0" applyFill="1" applyBorder="1"/>
    <xf numFmtId="0" fontId="0" fillId="19" borderId="19" xfId="0" applyFill="1" applyBorder="1"/>
    <xf numFmtId="0" fontId="0" fillId="0" borderId="0" xfId="0" applyBorder="1" applyAlignment="1">
      <alignment horizontal="center" vertical="center"/>
    </xf>
    <xf numFmtId="0" fontId="40" fillId="0" borderId="0" xfId="0" applyFont="1" applyBorder="1"/>
    <xf numFmtId="197" fontId="39" fillId="0" borderId="0" xfId="0" applyNumberFormat="1" applyFont="1" applyBorder="1"/>
    <xf numFmtId="179" fontId="19" fillId="13" borderId="0" xfId="3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26" fontId="33" fillId="20" borderId="26" xfId="0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0" fontId="0" fillId="0" borderId="1" xfId="0" applyBorder="1"/>
    <xf numFmtId="178" fontId="8" fillId="20" borderId="0" xfId="0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1" fontId="6" fillId="0" borderId="1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8" fontId="4" fillId="0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4" fillId="0" borderId="7" xfId="3" applyNumberFormat="1" applyFont="1" applyFill="1" applyBorder="1" applyAlignment="1">
      <alignment vertical="center"/>
    </xf>
    <xf numFmtId="176" fontId="4" fillId="0" borderId="7" xfId="3" applyNumberFormat="1" applyFont="1" applyFill="1" applyBorder="1" applyAlignment="1">
      <alignment vertical="center"/>
    </xf>
    <xf numFmtId="178" fontId="23" fillId="0" borderId="7" xfId="3" applyNumberFormat="1" applyFont="1" applyFill="1" applyBorder="1" applyAlignment="1">
      <alignment vertical="center"/>
    </xf>
    <xf numFmtId="178" fontId="4" fillId="0" borderId="10" xfId="3" applyNumberFormat="1" applyFont="1" applyFill="1" applyBorder="1" applyAlignment="1">
      <alignment vertical="center"/>
    </xf>
    <xf numFmtId="0" fontId="41" fillId="0" borderId="0" xfId="0" applyFont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/>
    </xf>
    <xf numFmtId="181" fontId="4" fillId="0" borderId="36" xfId="0" applyNumberFormat="1" applyFont="1" applyBorder="1" applyAlignment="1">
      <alignment horizontal="center"/>
    </xf>
    <xf numFmtId="181" fontId="4" fillId="0" borderId="16" xfId="0" applyNumberFormat="1" applyFont="1" applyBorder="1" applyAlignment="1">
      <alignment horizontal="center"/>
    </xf>
    <xf numFmtId="181" fontId="4" fillId="0" borderId="35" xfId="0" applyNumberFormat="1" applyFont="1" applyBorder="1" applyAlignment="1">
      <alignment horizontal="center"/>
    </xf>
    <xf numFmtId="181" fontId="4" fillId="0" borderId="36" xfId="0" applyNumberFormat="1" applyFont="1" applyFill="1" applyBorder="1" applyAlignment="1">
      <alignment horizontal="center"/>
    </xf>
    <xf numFmtId="0" fontId="0" fillId="0" borderId="16" xfId="0" applyBorder="1"/>
    <xf numFmtId="181" fontId="4" fillId="0" borderId="35" xfId="0" applyNumberFormat="1" applyFont="1" applyFill="1" applyBorder="1" applyAlignment="1">
      <alignment horizontal="center"/>
    </xf>
    <xf numFmtId="181" fontId="4" fillId="0" borderId="16" xfId="0" applyNumberFormat="1" applyFont="1" applyFill="1" applyBorder="1" applyAlignment="1">
      <alignment horizontal="center"/>
    </xf>
    <xf numFmtId="181" fontId="6" fillId="0" borderId="16" xfId="0" applyNumberFormat="1" applyFont="1" applyBorder="1" applyAlignment="1">
      <alignment horizontal="center" vertical="center"/>
    </xf>
    <xf numFmtId="181" fontId="6" fillId="0" borderId="35" xfId="0" applyNumberFormat="1" applyFont="1" applyBorder="1" applyAlignment="1">
      <alignment horizontal="center" vertical="center"/>
    </xf>
    <xf numFmtId="181" fontId="4" fillId="0" borderId="36" xfId="3" applyNumberFormat="1" applyFont="1" applyBorder="1" applyAlignment="1">
      <alignment horizontal="center"/>
    </xf>
    <xf numFmtId="181" fontId="4" fillId="0" borderId="16" xfId="3" applyNumberFormat="1" applyFont="1" applyBorder="1" applyAlignment="1">
      <alignment horizontal="center"/>
    </xf>
    <xf numFmtId="181" fontId="4" fillId="0" borderId="36" xfId="3" applyNumberFormat="1" applyFont="1" applyFill="1" applyBorder="1" applyAlignment="1">
      <alignment horizontal="center"/>
    </xf>
    <xf numFmtId="188" fontId="4" fillId="0" borderId="36" xfId="0" applyNumberFormat="1" applyFont="1" applyBorder="1" applyAlignment="1">
      <alignment horizontal="center" vertical="center"/>
    </xf>
    <xf numFmtId="188" fontId="4" fillId="0" borderId="16" xfId="0" applyNumberFormat="1" applyFont="1" applyBorder="1" applyAlignment="1">
      <alignment horizontal="center" vertical="center"/>
    </xf>
    <xf numFmtId="188" fontId="4" fillId="0" borderId="36" xfId="0" applyNumberFormat="1" applyFont="1" applyBorder="1" applyAlignment="1">
      <alignment horizontal="center"/>
    </xf>
    <xf numFmtId="194" fontId="4" fillId="0" borderId="36" xfId="0" applyNumberFormat="1" applyFont="1" applyBorder="1" applyAlignment="1">
      <alignment horizontal="center"/>
    </xf>
    <xf numFmtId="194" fontId="4" fillId="0" borderId="16" xfId="0" applyNumberFormat="1" applyFont="1" applyBorder="1" applyAlignment="1">
      <alignment horizontal="center"/>
    </xf>
    <xf numFmtId="194" fontId="4" fillId="0" borderId="35" xfId="0" applyNumberFormat="1" applyFont="1" applyBorder="1" applyAlignment="1">
      <alignment horizontal="center" vertical="center"/>
    </xf>
    <xf numFmtId="194" fontId="29" fillId="0" borderId="36" xfId="0" applyNumberFormat="1" applyFont="1" applyBorder="1" applyAlignment="1">
      <alignment horizontal="center"/>
    </xf>
    <xf numFmtId="194" fontId="29" fillId="0" borderId="16" xfId="0" applyNumberFormat="1" applyFont="1" applyBorder="1" applyAlignment="1">
      <alignment horizontal="center"/>
    </xf>
    <xf numFmtId="194" fontId="29" fillId="0" borderId="35" xfId="0" applyNumberFormat="1" applyFont="1" applyBorder="1" applyAlignment="1">
      <alignment horizontal="center"/>
    </xf>
    <xf numFmtId="194" fontId="29" fillId="0" borderId="36" xfId="0" applyNumberFormat="1" applyFont="1" applyFill="1" applyBorder="1" applyAlignment="1">
      <alignment horizontal="center"/>
    </xf>
    <xf numFmtId="194" fontId="29" fillId="0" borderId="16" xfId="0" applyNumberFormat="1" applyFont="1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36" xfId="0" applyBorder="1"/>
    <xf numFmtId="41" fontId="4" fillId="0" borderId="0" xfId="3" applyFont="1" applyFill="1" applyBorder="1" applyAlignment="1">
      <alignment horizontal="center" vertical="center"/>
    </xf>
    <xf numFmtId="198" fontId="21" fillId="0" borderId="0" xfId="3" applyNumberFormat="1" applyFont="1" applyFill="1" applyAlignment="1">
      <alignment horizontal="right" vertical="center"/>
    </xf>
    <xf numFmtId="0" fontId="0" fillId="0" borderId="0" xfId="0"/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Fill="1" applyBorder="1" applyAlignment="1">
      <alignment horizontal="right" vertical="center"/>
    </xf>
    <xf numFmtId="26" fontId="7" fillId="0" borderId="0" xfId="0" applyNumberFormat="1" applyFont="1" applyFill="1" applyBorder="1" applyAlignment="1">
      <alignment horizontal="right" vertical="center"/>
    </xf>
    <xf numFmtId="180" fontId="4" fillId="0" borderId="0" xfId="3" applyNumberFormat="1" applyFont="1" applyFill="1" applyBorder="1" applyAlignment="1">
      <alignment vertical="center"/>
    </xf>
    <xf numFmtId="182" fontId="21" fillId="0" borderId="0" xfId="5" applyNumberFormat="1" applyFont="1" applyFill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41" fontId="4" fillId="0" borderId="0" xfId="3" applyFont="1"/>
    <xf numFmtId="26" fontId="4" fillId="0" borderId="0" xfId="0" applyNumberFormat="1" applyFont="1"/>
    <xf numFmtId="181" fontId="4" fillId="0" borderId="0" xfId="0" applyNumberFormat="1" applyFont="1" applyAlignment="1">
      <alignment horizontal="center"/>
    </xf>
    <xf numFmtId="26" fontId="4" fillId="0" borderId="0" xfId="0" applyNumberFormat="1" applyFont="1" applyAlignment="1">
      <alignment horizontal="center"/>
    </xf>
    <xf numFmtId="26" fontId="7" fillId="0" borderId="0" xfId="0" applyNumberFormat="1" applyFont="1" applyAlignment="1">
      <alignment horizontal="center"/>
    </xf>
    <xf numFmtId="181" fontId="4" fillId="0" borderId="16" xfId="3" applyNumberFormat="1" applyFont="1" applyFill="1" applyBorder="1" applyAlignment="1">
      <alignment horizontal="center" vertical="center"/>
    </xf>
    <xf numFmtId="186" fontId="4" fillId="0" borderId="0" xfId="2" applyNumberFormat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190" fontId="33" fillId="0" borderId="0" xfId="0" applyNumberFormat="1" applyFont="1" applyAlignment="1">
      <alignment horizontal="center"/>
    </xf>
    <xf numFmtId="9" fontId="4" fillId="0" borderId="0" xfId="3" applyNumberFormat="1" applyFont="1" applyFill="1" applyBorder="1" applyAlignment="1">
      <alignment vertical="center"/>
    </xf>
    <xf numFmtId="190" fontId="29" fillId="0" borderId="0" xfId="0" applyNumberFormat="1" applyFont="1" applyAlignment="1">
      <alignment horizontal="center"/>
    </xf>
    <xf numFmtId="14" fontId="31" fillId="0" borderId="0" xfId="0" applyNumberFormat="1" applyFont="1" applyFill="1" applyBorder="1" applyAlignment="1">
      <alignment horizontal="center" vertical="center"/>
    </xf>
    <xf numFmtId="41" fontId="31" fillId="20" borderId="0" xfId="3" applyFont="1" applyFill="1" applyBorder="1" applyAlignment="1">
      <alignment horizontal="center" vertical="center"/>
    </xf>
    <xf numFmtId="191" fontId="31" fillId="20" borderId="0" xfId="3" applyNumberFormat="1" applyFont="1" applyFill="1" applyBorder="1" applyAlignment="1">
      <alignment vertical="center"/>
    </xf>
    <xf numFmtId="26" fontId="31" fillId="20" borderId="0" xfId="0" applyNumberFormat="1" applyFont="1" applyFill="1" applyBorder="1" applyAlignment="1">
      <alignment horizontal="right" vertical="center"/>
    </xf>
    <xf numFmtId="192" fontId="31" fillId="20" borderId="0" xfId="0" applyNumberFormat="1" applyFont="1" applyFill="1" applyBorder="1" applyAlignment="1">
      <alignment horizontal="right"/>
    </xf>
    <xf numFmtId="196" fontId="29" fillId="0" borderId="0" xfId="0" applyNumberFormat="1" applyFont="1" applyFill="1" applyBorder="1"/>
    <xf numFmtId="179" fontId="21" fillId="0" borderId="0" xfId="3" applyNumberFormat="1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3" fontId="40" fillId="0" borderId="0" xfId="0" applyNumberFormat="1" applyFont="1"/>
    <xf numFmtId="14" fontId="31" fillId="0" borderId="26" xfId="0" applyNumberFormat="1" applyFont="1" applyFill="1" applyBorder="1" applyAlignment="1">
      <alignment horizontal="center" vertical="center"/>
    </xf>
    <xf numFmtId="41" fontId="31" fillId="20" borderId="26" xfId="3" applyFont="1" applyFill="1" applyBorder="1" applyAlignment="1">
      <alignment horizontal="center" vertical="center"/>
    </xf>
    <xf numFmtId="26" fontId="31" fillId="20" borderId="26" xfId="0" applyNumberFormat="1" applyFont="1" applyFill="1" applyBorder="1" applyAlignment="1">
      <alignment horizontal="right" vertical="center"/>
    </xf>
    <xf numFmtId="196" fontId="29" fillId="0" borderId="26" xfId="0" applyNumberFormat="1" applyFont="1" applyFill="1" applyBorder="1"/>
    <xf numFmtId="192" fontId="31" fillId="20" borderId="26" xfId="0" applyNumberFormat="1" applyFont="1" applyFill="1" applyBorder="1" applyAlignment="1">
      <alignment horizontal="right"/>
    </xf>
    <xf numFmtId="0" fontId="0" fillId="0" borderId="26" xfId="0" applyBorder="1"/>
    <xf numFmtId="178" fontId="0" fillId="0" borderId="0" xfId="0" applyNumberFormat="1"/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98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0" fontId="41" fillId="0" borderId="28" xfId="0" applyFont="1" applyBorder="1" applyAlignment="1"/>
    <xf numFmtId="0" fontId="41" fillId="0" borderId="0" xfId="0" applyFont="1" applyBorder="1" applyAlignment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94" fontId="4" fillId="0" borderId="36" xfId="0" applyNumberFormat="1" applyFont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1" fontId="6" fillId="0" borderId="16" xfId="0" applyNumberFormat="1" applyFont="1" applyBorder="1" applyAlignment="1">
      <alignment horizontal="center"/>
    </xf>
    <xf numFmtId="41" fontId="4" fillId="0" borderId="36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1" fontId="4" fillId="0" borderId="27" xfId="3" applyNumberFormat="1" applyFont="1" applyFill="1" applyBorder="1" applyAlignment="1">
      <alignment vertical="center"/>
    </xf>
    <xf numFmtId="26" fontId="4" fillId="0" borderId="36" xfId="3" applyNumberFormat="1" applyFont="1" applyFill="1" applyBorder="1" applyAlignment="1">
      <alignment vertical="center"/>
    </xf>
    <xf numFmtId="26" fontId="4" fillId="0" borderId="16" xfId="3" applyNumberFormat="1" applyFont="1" applyFill="1" applyBorder="1" applyAlignment="1">
      <alignment vertical="center"/>
    </xf>
    <xf numFmtId="181" fontId="4" fillId="0" borderId="35" xfId="3" applyNumberFormat="1" applyFont="1" applyFill="1" applyBorder="1" applyAlignment="1">
      <alignment vertical="center"/>
    </xf>
    <xf numFmtId="181" fontId="4" fillId="0" borderId="36" xfId="3" applyNumberFormat="1" applyFont="1" applyFill="1" applyBorder="1" applyAlignment="1">
      <alignment vertical="center"/>
    </xf>
    <xf numFmtId="26" fontId="4" fillId="17" borderId="16" xfId="3" applyNumberFormat="1" applyFont="1" applyFill="1" applyBorder="1" applyAlignment="1">
      <alignment vertical="center"/>
    </xf>
    <xf numFmtId="26" fontId="16" fillId="17" borderId="16" xfId="3" applyNumberFormat="1" applyFont="1" applyFill="1" applyBorder="1" applyAlignment="1">
      <alignment vertical="center"/>
    </xf>
    <xf numFmtId="41" fontId="4" fillId="0" borderId="35" xfId="3" applyFont="1" applyFill="1" applyBorder="1" applyAlignment="1">
      <alignment vertical="center"/>
    </xf>
    <xf numFmtId="41" fontId="4" fillId="0" borderId="36" xfId="3" applyFont="1" applyFill="1" applyBorder="1" applyAlignment="1">
      <alignment vertical="center"/>
    </xf>
    <xf numFmtId="191" fontId="4" fillId="0" borderId="36" xfId="3" applyNumberFormat="1" applyFont="1" applyFill="1" applyBorder="1" applyAlignment="1">
      <alignment vertical="center"/>
    </xf>
    <xf numFmtId="181" fontId="16" fillId="17" borderId="16" xfId="3" applyNumberFormat="1" applyFont="1" applyFill="1" applyBorder="1" applyAlignment="1">
      <alignment vertical="center"/>
    </xf>
    <xf numFmtId="9" fontId="4" fillId="17" borderId="16" xfId="2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3" fontId="4" fillId="0" borderId="7" xfId="0" applyNumberFormat="1" applyFont="1" applyFill="1" applyBorder="1" applyAlignment="1">
      <alignment vertical="center"/>
    </xf>
    <xf numFmtId="178" fontId="4" fillId="0" borderId="7" xfId="0" applyNumberFormat="1" applyFont="1" applyFill="1" applyBorder="1" applyAlignment="1">
      <alignment vertical="center"/>
    </xf>
    <xf numFmtId="178" fontId="4" fillId="0" borderId="6" xfId="0" applyNumberFormat="1" applyFont="1" applyFill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26" fontId="4" fillId="0" borderId="7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6" fontId="35" fillId="0" borderId="0" xfId="0" applyNumberFormat="1" applyFont="1" applyFill="1" applyBorder="1" applyAlignment="1">
      <alignment vertical="center"/>
    </xf>
    <xf numFmtId="177" fontId="4" fillId="0" borderId="33" xfId="0" applyNumberFormat="1" applyFont="1" applyFill="1" applyBorder="1" applyAlignment="1">
      <alignment horizontal="center" vertical="center"/>
    </xf>
    <xf numFmtId="190" fontId="29" fillId="0" borderId="2" xfId="0" applyNumberFormat="1" applyFont="1" applyBorder="1" applyAlignment="1">
      <alignment horizontal="center"/>
    </xf>
    <xf numFmtId="0" fontId="0" fillId="0" borderId="2" xfId="0" applyBorder="1"/>
    <xf numFmtId="194" fontId="29" fillId="0" borderId="35" xfId="0" applyNumberFormat="1" applyFont="1" applyFill="1" applyBorder="1" applyAlignment="1">
      <alignment horizontal="center"/>
    </xf>
    <xf numFmtId="177" fontId="4" fillId="0" borderId="14" xfId="0" applyNumberFormat="1" applyFont="1" applyFill="1" applyBorder="1" applyAlignment="1">
      <alignment horizontal="center" vertical="center"/>
    </xf>
    <xf numFmtId="177" fontId="4" fillId="0" borderId="5" xfId="0" applyNumberFormat="1" applyFont="1" applyFill="1" applyBorder="1" applyAlignment="1">
      <alignment horizontal="center" vertical="center"/>
    </xf>
    <xf numFmtId="190" fontId="16" fillId="8" borderId="4" xfId="0" applyNumberFormat="1" applyFont="1" applyFill="1" applyBorder="1" applyAlignment="1">
      <alignment vertical="center"/>
    </xf>
    <xf numFmtId="182" fontId="21" fillId="0" borderId="33" xfId="5" applyNumberFormat="1" applyFont="1" applyFill="1" applyBorder="1" applyAlignment="1">
      <alignment horizontal="center" vertical="center"/>
    </xf>
    <xf numFmtId="182" fontId="21" fillId="0" borderId="14" xfId="5" applyNumberFormat="1" applyFont="1" applyFill="1" applyBorder="1" applyAlignment="1">
      <alignment horizontal="center" vertical="center"/>
    </xf>
    <xf numFmtId="182" fontId="21" fillId="0" borderId="5" xfId="5" applyNumberFormat="1" applyFont="1" applyFill="1" applyBorder="1" applyAlignment="1">
      <alignment horizontal="center" vertical="center"/>
    </xf>
    <xf numFmtId="0" fontId="4" fillId="0" borderId="0" xfId="0" applyFont="1" applyBorder="1"/>
    <xf numFmtId="194" fontId="29" fillId="0" borderId="3" xfId="0" applyNumberFormat="1" applyFont="1" applyFill="1" applyBorder="1" applyAlignment="1">
      <alignment horizontal="center"/>
    </xf>
    <xf numFmtId="0" fontId="0" fillId="0" borderId="3" xfId="0" applyBorder="1"/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0" fontId="0" fillId="0" borderId="11" xfId="0" applyBorder="1"/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90" fontId="16" fillId="0" borderId="3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26" fontId="16" fillId="0" borderId="37" xfId="1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94" fontId="29" fillId="0" borderId="4" xfId="0" applyNumberFormat="1" applyFont="1" applyFill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96" fontId="44" fillId="0" borderId="0" xfId="0" applyNumberFormat="1" applyFont="1" applyFill="1" applyBorder="1" applyAlignment="1">
      <alignment vertical="center"/>
    </xf>
    <xf numFmtId="180" fontId="45" fillId="0" borderId="0" xfId="3" applyNumberFormat="1" applyFont="1" applyFill="1" applyBorder="1" applyAlignment="1">
      <alignment vertical="center"/>
    </xf>
    <xf numFmtId="180" fontId="45" fillId="0" borderId="0" xfId="3" applyNumberFormat="1" applyFont="1" applyFill="1" applyBorder="1" applyAlignment="1">
      <alignment horizontal="center" vertical="center"/>
    </xf>
    <xf numFmtId="180" fontId="45" fillId="0" borderId="36" xfId="3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90" fontId="16" fillId="18" borderId="0" xfId="0" applyNumberFormat="1" applyFont="1" applyFill="1" applyBorder="1"/>
    <xf numFmtId="0" fontId="0" fillId="0" borderId="0" xfId="0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8" fontId="4" fillId="0" borderId="26" xfId="3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26" fontId="16" fillId="8" borderId="0" xfId="0" applyNumberFormat="1" applyFont="1" applyFill="1" applyBorder="1" applyAlignment="1">
      <alignment vertical="center"/>
    </xf>
    <xf numFmtId="190" fontId="16" fillId="7" borderId="0" xfId="0" applyNumberFormat="1" applyFont="1" applyFill="1" applyBorder="1" applyAlignment="1">
      <alignment vertical="center"/>
    </xf>
    <xf numFmtId="190" fontId="16" fillId="8" borderId="3" xfId="0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8" fontId="4" fillId="2" borderId="0" xfId="4" applyNumberFormat="1" applyFont="1" applyFill="1" applyBorder="1" applyAlignment="1">
      <alignment horizontal="center" vertical="center"/>
    </xf>
    <xf numFmtId="178" fontId="4" fillId="20" borderId="0" xfId="4" applyNumberFormat="1" applyFont="1" applyFill="1" applyBorder="1" applyAlignment="1">
      <alignment vertical="center"/>
    </xf>
    <xf numFmtId="178" fontId="4" fillId="0" borderId="0" xfId="4" applyNumberFormat="1" applyFont="1" applyFill="1" applyBorder="1" applyAlignment="1">
      <alignment vertical="center"/>
    </xf>
    <xf numFmtId="178" fontId="4" fillId="2" borderId="26" xfId="3" applyNumberFormat="1" applyFont="1" applyFill="1" applyBorder="1" applyAlignment="1">
      <alignment horizontal="center" vertical="center"/>
    </xf>
    <xf numFmtId="178" fontId="7" fillId="20" borderId="26" xfId="4" applyNumberFormat="1" applyFont="1" applyFill="1" applyBorder="1" applyAlignment="1">
      <alignment vertical="center"/>
    </xf>
    <xf numFmtId="178" fontId="22" fillId="2" borderId="0" xfId="4" applyNumberFormat="1" applyFont="1" applyFill="1" applyBorder="1" applyAlignment="1">
      <alignment horizontal="center" vertical="center"/>
    </xf>
    <xf numFmtId="178" fontId="16" fillId="2" borderId="0" xfId="4" applyNumberFormat="1" applyFont="1" applyFill="1" applyBorder="1" applyAlignment="1">
      <alignment vertical="center"/>
    </xf>
    <xf numFmtId="178" fontId="4" fillId="20" borderId="10" xfId="4" applyNumberFormat="1" applyFont="1" applyFill="1" applyBorder="1" applyAlignment="1">
      <alignment vertical="center"/>
    </xf>
    <xf numFmtId="178" fontId="4" fillId="0" borderId="10" xfId="4" applyNumberFormat="1" applyFont="1" applyFill="1" applyBorder="1" applyAlignment="1">
      <alignment horizontal="right" vertical="center"/>
    </xf>
    <xf numFmtId="178" fontId="7" fillId="20" borderId="10" xfId="4" applyNumberFormat="1" applyFont="1" applyFill="1" applyBorder="1" applyAlignment="1">
      <alignment horizontal="right" vertical="center"/>
    </xf>
    <xf numFmtId="26" fontId="4" fillId="0" borderId="26" xfId="0" applyNumberFormat="1" applyFont="1" applyFill="1" applyBorder="1" applyAlignment="1">
      <alignment vertical="center"/>
    </xf>
    <xf numFmtId="26" fontId="35" fillId="0" borderId="0" xfId="0" applyNumberFormat="1" applyFont="1" applyFill="1" applyAlignment="1">
      <alignment vertical="center"/>
    </xf>
    <xf numFmtId="176" fontId="4" fillId="0" borderId="0" xfId="0" applyNumberFormat="1" applyFont="1" applyBorder="1" applyAlignment="1">
      <alignment vertical="center"/>
    </xf>
    <xf numFmtId="176" fontId="4" fillId="0" borderId="6" xfId="0" applyNumberFormat="1" applyFont="1" applyBorder="1" applyAlignment="1">
      <alignment vertical="center"/>
    </xf>
    <xf numFmtId="178" fontId="7" fillId="2" borderId="10" xfId="4" applyNumberFormat="1" applyFont="1" applyFill="1" applyBorder="1" applyAlignment="1">
      <alignment vertical="center"/>
    </xf>
    <xf numFmtId="177" fontId="16" fillId="19" borderId="1" xfId="0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0" fontId="41" fillId="0" borderId="29" xfId="0" applyFont="1" applyBorder="1" applyAlignment="1">
      <alignment horizontal="center" vertical="center"/>
    </xf>
    <xf numFmtId="0" fontId="41" fillId="0" borderId="2" xfId="0" applyFont="1" applyBorder="1" applyAlignment="1">
      <alignment horizontal="center" vertical="center"/>
    </xf>
    <xf numFmtId="0" fontId="41" fillId="0" borderId="28" xfId="0" applyFont="1" applyBorder="1" applyAlignment="1">
      <alignment horizontal="center" vertical="center"/>
    </xf>
    <xf numFmtId="0" fontId="41" fillId="0" borderId="0" xfId="0" applyFont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177" fontId="16" fillId="15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91" fontId="6" fillId="0" borderId="0" xfId="3" applyNumberFormat="1" applyFont="1" applyFill="1" applyBorder="1" applyAlignment="1">
      <alignment horizontal="center" vertical="center"/>
    </xf>
    <xf numFmtId="0" fontId="41" fillId="0" borderId="28" xfId="0" applyFont="1" applyBorder="1" applyAlignment="1">
      <alignment horizontal="center"/>
    </xf>
    <xf numFmtId="0" fontId="41" fillId="0" borderId="0" xfId="0" applyFont="1" applyBorder="1" applyAlignment="1">
      <alignment horizontal="center"/>
    </xf>
    <xf numFmtId="41" fontId="6" fillId="0" borderId="0" xfId="3" applyFont="1" applyFill="1" applyBorder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41" fontId="42" fillId="0" borderId="0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0" fontId="4" fillId="21" borderId="23" xfId="0" applyFont="1" applyFill="1" applyBorder="1" applyAlignment="1">
      <alignment horizontal="center" vertical="center"/>
    </xf>
    <xf numFmtId="0" fontId="4" fillId="21" borderId="24" xfId="0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4" fillId="21" borderId="0" xfId="0" applyNumberFormat="1" applyFont="1" applyFill="1" applyBorder="1" applyAlignment="1">
      <alignment horizontal="center" vertical="center"/>
    </xf>
    <xf numFmtId="26" fontId="4" fillId="21" borderId="1" xfId="0" applyNumberFormat="1" applyFont="1" applyFill="1" applyBorder="1" applyAlignment="1">
      <alignment horizontal="center" vertical="center"/>
    </xf>
    <xf numFmtId="38" fontId="4" fillId="21" borderId="0" xfId="0" applyNumberFormat="1" applyFont="1" applyFill="1" applyBorder="1" applyAlignment="1">
      <alignment horizontal="center" vertical="center"/>
    </xf>
    <xf numFmtId="38" fontId="4" fillId="21" borderId="1" xfId="0" applyNumberFormat="1" applyFont="1" applyFill="1" applyBorder="1" applyAlignment="1">
      <alignment horizontal="center" vertical="center"/>
    </xf>
    <xf numFmtId="177" fontId="4" fillId="15" borderId="1" xfId="0" applyNumberFormat="1" applyFont="1" applyFill="1" applyBorder="1" applyAlignment="1">
      <alignment horizontal="center" vertical="center"/>
    </xf>
    <xf numFmtId="26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0" fontId="4" fillId="21" borderId="0" xfId="0" applyFont="1" applyFill="1" applyBorder="1" applyAlignment="1">
      <alignment horizontal="center" vertical="center"/>
    </xf>
    <xf numFmtId="0" fontId="4" fillId="21" borderId="1" xfId="0" applyFont="1" applyFill="1" applyBorder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41" fontId="4" fillId="16" borderId="0" xfId="3" applyFont="1" applyFill="1" applyBorder="1" applyAlignment="1">
      <alignment horizontal="center" vertical="center"/>
    </xf>
    <xf numFmtId="26" fontId="6" fillId="0" borderId="0" xfId="0" applyNumberFormat="1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26" fontId="7" fillId="21" borderId="0" xfId="0" applyNumberFormat="1" applyFont="1" applyFill="1" applyBorder="1" applyAlignment="1">
      <alignment horizontal="center" vertical="center" wrapText="1"/>
    </xf>
    <xf numFmtId="26" fontId="7" fillId="21" borderId="1" xfId="0" applyNumberFormat="1" applyFont="1" applyFill="1" applyBorder="1" applyAlignment="1">
      <alignment horizontal="center" vertical="center"/>
    </xf>
    <xf numFmtId="41" fontId="4" fillId="0" borderId="2" xfId="3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26" fontId="4" fillId="17" borderId="35" xfId="3" applyNumberFormat="1" applyFont="1" applyFill="1" applyBorder="1" applyAlignment="1">
      <alignment horizontal="center" vertical="center"/>
    </xf>
    <xf numFmtId="26" fontId="4" fillId="17" borderId="16" xfId="3" applyNumberFormat="1" applyFont="1" applyFill="1" applyBorder="1" applyAlignment="1">
      <alignment horizontal="center" vertical="center"/>
    </xf>
    <xf numFmtId="181" fontId="4" fillId="17" borderId="28" xfId="3" applyNumberFormat="1" applyFont="1" applyFill="1" applyBorder="1" applyAlignment="1">
      <alignment horizontal="center" vertical="center"/>
    </xf>
    <xf numFmtId="181" fontId="4" fillId="17" borderId="27" xfId="3" applyNumberFormat="1" applyFont="1" applyFill="1" applyBorder="1" applyAlignment="1">
      <alignment horizontal="center" vertical="center"/>
    </xf>
    <xf numFmtId="0" fontId="4" fillId="17" borderId="0" xfId="0" applyFont="1" applyFill="1" applyBorder="1" applyAlignment="1">
      <alignment horizontal="center" vertical="center"/>
    </xf>
    <xf numFmtId="181" fontId="6" fillId="0" borderId="27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center" vertical="center"/>
    </xf>
    <xf numFmtId="196" fontId="44" fillId="0" borderId="0" xfId="0" applyNumberFormat="1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41" fontId="21" fillId="0" borderId="0" xfId="3" applyFont="1" applyFill="1" applyAlignment="1">
      <alignment horizontal="center" vertical="center"/>
    </xf>
    <xf numFmtId="41" fontId="21" fillId="0" borderId="1" xfId="3" applyFont="1" applyFill="1" applyBorder="1" applyAlignment="1">
      <alignment horizontal="center" vertical="center"/>
    </xf>
    <xf numFmtId="41" fontId="19" fillId="0" borderId="0" xfId="3" applyFont="1" applyFill="1" applyBorder="1" applyAlignment="1">
      <alignment horizontal="center" vertical="center"/>
    </xf>
    <xf numFmtId="41" fontId="19" fillId="0" borderId="0" xfId="3" applyFont="1" applyFill="1" applyAlignment="1">
      <alignment horizontal="center" vertical="center"/>
    </xf>
    <xf numFmtId="41" fontId="19" fillId="0" borderId="1" xfId="3" applyFont="1" applyFill="1" applyBorder="1" applyAlignment="1">
      <alignment horizontal="center" vertical="center"/>
    </xf>
    <xf numFmtId="41" fontId="19" fillId="0" borderId="2" xfId="3" applyFont="1" applyFill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41" fontId="21" fillId="0" borderId="0" xfId="3" applyFont="1" applyFill="1" applyBorder="1" applyAlignment="1">
      <alignment horizontal="center" vertical="center"/>
    </xf>
    <xf numFmtId="41" fontId="19" fillId="0" borderId="0" xfId="3" applyFont="1" applyFill="1" applyBorder="1" applyAlignment="1">
      <alignment horizontal="right" vertical="center"/>
    </xf>
    <xf numFmtId="177" fontId="21" fillId="0" borderId="0" xfId="5" applyNumberFormat="1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41" fontId="4" fillId="0" borderId="0" xfId="3" applyFont="1" applyBorder="1" applyAlignment="1">
      <alignment horizontal="center" vertical="center"/>
    </xf>
    <xf numFmtId="181" fontId="4" fillId="0" borderId="11" xfId="0" applyNumberFormat="1" applyFont="1" applyBorder="1" applyAlignment="1">
      <alignment horizontal="center" vertical="center"/>
    </xf>
    <xf numFmtId="181" fontId="4" fillId="0" borderId="3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6" fillId="0" borderId="1" xfId="3" applyFont="1" applyFill="1" applyBorder="1" applyAlignment="1">
      <alignment horizontal="center"/>
    </xf>
    <xf numFmtId="41" fontId="4" fillId="0" borderId="1" xfId="3" applyFont="1" applyFill="1" applyBorder="1" applyAlignment="1">
      <alignment horizontal="center"/>
    </xf>
    <xf numFmtId="41" fontId="4" fillId="0" borderId="4" xfId="3" applyFont="1" applyFill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26" fontId="4" fillId="0" borderId="3" xfId="0" applyNumberFormat="1" applyFont="1" applyFill="1" applyBorder="1" applyAlignment="1">
      <alignment horizontal="center" vertical="center"/>
    </xf>
    <xf numFmtId="26" fontId="4" fillId="0" borderId="4" xfId="0" applyNumberFormat="1" applyFont="1" applyFill="1" applyBorder="1" applyAlignment="1">
      <alignment horizontal="center" vertical="center"/>
    </xf>
    <xf numFmtId="26" fontId="4" fillId="0" borderId="1" xfId="0" applyNumberFormat="1" applyFont="1" applyFill="1" applyBorder="1" applyAlignment="1">
      <alignment horizontal="center" vertical="center"/>
    </xf>
    <xf numFmtId="181" fontId="6" fillId="0" borderId="14" xfId="3" applyNumberFormat="1" applyFont="1" applyFill="1" applyBorder="1" applyAlignment="1">
      <alignment horizontal="center" vertical="center"/>
    </xf>
    <xf numFmtId="26" fontId="7" fillId="0" borderId="0" xfId="0" applyNumberFormat="1" applyFont="1" applyFill="1" applyBorder="1" applyAlignment="1">
      <alignment horizontal="center" vertical="center" wrapText="1"/>
    </xf>
    <xf numFmtId="26" fontId="7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1" fontId="4" fillId="0" borderId="2" xfId="3" applyFont="1" applyBorder="1" applyAlignment="1">
      <alignment horizontal="center"/>
    </xf>
    <xf numFmtId="41" fontId="4" fillId="0" borderId="11" xfId="3" applyFont="1" applyBorder="1" applyAlignment="1">
      <alignment horizontal="center"/>
    </xf>
    <xf numFmtId="41" fontId="4" fillId="0" borderId="0" xfId="3" applyFont="1" applyAlignment="1">
      <alignment horizontal="center"/>
    </xf>
    <xf numFmtId="41" fontId="4" fillId="0" borderId="0" xfId="3" applyFont="1" applyAlignment="1">
      <alignment horizontal="center" vertical="center"/>
    </xf>
    <xf numFmtId="181" fontId="4" fillId="0" borderId="0" xfId="0" applyNumberFormat="1" applyFont="1" applyBorder="1" applyAlignment="1">
      <alignment horizontal="center" vertical="center"/>
    </xf>
    <xf numFmtId="181" fontId="4" fillId="0" borderId="4" xfId="0" applyNumberFormat="1" applyFont="1" applyBorder="1" applyAlignment="1">
      <alignment horizontal="center" vertical="center"/>
    </xf>
    <xf numFmtId="181" fontId="6" fillId="0" borderId="2" xfId="0" applyNumberFormat="1" applyFont="1" applyBorder="1" applyAlignment="1">
      <alignment horizontal="center" vertical="center"/>
    </xf>
    <xf numFmtId="181" fontId="6" fillId="0" borderId="0" xfId="0" applyNumberFormat="1" applyFont="1" applyBorder="1" applyAlignment="1">
      <alignment horizontal="center" vertical="center"/>
    </xf>
    <xf numFmtId="181" fontId="4" fillId="0" borderId="2" xfId="0" applyNumberFormat="1" applyFont="1" applyBorder="1" applyAlignment="1">
      <alignment horizontal="center" vertical="center"/>
    </xf>
    <xf numFmtId="180" fontId="45" fillId="0" borderId="2" xfId="3" applyNumberFormat="1" applyFont="1" applyFill="1" applyBorder="1" applyAlignment="1">
      <alignment horizontal="center" vertical="center"/>
    </xf>
    <xf numFmtId="181" fontId="4" fillId="0" borderId="35" xfId="0" applyNumberFormat="1" applyFont="1" applyBorder="1" applyAlignment="1">
      <alignment horizontal="center" vertical="center"/>
    </xf>
    <xf numFmtId="181" fontId="4" fillId="0" borderId="36" xfId="0" applyNumberFormat="1" applyFont="1" applyBorder="1" applyAlignment="1">
      <alignment horizontal="center" vertical="center"/>
    </xf>
    <xf numFmtId="194" fontId="29" fillId="0" borderId="35" xfId="0" applyNumberFormat="1" applyFont="1" applyFill="1" applyBorder="1" applyAlignment="1">
      <alignment horizontal="center" vertical="center"/>
    </xf>
    <xf numFmtId="194" fontId="29" fillId="0" borderId="36" xfId="0" applyNumberFormat="1" applyFont="1" applyFill="1" applyBorder="1" applyAlignment="1">
      <alignment horizontal="center" vertical="center"/>
    </xf>
    <xf numFmtId="190" fontId="33" fillId="0" borderId="0" xfId="0" applyNumberFormat="1" applyFont="1" applyFill="1" applyBorder="1" applyAlignment="1">
      <alignment horizontal="center" vertical="center" wrapText="1"/>
    </xf>
    <xf numFmtId="190" fontId="33" fillId="0" borderId="1" xfId="0" applyNumberFormat="1" applyFont="1" applyFill="1" applyBorder="1" applyAlignment="1">
      <alignment horizontal="center" vertical="center" wrapText="1"/>
    </xf>
    <xf numFmtId="190" fontId="4" fillId="0" borderId="0" xfId="0" applyNumberFormat="1" applyFont="1" applyFill="1" applyBorder="1" applyAlignment="1">
      <alignment horizontal="center" vertical="center"/>
    </xf>
    <xf numFmtId="190" fontId="4" fillId="0" borderId="1" xfId="0" applyNumberFormat="1" applyFont="1" applyFill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180" fontId="45" fillId="0" borderId="35" xfId="3" applyNumberFormat="1" applyFont="1" applyFill="1" applyBorder="1" applyAlignment="1">
      <alignment horizontal="center" vertical="center" wrapText="1"/>
    </xf>
    <xf numFmtId="180" fontId="45" fillId="0" borderId="36" xfId="3" applyNumberFormat="1" applyFont="1" applyFill="1" applyBorder="1" applyAlignment="1">
      <alignment horizontal="center" vertical="center" wrapText="1"/>
    </xf>
    <xf numFmtId="42" fontId="4" fillId="0" borderId="35" xfId="0" applyNumberFormat="1" applyFont="1" applyBorder="1" applyAlignment="1">
      <alignment horizontal="center" vertical="center"/>
    </xf>
    <xf numFmtId="42" fontId="4" fillId="0" borderId="36" xfId="0" applyNumberFormat="1" applyFont="1" applyBorder="1" applyAlignment="1">
      <alignment horizontal="center" vertical="center"/>
    </xf>
    <xf numFmtId="194" fontId="4" fillId="0" borderId="36" xfId="0" applyNumberFormat="1" applyFont="1" applyBorder="1" applyAlignment="1">
      <alignment horizontal="center" vertical="center"/>
    </xf>
    <xf numFmtId="194" fontId="4" fillId="0" borderId="16" xfId="0" applyNumberFormat="1" applyFont="1" applyBorder="1" applyAlignment="1">
      <alignment horizontal="center" vertical="center"/>
    </xf>
    <xf numFmtId="0" fontId="30" fillId="0" borderId="36" xfId="0" applyFont="1" applyFill="1" applyBorder="1" applyAlignment="1">
      <alignment horizontal="center" vertical="center"/>
    </xf>
    <xf numFmtId="190" fontId="4" fillId="0" borderId="0" xfId="0" applyNumberFormat="1" applyFont="1" applyAlignment="1">
      <alignment horizontal="center"/>
    </xf>
    <xf numFmtId="0" fontId="38" fillId="0" borderId="0" xfId="0" applyFont="1" applyAlignment="1">
      <alignment horizontal="center" vertical="center"/>
    </xf>
  </cellXfs>
  <cellStyles count="6">
    <cellStyle name="메모" xfId="1" builtinId="10"/>
    <cellStyle name="백분율" xfId="2" builtinId="5"/>
    <cellStyle name="쉼표 [0]" xfId="3" builtinId="6"/>
    <cellStyle name="표준" xfId="0" builtinId="0"/>
    <cellStyle name="표준_LME Price(SHMET)&amp;Stock(20061113)" xfId="4"/>
    <cellStyle name="표준_안티모니('0604분기)_LONDON METAL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</c:title>
    <c:plotArea>
      <c:layout/>
      <c:lineChart>
        <c:grouping val="standard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yyyy/mm/dd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-* #,##0_-;\-* #,##0_-;_-* &quot;-&quot;_-;_-@_-">
                  <c:v>287225</c:v>
                </c:pt>
                <c:pt idx="1600" formatCode="_-* #,##0_-;\-* #,##0_-;_-* &quot;-&quot;_-;_-@_-">
                  <c:v>287175</c:v>
                </c:pt>
                <c:pt idx="1601" formatCode="_-* #,##0_-;\-* #,##0_-;_-* &quot;-&quot;_-;_-@_-">
                  <c:v>287100</c:v>
                </c:pt>
                <c:pt idx="1602" formatCode="_-* #,##0_-;\-* #,##0_-;_-* &quot;-&quot;_-;_-@_-">
                  <c:v>287700</c:v>
                </c:pt>
                <c:pt idx="1603" formatCode="_-* #,##0_-;\-* #,##0_-;_-* &quot;-&quot;_-;_-@_-">
                  <c:v>286150</c:v>
                </c:pt>
                <c:pt idx="1604" formatCode="_-* #,##0_-;\-* #,##0_-;_-* &quot;-&quot;_-;_-@_-">
                  <c:v>285050</c:v>
                </c:pt>
                <c:pt idx="1605" formatCode="_-* #,##0_-;\-* #,##0_-;_-* &quot;-&quot;_-;_-@_-">
                  <c:v>284900</c:v>
                </c:pt>
                <c:pt idx="1606" formatCode="_-* #,##0_-;\-* #,##0_-;_-* &quot;-&quot;_-;_-@_-">
                  <c:v>283300</c:v>
                </c:pt>
                <c:pt idx="1607" formatCode="_-* #,##0_-;\-* #,##0_-;_-* &quot;-&quot;_-;_-@_-">
                  <c:v>281400</c:v>
                </c:pt>
                <c:pt idx="1608" formatCode="_-* #,##0_-;\-* #,##0_-;_-* &quot;-&quot;_-;_-@_-">
                  <c:v>279000</c:v>
                </c:pt>
                <c:pt idx="1609" formatCode="_-* #,##0_-;\-* #,##0_-;_-* &quot;-&quot;_-;_-@_-">
                  <c:v>277500</c:v>
                </c:pt>
                <c:pt idx="1610" formatCode="_-* #,##0_-;\-* #,##0_-;_-* &quot;-&quot;_-;_-@_-">
                  <c:v>275500</c:v>
                </c:pt>
                <c:pt idx="1611" formatCode="_-* #,##0_-;\-* #,##0_-;_-* &quot;-&quot;_-;_-@_-">
                  <c:v>274400</c:v>
                </c:pt>
                <c:pt idx="1612" formatCode="_-* #,##0_-;\-* #,##0_-;_-* &quot;-&quot;_-;_-@_-">
                  <c:v>271475</c:v>
                </c:pt>
                <c:pt idx="1613" formatCode="_-* #,##0_-;\-* #,##0_-;_-* &quot;-&quot;_-;_-@_-">
                  <c:v>269975</c:v>
                </c:pt>
                <c:pt idx="1614" formatCode="_-* #,##0_-;\-* #,##0_-;_-* &quot;-&quot;_-;_-@_-">
                  <c:v>268475</c:v>
                </c:pt>
                <c:pt idx="1615" formatCode="_-* #,##0_-;\-* #,##0_-;_-* &quot;-&quot;_-;_-@_-">
                  <c:v>266975</c:v>
                </c:pt>
                <c:pt idx="1616" formatCode="_-* #,##0_-;\-* #,##0_-;_-* &quot;-&quot;_-;_-@_-">
                  <c:v>265975</c:v>
                </c:pt>
                <c:pt idx="1617" formatCode="_-* #,##0_-;\-* #,##0_-;_-* &quot;-&quot;_-;_-@_-">
                  <c:v>264475</c:v>
                </c:pt>
                <c:pt idx="1618" formatCode="_-* #,##0_-;\-* #,##0_-;_-* &quot;-&quot;_-;_-@_-">
                  <c:v>262725</c:v>
                </c:pt>
                <c:pt idx="1619" formatCode="_-* #,##0_-;\-* #,##0_-;_-* &quot;-&quot;_-;_-@_-">
                  <c:v>262725</c:v>
                </c:pt>
                <c:pt idx="1620" formatCode="_-* #,##0_-;\-* #,##0_-;_-* &quot;-&quot;_-;_-@_-">
                  <c:v>262725</c:v>
                </c:pt>
                <c:pt idx="1621" formatCode="_-* #,##0_-;\-* #,##0_-;_-* &quot;-&quot;_-;_-@_-">
                  <c:v>262025</c:v>
                </c:pt>
                <c:pt idx="1622" formatCode="_-* #,##0_-;\-* #,##0_-;_-* &quot;-&quot;_-;_-@_-">
                  <c:v>261425</c:v>
                </c:pt>
                <c:pt idx="1623" formatCode="_-* #,##0_-;\-* #,##0_-;_-* &quot;-&quot;_-;_-@_-">
                  <c:v>260900</c:v>
                </c:pt>
                <c:pt idx="1624" formatCode="_-* #,##0_-;\-* #,##0_-;_-* &quot;-&quot;_-;_-@_-">
                  <c:v>260400</c:v>
                </c:pt>
                <c:pt idx="1625" formatCode="_-* #,##0_-;\-* #,##0_-;_-* &quot;-&quot;_-;_-@_-">
                  <c:v>260550</c:v>
                </c:pt>
                <c:pt idx="1626" formatCode="_-* #,##0_-;\-* #,##0_-;_-* &quot;-&quot;_-;_-@_-">
                  <c:v>260400</c:v>
                </c:pt>
                <c:pt idx="1627" formatCode="_-* #,##0_-;\-* #,##0_-;_-* &quot;-&quot;_-;_-@_-">
                  <c:v>260250</c:v>
                </c:pt>
                <c:pt idx="1628" formatCode="_-* #,##0_-;\-* #,##0_-;_-* &quot;-&quot;_-;_-@_-">
                  <c:v>260175</c:v>
                </c:pt>
                <c:pt idx="1629" formatCode="_-* #,##0_-;\-* #,##0_-;_-* &quot;-&quot;_-;_-@_-">
                  <c:v>259375</c:v>
                </c:pt>
                <c:pt idx="1630" formatCode="_-* #,##0_-;\-* #,##0_-;_-* &quot;-&quot;_-;_-@_-">
                  <c:v>259025</c:v>
                </c:pt>
                <c:pt idx="1631" formatCode="_-* #,##0_-;\-* #,##0_-;_-* &quot;-&quot;_-;_-@_-">
                  <c:v>259675</c:v>
                </c:pt>
                <c:pt idx="1632" formatCode="_-* #,##0_-;\-* #,##0_-;_-* &quot;-&quot;_-;_-@_-">
                  <c:v>259475</c:v>
                </c:pt>
                <c:pt idx="1633" formatCode="_-* #,##0_-;\-* #,##0_-;_-* &quot;-&quot;_-;_-@_-">
                  <c:v>259775</c:v>
                </c:pt>
                <c:pt idx="1634" formatCode="_-* #,##0_-;\-* #,##0_-;_-* &quot;-&quot;_-;_-@_-">
                  <c:v>259850</c:v>
                </c:pt>
                <c:pt idx="1635" formatCode="_-* #,##0_-;\-* #,##0_-;_-* &quot;-&quot;_-;_-@_-">
                  <c:v>259850</c:v>
                </c:pt>
                <c:pt idx="1636" formatCode="_-* #,##0_-;\-* #,##0_-;_-* &quot;-&quot;_-;_-@_-">
                  <c:v>258825</c:v>
                </c:pt>
                <c:pt idx="1637" formatCode="_-* #,##0_-;\-* #,##0_-;_-* &quot;-&quot;_-;_-@_-">
                  <c:v>258800</c:v>
                </c:pt>
                <c:pt idx="1638" formatCode="_-* #,##0_-;\-* #,##0_-;_-* &quot;-&quot;_-;_-@_-">
                  <c:v>258450</c:v>
                </c:pt>
                <c:pt idx="1639" formatCode="_-* #,##0_-;\-* #,##0_-;_-* &quot;-&quot;_-;_-@_-">
                  <c:v>257775</c:v>
                </c:pt>
                <c:pt idx="1640" formatCode="_-* #,##0_-;\-* #,##0_-;_-* &quot;-&quot;_-;_-@_-">
                  <c:v>256700</c:v>
                </c:pt>
                <c:pt idx="1641" formatCode="_-* #,##0_-;\-* #,##0_-;_-* &quot;-&quot;_-;_-@_-">
                  <c:v>255175</c:v>
                </c:pt>
                <c:pt idx="1642" formatCode="_-* #,##0_-;\-* #,##0_-;_-* &quot;-&quot;_-;_-@_-">
                  <c:v>254325</c:v>
                </c:pt>
                <c:pt idx="1643" formatCode="_-* #,##0_-;\-* #,##0_-;_-* &quot;-&quot;_-;_-@_-">
                  <c:v>253925</c:v>
                </c:pt>
                <c:pt idx="1644" formatCode="_-* #,##0_-;\-* #,##0_-;_-* &quot;-&quot;_-;_-@_-">
                  <c:v>252200</c:v>
                </c:pt>
                <c:pt idx="1645" formatCode="_-* #,##0_-;\-* #,##0_-;_-* &quot;-&quot;_-;_-@_-">
                  <c:v>252200</c:v>
                </c:pt>
                <c:pt idx="1646" formatCode="_-* #,##0_-;\-* #,##0_-;_-* &quot;-&quot;_-;_-@_-">
                  <c:v>251075</c:v>
                </c:pt>
                <c:pt idx="1647" formatCode="_-* #,##0_-;\-* #,##0_-;_-* &quot;-&quot;_-;_-@_-">
                  <c:v>248200</c:v>
                </c:pt>
                <c:pt idx="1648" formatCode="_-* #,##0_-;\-* #,##0_-;_-* &quot;-&quot;_-;_-@_-">
                  <c:v>247100</c:v>
                </c:pt>
                <c:pt idx="1649" formatCode="_-* #,##0_-;\-* #,##0_-;_-* &quot;-&quot;_-;_-@_-">
                  <c:v>245425</c:v>
                </c:pt>
                <c:pt idx="1650" formatCode="_-* #,##0_-;\-* #,##0_-;_-* &quot;-&quot;_-;_-@_-">
                  <c:v>243775</c:v>
                </c:pt>
                <c:pt idx="1651" formatCode="_-* #,##0_-;\-* #,##0_-;_-* &quot;-&quot;_-;_-@_-">
                  <c:v>245650</c:v>
                </c:pt>
                <c:pt idx="1652" formatCode="_-* #,##0_-;\-* #,##0_-;_-* &quot;-&quot;_-;_-@_-">
                  <c:v>244525</c:v>
                </c:pt>
                <c:pt idx="1653" formatCode="_-* #,##0_-;\-* #,##0_-;_-* &quot;-&quot;_-;_-@_-">
                  <c:v>243250</c:v>
                </c:pt>
                <c:pt idx="1654" formatCode="_-* #,##0_-;\-* #,##0_-;_-* &quot;-&quot;_-;_-@_-">
                  <c:v>240875</c:v>
                </c:pt>
                <c:pt idx="1655" formatCode="_-* #,##0_-;\-* #,##0_-;_-* &quot;-&quot;_-;_-@_-">
                  <c:v>239375</c:v>
                </c:pt>
                <c:pt idx="1656" formatCode="_-* #,##0_-;\-* #,##0_-;_-* &quot;-&quot;_-;_-@_-">
                  <c:v>237925</c:v>
                </c:pt>
                <c:pt idx="1657" formatCode="_-* #,##0_-;\-* #,##0_-;_-* &quot;-&quot;_-;_-@_-">
                  <c:v>236275</c:v>
                </c:pt>
                <c:pt idx="1658" formatCode="_-* #,##0_-;\-* #,##0_-;_-* &quot;-&quot;_-;_-@_-">
                  <c:v>234525</c:v>
                </c:pt>
                <c:pt idx="1659" formatCode="_-* #,##0_-;\-* #,##0_-;_-* &quot;-&quot;_-;_-@_-">
                  <c:v>234525</c:v>
                </c:pt>
                <c:pt idx="1660" formatCode="_-* #,##0_-;\-* #,##0_-;_-* &quot;-&quot;_-;_-@_-">
                  <c:v>234525</c:v>
                </c:pt>
                <c:pt idx="1661" formatCode="_-* #,##0_-;\-* #,##0_-;_-* &quot;-&quot;_-;_-@_-">
                  <c:v>230725</c:v>
                </c:pt>
                <c:pt idx="1662" formatCode="_-* #,##0_-;\-* #,##0_-;_-* &quot;-&quot;_-;_-@_-">
                  <c:v>225150</c:v>
                </c:pt>
                <c:pt idx="1663" formatCode="_-* #,##0_-;\-* #,##0_-;_-* &quot;-&quot;_-;_-@_-">
                  <c:v>222225</c:v>
                </c:pt>
                <c:pt idx="1664" formatCode="_-* #,##0_-;\-* #,##0_-;_-* &quot;-&quot;_-;_-@_-">
                  <c:v>219475</c:v>
                </c:pt>
                <c:pt idx="1665" formatCode="_-* #,##0_-;\-* #,##0_-;_-* &quot;-&quot;_-;_-@_-">
                  <c:v>217000</c:v>
                </c:pt>
                <c:pt idx="1666" formatCode="_-* #,##0_-;\-* #,##0_-;_-* &quot;-&quot;_-;_-@_-">
                  <c:v>213550</c:v>
                </c:pt>
                <c:pt idx="1667" formatCode="_-* #,##0_-;\-* #,##0_-;_-* &quot;-&quot;_-;_-@_-">
                  <c:v>210400</c:v>
                </c:pt>
                <c:pt idx="1668" formatCode="_-* #,##0_-;\-* #,##0_-;_-* &quot;-&quot;_-;_-@_-">
                  <c:v>207750</c:v>
                </c:pt>
                <c:pt idx="1669" formatCode="_-* #,##0_-;\-* #,##0_-;_-* &quot;-&quot;_-;_-@_-">
                  <c:v>205225</c:v>
                </c:pt>
                <c:pt idx="1670" formatCode="_-* #,##0_-;\-* #,##0_-;_-* &quot;-&quot;_-;_-@_-">
                  <c:v>207350</c:v>
                </c:pt>
                <c:pt idx="1671" formatCode="_-* #,##0_-;\-* #,##0_-;_-* &quot;-&quot;_-;_-@_-">
                  <c:v>202550</c:v>
                </c:pt>
                <c:pt idx="1672" formatCode="_-* #,##0_-;\-* #,##0_-;_-* &quot;-&quot;_-;_-@_-">
                  <c:v>200325</c:v>
                </c:pt>
                <c:pt idx="1673" formatCode="_-* #,##0_-;\-* #,##0_-;_-* &quot;-&quot;_-;_-@_-">
                  <c:v>199975</c:v>
                </c:pt>
                <c:pt idx="1674" formatCode="_-* #,##0_-;\-* #,##0_-;_-* &quot;-&quot;_-;_-@_-">
                  <c:v>197350</c:v>
                </c:pt>
                <c:pt idx="1675" formatCode="_-* #,##0_-;\-* #,##0_-;_-* &quot;-&quot;_-;_-@_-">
                  <c:v>192600</c:v>
                </c:pt>
                <c:pt idx="1676" formatCode="_-* #,##0_-;\-* #,##0_-;_-* &quot;-&quot;_-;_-@_-">
                  <c:v>189050</c:v>
                </c:pt>
                <c:pt idx="1677" formatCode="_-* #,##0_-;\-* #,##0_-;_-* &quot;-&quot;_-;_-@_-">
                  <c:v>204625</c:v>
                </c:pt>
                <c:pt idx="1678" formatCode="_-* #,##0_-;\-* #,##0_-;_-* &quot;-&quot;_-;_-@_-">
                  <c:v>203125</c:v>
                </c:pt>
                <c:pt idx="1679" formatCode="_-* #,##0_-;\-* #,##0_-;_-* &quot;-&quot;_-;_-@_-">
                  <c:v>199025</c:v>
                </c:pt>
                <c:pt idx="1680" formatCode="_-* #,##0_-;\-* #,##0_-;_-* &quot;-&quot;_-;_-@_-">
                  <c:v>195875</c:v>
                </c:pt>
                <c:pt idx="1681" formatCode="_-* #,##0_-;\-* #,##0_-;_-* &quot;-&quot;_-;_-@_-">
                  <c:v>194200</c:v>
                </c:pt>
                <c:pt idx="1682" formatCode="_-* #,##0_-;\-* #,##0_-;_-* &quot;-&quot;_-;_-@_-">
                  <c:v>194600</c:v>
                </c:pt>
                <c:pt idx="1683" formatCode="_-* #,##0_-;\-* #,##0_-;_-* &quot;-&quot;_-;_-@_-">
                  <c:v>198000</c:v>
                </c:pt>
                <c:pt idx="1684" formatCode="_-* #,##0_-;\-* #,##0_-;_-* &quot;-&quot;_-;_-@_-">
                  <c:v>198300</c:v>
                </c:pt>
                <c:pt idx="1685" formatCode="_-* #,##0_-;\-* #,##0_-;_-* &quot;-&quot;_-;_-@_-">
                  <c:v>198200</c:v>
                </c:pt>
                <c:pt idx="1686" formatCode="_-* #,##0_-;\-* #,##0_-;_-* &quot;-&quot;_-;_-@_-">
                  <c:v>198050</c:v>
                </c:pt>
                <c:pt idx="1687" formatCode="_-* #,##0_-;\-* #,##0_-;_-* &quot;-&quot;_-;_-@_-">
                  <c:v>197750</c:v>
                </c:pt>
                <c:pt idx="1688" formatCode="_-* #,##0_-;\-* #,##0_-;_-* &quot;-&quot;_-;_-@_-">
                  <c:v>197575</c:v>
                </c:pt>
                <c:pt idx="1689" formatCode="_-* #,##0_-;\-* #,##0_-;_-* &quot;-&quot;_-;_-@_-">
                  <c:v>197325</c:v>
                </c:pt>
                <c:pt idx="1690" formatCode="_-* #,##0_-;\-* #,##0_-;_-* &quot;-&quot;_-;_-@_-">
                  <c:v>196175</c:v>
                </c:pt>
                <c:pt idx="1691" formatCode="_-* #,##0_-;\-* #,##0_-;_-* &quot;-&quot;_-;_-@_-">
                  <c:v>195975</c:v>
                </c:pt>
                <c:pt idx="1692" formatCode="_-* #,##0_-;\-* #,##0_-;_-* &quot;-&quot;_-;_-@_-">
                  <c:v>194875</c:v>
                </c:pt>
                <c:pt idx="1693" formatCode="_-* #,##0_-;\-* #,##0_-;_-* &quot;-&quot;_-;_-@_-">
                  <c:v>194375</c:v>
                </c:pt>
                <c:pt idx="1694" formatCode="_-* #,##0_-;\-* #,##0_-;_-* &quot;-&quot;_-;_-@_-">
                  <c:v>193825</c:v>
                </c:pt>
                <c:pt idx="1695" formatCode="_-* #,##0_-;\-* #,##0_-;_-* &quot;-&quot;_-;_-@_-">
                  <c:v>193950</c:v>
                </c:pt>
                <c:pt idx="1696" formatCode="_-* #,##0_-;\-* #,##0_-;_-* &quot;-&quot;_-;_-@_-">
                  <c:v>193950</c:v>
                </c:pt>
                <c:pt idx="1697" formatCode="_-* #,##0_-;\-* #,##0_-;_-* &quot;-&quot;_-;_-@_-">
                  <c:v>196875</c:v>
                </c:pt>
                <c:pt idx="1698" formatCode="_-* #,##0_-;\-* #,##0_-;_-* &quot;-&quot;_-;_-@_-">
                  <c:v>196475</c:v>
                </c:pt>
                <c:pt idx="1699" formatCode="_-* #,##0_-;\-* #,##0_-;_-* &quot;-&quot;_-;_-@_-">
                  <c:v>196475</c:v>
                </c:pt>
                <c:pt idx="1700" formatCode="_-* #,##0_-;\-* #,##0_-;_-* &quot;-&quot;_-;_-@_-">
                  <c:v>197975</c:v>
                </c:pt>
                <c:pt idx="1701" formatCode="_-* #,##0_-;\-* #,##0_-;_-* &quot;-&quot;_-;_-@_-">
                  <c:v>198775</c:v>
                </c:pt>
                <c:pt idx="1702" formatCode="_-* #,##0_-;\-* #,##0_-;_-* &quot;-&quot;_-;_-@_-">
                  <c:v>198775</c:v>
                </c:pt>
                <c:pt idx="1703" formatCode="_-* #,##0_-;\-* #,##0_-;_-* &quot;-&quot;_-;_-@_-">
                  <c:v>198500</c:v>
                </c:pt>
                <c:pt idx="1704" formatCode="_-* #,##0_-;\-* #,##0_-;_-* &quot;-&quot;_-;_-@_-">
                  <c:v>198500</c:v>
                </c:pt>
                <c:pt idx="1705" formatCode="_-* #,##0_-;\-* #,##0_-;_-* &quot;-&quot;_-;_-@_-">
                  <c:v>198350</c:v>
                </c:pt>
                <c:pt idx="1706" formatCode="_-* #,##0_-;\-* #,##0_-;_-* &quot;-&quot;_-;_-@_-">
                  <c:v>200225</c:v>
                </c:pt>
                <c:pt idx="1707" formatCode="_-* #,##0_-;\-* #,##0_-;_-* &quot;-&quot;_-;_-@_-">
                  <c:v>200225</c:v>
                </c:pt>
                <c:pt idx="1708" formatCode="_-* #,##0_-;\-* #,##0_-;_-* &quot;-&quot;_-;_-@_-">
                  <c:v>200225</c:v>
                </c:pt>
                <c:pt idx="1709" formatCode="_-* #,##0_-;\-* #,##0_-;_-* &quot;-&quot;_-;_-@_-">
                  <c:v>200125</c:v>
                </c:pt>
                <c:pt idx="1710" formatCode="_-* #,##0_-;\-* #,##0_-;_-* &quot;-&quot;_-;_-@_-">
                  <c:v>199775</c:v>
                </c:pt>
                <c:pt idx="1711" formatCode="_-* #,##0_-;\-* #,##0_-;_-* &quot;-&quot;_-;_-@_-">
                  <c:v>200200</c:v>
                </c:pt>
                <c:pt idx="1712" formatCode="_-* #,##0_-;\-* #,##0_-;_-* &quot;-&quot;_-;_-@_-">
                  <c:v>199625</c:v>
                </c:pt>
                <c:pt idx="1713" formatCode="_-* #,##0_-;\-* #,##0_-;_-* &quot;-&quot;_-;_-@_-">
                  <c:v>199825</c:v>
                </c:pt>
                <c:pt idx="1714" formatCode="_-* #,##0_-;\-* #,##0_-;_-* &quot;-&quot;_-;_-@_-">
                  <c:v>199275</c:v>
                </c:pt>
                <c:pt idx="1715" formatCode="_-* #,##0_-;\-* #,##0_-;_-* &quot;-&quot;_-;_-@_-">
                  <c:v>198725</c:v>
                </c:pt>
                <c:pt idx="1716" formatCode="_-* #,##0_-;\-* #,##0_-;_-* &quot;-&quot;_-;_-@_-">
                  <c:v>197675</c:v>
                </c:pt>
                <c:pt idx="1717" formatCode="_-* #,##0_-;\-* #,##0_-;_-* &quot;-&quot;_-;_-@_-">
                  <c:v>195025</c:v>
                </c:pt>
                <c:pt idx="1718" formatCode="_-* #,##0_-;\-* #,##0_-;_-* &quot;-&quot;_-;_-@_-">
                  <c:v>191975</c:v>
                </c:pt>
                <c:pt idx="1719" formatCode="_-* #,##0_-;\-* #,##0_-;_-* &quot;-&quot;_-;_-@_-">
                  <c:v>190925</c:v>
                </c:pt>
                <c:pt idx="1720" formatCode="_-* #,##0_-;\-* #,##0_-;_-* &quot;-&quot;_-;_-@_-">
                  <c:v>189000</c:v>
                </c:pt>
                <c:pt idx="1721" formatCode="_-* #,##0_-;\-* #,##0_-;_-* &quot;-&quot;_-;_-@_-">
                  <c:v>186025</c:v>
                </c:pt>
                <c:pt idx="1722" formatCode="_-* #,##0_-;\-* #,##0_-;_-* &quot;-&quot;_-;_-@_-">
                  <c:v>189600</c:v>
                </c:pt>
                <c:pt idx="1723" formatCode="_-* #,##0_-;\-* #,##0_-;_-* &quot;-&quot;_-;_-@_-">
                  <c:v>186625</c:v>
                </c:pt>
                <c:pt idx="1724" formatCode="_-* #,##0_-;\-* #,##0_-;_-* &quot;-&quot;_-;_-@_-">
                  <c:v>187850</c:v>
                </c:pt>
                <c:pt idx="1725" formatCode="_-* #,##0_-;\-* #,##0_-;_-* &quot;-&quot;_-;_-@_-">
                  <c:v>187850</c:v>
                </c:pt>
                <c:pt idx="1726" formatCode="_-* #,##0_-;\-* #,##0_-;_-* &quot;-&quot;_-;_-@_-">
                  <c:v>186525</c:v>
                </c:pt>
                <c:pt idx="1727" formatCode="_-* #,##0_-;\-* #,##0_-;_-* &quot;-&quot;_-;_-@_-">
                  <c:v>185950</c:v>
                </c:pt>
                <c:pt idx="1728" formatCode="_-* #,##0_-;\-* #,##0_-;_-* &quot;-&quot;_-;_-@_-">
                  <c:v>186200</c:v>
                </c:pt>
                <c:pt idx="1729" formatCode="_-* #,##0_-;\-* #,##0_-;_-* &quot;-&quot;_-;_-@_-">
                  <c:v>185675</c:v>
                </c:pt>
                <c:pt idx="1730" formatCode="_-* #,##0_-;\-* #,##0_-;_-* &quot;-&quot;_-;_-@_-">
                  <c:v>185150</c:v>
                </c:pt>
                <c:pt idx="1731" formatCode="_-* #,##0_-;\-* #,##0_-;_-* &quot;-&quot;_-;_-@_-">
                  <c:v>184725</c:v>
                </c:pt>
                <c:pt idx="1732" formatCode="_-* #,##0_-;\-* #,##0_-;_-* &quot;-&quot;_-;_-@_-">
                  <c:v>185350</c:v>
                </c:pt>
                <c:pt idx="1733" formatCode="_-* #,##0_-;\-* #,##0_-;_-* &quot;-&quot;_-;_-@_-">
                  <c:v>184450</c:v>
                </c:pt>
                <c:pt idx="1734" formatCode="_-* #,##0_-;\-* #,##0_-;_-* &quot;-&quot;_-;_-@_-">
                  <c:v>183400</c:v>
                </c:pt>
                <c:pt idx="1735" formatCode="_-* #,##0_-;\-* #,##0_-;_-* &quot;-&quot;_-;_-@_-">
                  <c:v>182375</c:v>
                </c:pt>
                <c:pt idx="1736" formatCode="_-* #,##0_-;\-* #,##0_-;_-* &quot;-&quot;_-;_-@_-">
                  <c:v>181425</c:v>
                </c:pt>
                <c:pt idx="1737" formatCode="_-* #,##0_-;\-* #,##0_-;_-* &quot;-&quot;_-;_-@_-">
                  <c:v>180425</c:v>
                </c:pt>
                <c:pt idx="1738" formatCode="_-* #,##0_-;\-* #,##0_-;_-* &quot;-&quot;_-;_-@_-">
                  <c:v>182200</c:v>
                </c:pt>
                <c:pt idx="1739" formatCode="_-* #,##0_-;\-* #,##0_-;_-* &quot;-&quot;_-;_-@_-">
                  <c:v>231675</c:v>
                </c:pt>
                <c:pt idx="1740" formatCode="_-* #,##0_-;\-* #,##0_-;_-* &quot;-&quot;_-;_-@_-">
                  <c:v>231225</c:v>
                </c:pt>
                <c:pt idx="1741" formatCode="_-* #,##0_-;\-* #,##0_-;_-* &quot;-&quot;_-;_-@_-">
                  <c:v>246100</c:v>
                </c:pt>
                <c:pt idx="1742" formatCode="_-* #,##0_-;\-* #,##0_-;_-* &quot;-&quot;_-;_-@_-">
                  <c:v>245100</c:v>
                </c:pt>
                <c:pt idx="1743" formatCode="_-* #,##0_-;\-* #,##0_-;_-* &quot;-&quot;_-;_-@_-">
                  <c:v>244100</c:v>
                </c:pt>
                <c:pt idx="1744" formatCode="_-* #,##0_-;\-* #,##0_-;_-* &quot;-&quot;_-;_-@_-">
                  <c:v>244375</c:v>
                </c:pt>
                <c:pt idx="1745" formatCode="_-* #,##0_-;\-* #,##0_-;_-* &quot;-&quot;_-;_-@_-">
                  <c:v>243550</c:v>
                </c:pt>
                <c:pt idx="1746" formatCode="_-* #,##0_-;\-* #,##0_-;_-* &quot;-&quot;_-;_-@_-">
                  <c:v>244000</c:v>
                </c:pt>
                <c:pt idx="1747" formatCode="_-* #,##0_-;\-* #,##0_-;_-* &quot;-&quot;_-;_-@_-">
                  <c:v>243500</c:v>
                </c:pt>
                <c:pt idx="1748" formatCode="_-* #,##0_-;\-* #,##0_-;_-* &quot;-&quot;_-;_-@_-">
                  <c:v>241725</c:v>
                </c:pt>
                <c:pt idx="1749" formatCode="_-* #,##0_-;\-* #,##0_-;_-* &quot;-&quot;_-;_-@_-">
                  <c:v>240600</c:v>
                </c:pt>
                <c:pt idx="1750" formatCode="_-* #,##0_-;\-* #,##0_-;_-* &quot;-&quot;_-;_-@_-">
                  <c:v>239850</c:v>
                </c:pt>
                <c:pt idx="1751" formatCode="_-* #,##0_-;\-* #,##0_-;_-* &quot;-&quot;_-;_-@_-">
                  <c:v>239350</c:v>
                </c:pt>
                <c:pt idx="1752" formatCode="_-* #,##0_-;\-* #,##0_-;_-* &quot;-&quot;_-;_-@_-">
                  <c:v>238850</c:v>
                </c:pt>
                <c:pt idx="1753" formatCode="_-* #,##0_-;\-* #,##0_-;_-* &quot;-&quot;_-;_-@_-">
                  <c:v>238300</c:v>
                </c:pt>
                <c:pt idx="1754" formatCode="_-* #,##0_-;\-* #,##0_-;_-* &quot;-&quot;_-;_-@_-">
                  <c:v>237800</c:v>
                </c:pt>
                <c:pt idx="1755" formatCode="_-* #,##0_-;\-* #,##0_-;_-* &quot;-&quot;_-;_-@_-">
                  <c:v>237300</c:v>
                </c:pt>
                <c:pt idx="1756" formatCode="_-* #,##0_-;\-* #,##0_-;_-* &quot;-&quot;_-;_-@_-">
                  <c:v>236800</c:v>
                </c:pt>
                <c:pt idx="1757" formatCode="_-* #,##0_-;\-* #,##0_-;_-* &quot;-&quot;_-;_-@_-">
                  <c:v>236425</c:v>
                </c:pt>
                <c:pt idx="1758" formatCode="_-* #,##0_-;\-* #,##0_-;_-* &quot;-&quot;_-;_-@_-">
                  <c:v>236725</c:v>
                </c:pt>
                <c:pt idx="1759" formatCode="_-* #,##0_-;\-* #,##0_-;_-* &quot;-&quot;_-;_-@_-">
                  <c:v>236725</c:v>
                </c:pt>
                <c:pt idx="1760" formatCode="_-* #,##0_-;\-* #,##0_-;_-* &quot;-&quot;_-;_-@_-">
                  <c:v>235675</c:v>
                </c:pt>
                <c:pt idx="1761" formatCode="_-* #,##0_-;\-* #,##0_-;_-* &quot;-&quot;_-;_-@_-">
                  <c:v>233675</c:v>
                </c:pt>
                <c:pt idx="1762" formatCode="_-* #,##0_-;\-* #,##0_-;_-* &quot;-&quot;_-;_-@_-">
                  <c:v>233025</c:v>
                </c:pt>
                <c:pt idx="1763" formatCode="_-* #,##0_-;\-* #,##0_-;_-* &quot;-&quot;_-;_-@_-">
                  <c:v>233025</c:v>
                </c:pt>
                <c:pt idx="1764" formatCode="_-* #,##0_-;\-* #,##0_-;_-* &quot;-&quot;_-;_-@_-">
                  <c:v>232825</c:v>
                </c:pt>
                <c:pt idx="1765" formatCode="_-* #,##0_-;\-* #,##0_-;_-* &quot;-&quot;_-;_-@_-">
                  <c:v>232825</c:v>
                </c:pt>
                <c:pt idx="1766" formatCode="_-* #,##0_-;\-* #,##0_-;_-* &quot;-&quot;_-;_-@_-">
                  <c:v>232825</c:v>
                </c:pt>
                <c:pt idx="1767" formatCode="_-* #,##0_-;\-* #,##0_-;_-* &quot;-&quot;_-;_-@_-">
                  <c:v>232425</c:v>
                </c:pt>
                <c:pt idx="1768" formatCode="_-* #,##0_-;\-* #,##0_-;_-* &quot;-&quot;_-;_-@_-">
                  <c:v>232225</c:v>
                </c:pt>
                <c:pt idx="1769" formatCode="_-* #,##0_-;\-* #,##0_-;_-* &quot;-&quot;_-;_-@_-">
                  <c:v>231125</c:v>
                </c:pt>
                <c:pt idx="1770" formatCode="_-* #,##0_-;\-* #,##0_-;_-* &quot;-&quot;_-;_-@_-">
                  <c:v>232925</c:v>
                </c:pt>
                <c:pt idx="1771" formatCode="_-* #,##0_-;\-* #,##0_-;_-* &quot;-&quot;_-;_-@_-">
                  <c:v>232925</c:v>
                </c:pt>
                <c:pt idx="1772" formatCode="_-* #,##0_-;\-* #,##0_-;_-* &quot;-&quot;_-;_-@_-">
                  <c:v>232925</c:v>
                </c:pt>
                <c:pt idx="1773" formatCode="_-* #,##0_-;\-* #,##0_-;_-* &quot;-&quot;_-;_-@_-">
                  <c:v>232925</c:v>
                </c:pt>
                <c:pt idx="1774" formatCode="_-* #,##0_-;\-* #,##0_-;_-* &quot;-&quot;_-;_-@_-">
                  <c:v>233200</c:v>
                </c:pt>
                <c:pt idx="1775" formatCode="_-* #,##0_-;\-* #,##0_-;_-* &quot;-&quot;_-;_-@_-">
                  <c:v>233150</c:v>
                </c:pt>
                <c:pt idx="1776" formatCode="_-* #,##0_-;\-* #,##0_-;_-* &quot;-&quot;_-;_-@_-">
                  <c:v>233150</c:v>
                </c:pt>
                <c:pt idx="1777" formatCode="_-* #,##0_-;\-* #,##0_-;_-* &quot;-&quot;_-;_-@_-">
                  <c:v>233150</c:v>
                </c:pt>
                <c:pt idx="1778" formatCode="_-* #,##0_-;\-* #,##0_-;_-* &quot;-&quot;_-;_-@_-">
                  <c:v>233150</c:v>
                </c:pt>
                <c:pt idx="1779" formatCode="_-* #,##0_-;\-* #,##0_-;_-* &quot;-&quot;_-;_-@_-">
                  <c:v>233000</c:v>
                </c:pt>
                <c:pt idx="1780" formatCode="_-* #,##0_-;\-* #,##0_-;_-* &quot;-&quot;_-;_-@_-">
                  <c:v>233000</c:v>
                </c:pt>
                <c:pt idx="1781" formatCode="_-* #,##0_-;\-* #,##0_-;_-* &quot;-&quot;_-;_-@_-">
                  <c:v>233000</c:v>
                </c:pt>
                <c:pt idx="1782" formatCode="_-* #,##0_-;\-* #,##0_-;_-* &quot;-&quot;_-;_-@_-">
                  <c:v>236675</c:v>
                </c:pt>
                <c:pt idx="1783" formatCode="_-* #,##0_-;\-* #,##0_-;_-* &quot;-&quot;_-;_-@_-">
                  <c:v>236675</c:v>
                </c:pt>
                <c:pt idx="1784" formatCode="_-* #,##0_-;\-* #,##0_-;_-* &quot;-&quot;_-;_-@_-">
                  <c:v>236675</c:v>
                </c:pt>
                <c:pt idx="1785" formatCode="_-* #,##0_-;\-* #,##0_-;_-* &quot;-&quot;_-;_-@_-">
                  <c:v>236125</c:v>
                </c:pt>
                <c:pt idx="1786" formatCode="_-* #,##0_-;\-* #,##0_-;_-* &quot;-&quot;_-;_-@_-">
                  <c:v>235425</c:v>
                </c:pt>
                <c:pt idx="1787" formatCode="_-* #,##0_-;\-* #,##0_-;_-* &quot;-&quot;_-;_-@_-">
                  <c:v>234900</c:v>
                </c:pt>
                <c:pt idx="1788" formatCode="_-* #,##0_-;\-* #,##0_-;_-* &quot;-&quot;_-;_-@_-">
                  <c:v>234125</c:v>
                </c:pt>
                <c:pt idx="1789" formatCode="_-* #,##0_-;\-* #,##0_-;_-* &quot;-&quot;_-;_-@_-">
                  <c:v>233825</c:v>
                </c:pt>
                <c:pt idx="1790" formatCode="_-* #,##0_-;\-* #,##0_-;_-* &quot;-&quot;_-;_-@_-">
                  <c:v>233625</c:v>
                </c:pt>
                <c:pt idx="1791" formatCode="_-* #,##0_-;\-* #,##0_-;_-* &quot;-&quot;_-;_-@_-">
                  <c:v>232900</c:v>
                </c:pt>
                <c:pt idx="1792" formatCode="_-* #,##0_-;\-* #,##0_-;_-* &quot;-&quot;_-;_-@_-">
                  <c:v>232375</c:v>
                </c:pt>
                <c:pt idx="1793" formatCode="_-* #,##0_-;\-* #,##0_-;_-* &quot;-&quot;_-;_-@_-">
                  <c:v>231875</c:v>
                </c:pt>
                <c:pt idx="1794" formatCode="_-* #,##0_-;\-* #,##0_-;_-* &quot;-&quot;_-;_-@_-">
                  <c:v>231375</c:v>
                </c:pt>
                <c:pt idx="1795" formatCode="_-* #,##0_-;\-* #,##0_-;_-* &quot;-&quot;_-;_-@_-">
                  <c:v>230175</c:v>
                </c:pt>
                <c:pt idx="1796" formatCode="_-* #,##0_-;\-* #,##0_-;_-* &quot;-&quot;_-;_-@_-">
                  <c:v>229950</c:v>
                </c:pt>
                <c:pt idx="1797" formatCode="_-* #,##0_-;\-* #,##0_-;_-* &quot;-&quot;_-;_-@_-">
                  <c:v>229450</c:v>
                </c:pt>
                <c:pt idx="1798" formatCode="_-* #,##0_-;\-* #,##0_-;_-* &quot;-&quot;_-;_-@_-">
                  <c:v>228925</c:v>
                </c:pt>
                <c:pt idx="1799" formatCode="_-* #,##0_-;\-* #,##0_-;_-* &quot;-&quot;_-;_-@_-">
                  <c:v>227925</c:v>
                </c:pt>
                <c:pt idx="1800" formatCode="_-* #,##0_-;\-* #,##0_-;_-* &quot;-&quot;_-;_-@_-">
                  <c:v>226950</c:v>
                </c:pt>
                <c:pt idx="1801" formatCode="_-* #,##0_-;\-* #,##0_-;_-* &quot;-&quot;_-;_-@_-">
                  <c:v>225950</c:v>
                </c:pt>
                <c:pt idx="1802" formatCode="_-* #,##0_-;\-* #,##0_-;_-* &quot;-&quot;_-;_-@_-">
                  <c:v>225950</c:v>
                </c:pt>
                <c:pt idx="1803" formatCode="_-* #,##0_-;\-* #,##0_-;_-* &quot;-&quot;_-;_-@_-">
                  <c:v>223250</c:v>
                </c:pt>
                <c:pt idx="1804" formatCode="_-* #,##0_-;\-* #,##0_-;_-* &quot;-&quot;_-;_-@_-">
                  <c:v>222150</c:v>
                </c:pt>
                <c:pt idx="1805" formatCode="_-* #,##0_-;\-* #,##0_-;_-* &quot;-&quot;_-;_-@_-">
                  <c:v>221175</c:v>
                </c:pt>
                <c:pt idx="1806" formatCode="_-* #,##0_-;\-* #,##0_-;_-* &quot;-&quot;_-;_-@_-">
                  <c:v>220150</c:v>
                </c:pt>
                <c:pt idx="1807" formatCode="_-* #,##0_-;\-* #,##0_-;_-* &quot;-&quot;_-;_-@_-">
                  <c:v>219100</c:v>
                </c:pt>
                <c:pt idx="1808" formatCode="_-* #,##0_-;\-* #,##0_-;_-* &quot;-&quot;_-;_-@_-">
                  <c:v>217475</c:v>
                </c:pt>
                <c:pt idx="1809" formatCode="_-* #,##0_-;\-* #,##0_-;_-* &quot;-&quot;_-;_-@_-">
                  <c:v>216950</c:v>
                </c:pt>
                <c:pt idx="1810" formatCode="_-* #,##0_-;\-* #,##0_-;_-* &quot;-&quot;_-;_-@_-">
                  <c:v>216450</c:v>
                </c:pt>
                <c:pt idx="1811" formatCode="_-* #,##0_-;\-* #,##0_-;_-* &quot;-&quot;_-;_-@_-">
                  <c:v>215450</c:v>
                </c:pt>
                <c:pt idx="1812" formatCode="_-* #,##0_-;\-* #,##0_-;_-* &quot;-&quot;_-;_-@_-">
                  <c:v>215450</c:v>
                </c:pt>
                <c:pt idx="1813" formatCode="_-* #,##0_-;\-* #,##0_-;_-* &quot;-&quot;_-;_-@_-">
                  <c:v>215450</c:v>
                </c:pt>
                <c:pt idx="1814" formatCode="_-* #,##0_-;\-* #,##0_-;_-* &quot;-&quot;_-;_-@_-">
                  <c:v>214950</c:v>
                </c:pt>
                <c:pt idx="1815" formatCode="_-* #,##0_-;\-* #,##0_-;_-* &quot;-&quot;_-;_-@_-">
                  <c:v>214950</c:v>
                </c:pt>
                <c:pt idx="1816" formatCode="_-* #,##0_-;\-* #,##0_-;_-* &quot;-&quot;_-;_-@_-">
                  <c:v>214450</c:v>
                </c:pt>
                <c:pt idx="1817" formatCode="_-* #,##0_-;\-* #,##0_-;_-* &quot;-&quot;_-;_-@_-">
                  <c:v>213950</c:v>
                </c:pt>
                <c:pt idx="1818" formatCode="_-* #,##0_-;\-* #,##0_-;_-* &quot;-&quot;_-;_-@_-">
                  <c:v>215200</c:v>
                </c:pt>
                <c:pt idx="1819" formatCode="_-* #,##0_-;\-* #,##0_-;_-* &quot;-&quot;_-;_-@_-">
                  <c:v>215000</c:v>
                </c:pt>
                <c:pt idx="1820" formatCode="_-* #,##0_-;\-* #,##0_-;_-* &quot;-&quot;_-;_-@_-">
                  <c:v>214500</c:v>
                </c:pt>
                <c:pt idx="1821" formatCode="_-* #,##0_-;\-* #,##0_-;_-* &quot;-&quot;_-;_-@_-">
                  <c:v>214000</c:v>
                </c:pt>
                <c:pt idx="1822" formatCode="_-* #,##0_-;\-* #,##0_-;_-* &quot;-&quot;_-;_-@_-">
                  <c:v>213500</c:v>
                </c:pt>
                <c:pt idx="1823" formatCode="_-* #,##0_-;\-* #,##0_-;_-* &quot;-&quot;_-;_-@_-">
                  <c:v>213000</c:v>
                </c:pt>
                <c:pt idx="1824" formatCode="_-* #,##0_-;\-* #,##0_-;_-* &quot;-&quot;_-;_-@_-">
                  <c:v>212500</c:v>
                </c:pt>
                <c:pt idx="1825" formatCode="_-* #,##0_-;\-* #,##0_-;_-* &quot;-&quot;_-;_-@_-">
                  <c:v>212000</c:v>
                </c:pt>
                <c:pt idx="1826" formatCode="_-* #,##0_-;\-* #,##0_-;_-* &quot;-&quot;_-;_-@_-">
                  <c:v>211500</c:v>
                </c:pt>
                <c:pt idx="1827" formatCode="_-* #,##0_-;\-* #,##0_-;_-* &quot;-&quot;_-;_-@_-">
                  <c:v>211000</c:v>
                </c:pt>
                <c:pt idx="1828" formatCode="_-* #,##0_-;\-* #,##0_-;_-* &quot;-&quot;_-;_-@_-">
                  <c:v>209750</c:v>
                </c:pt>
                <c:pt idx="1829" formatCode="_-* #,##0_-;\-* #,##0_-;_-* &quot;-&quot;_-;_-@_-">
                  <c:v>209250</c:v>
                </c:pt>
                <c:pt idx="1830" formatCode="_-* #,##0_-;\-* #,##0_-;_-* &quot;-&quot;_-;_-@_-">
                  <c:v>209450</c:v>
                </c:pt>
                <c:pt idx="1831" formatCode="_-* #,##0_-;\-* #,##0_-;_-* &quot;-&quot;_-;_-@_-">
                  <c:v>208850</c:v>
                </c:pt>
                <c:pt idx="1832" formatCode="_-* #,##0_-;\-* #,##0_-;_-* &quot;-&quot;_-;_-@_-">
                  <c:v>207950</c:v>
                </c:pt>
                <c:pt idx="1833" formatCode="_-* #,##0_-;\-* #,##0_-;_-* &quot;-&quot;_-;_-@_-">
                  <c:v>207575</c:v>
                </c:pt>
                <c:pt idx="1834" formatCode="_-* #,##0_-;\-* #,##0_-;_-* &quot;-&quot;_-;_-@_-">
                  <c:v>209675</c:v>
                </c:pt>
                <c:pt idx="1835" formatCode="_-* #,##0_-;\-* #,##0_-;_-* &quot;-&quot;_-;_-@_-">
                  <c:v>209175</c:v>
                </c:pt>
                <c:pt idx="1836" formatCode="_-* #,##0_-;\-* #,##0_-;_-* &quot;-&quot;_-;_-@_-">
                  <c:v>209175</c:v>
                </c:pt>
                <c:pt idx="1837" formatCode="_-* #,##0_-;\-* #,##0_-;_-* &quot;-&quot;_-;_-@_-">
                  <c:v>208975</c:v>
                </c:pt>
                <c:pt idx="1838" formatCode="_-* #,##0_-;\-* #,##0_-;_-* &quot;-&quot;_-;_-@_-">
                  <c:v>208475</c:v>
                </c:pt>
                <c:pt idx="1839" formatCode="_-* #,##0_-;\-* #,##0_-;_-* &quot;-&quot;_-;_-@_-">
                  <c:v>208425</c:v>
                </c:pt>
                <c:pt idx="1840" formatCode="_-* #,##0_-;\-* #,##0_-;_-* &quot;-&quot;_-;_-@_-">
                  <c:v>207925</c:v>
                </c:pt>
                <c:pt idx="1841" formatCode="_-* #,##0_-;\-* #,##0_-;_-* &quot;-&quot;_-;_-@_-">
                  <c:v>207425</c:v>
                </c:pt>
                <c:pt idx="1842" formatCode="_-* #,##0_-;\-* #,##0_-;_-* &quot;-&quot;_-;_-@_-">
                  <c:v>206925</c:v>
                </c:pt>
                <c:pt idx="1843" formatCode="_-* #,##0_-;\-* #,##0_-;_-* &quot;-&quot;_-;_-@_-">
                  <c:v>206425</c:v>
                </c:pt>
                <c:pt idx="1844" formatCode="_-* #,##0_-;\-* #,##0_-;_-* &quot;-&quot;_-;_-@_-">
                  <c:v>205925</c:v>
                </c:pt>
                <c:pt idx="1845" formatCode="_-* #,##0_-;\-* #,##0_-;_-* &quot;-&quot;_-;_-@_-">
                  <c:v>205425</c:v>
                </c:pt>
                <c:pt idx="1846" formatCode="_-* #,##0_-;\-* #,##0_-;_-* &quot;-&quot;_-;_-@_-">
                  <c:v>204925</c:v>
                </c:pt>
                <c:pt idx="1847" formatCode="_-* #,##0_-;\-* #,##0_-;_-* &quot;-&quot;_-;_-@_-">
                  <c:v>204425</c:v>
                </c:pt>
                <c:pt idx="1848" formatCode="_-* #,##0_-;\-* #,##0_-;_-* &quot;-&quot;_-;_-@_-">
                  <c:v>203925</c:v>
                </c:pt>
                <c:pt idx="1849" formatCode="_-* #,##0_-;\-* #,##0_-;_-* &quot;-&quot;_-;_-@_-">
                  <c:v>203425</c:v>
                </c:pt>
                <c:pt idx="1850" formatCode="_-* #,##0_-;\-* #,##0_-;_-* &quot;-&quot;_-;_-@_-">
                  <c:v>202925</c:v>
                </c:pt>
                <c:pt idx="1851" formatCode="_-* #,##0_-;\-* #,##0_-;_-* &quot;-&quot;_-;_-@_-">
                  <c:v>201875</c:v>
                </c:pt>
                <c:pt idx="1852" formatCode="_-* #,##0_-;\-* #,##0_-;_-* &quot;-&quot;_-;_-@_-">
                  <c:v>201275</c:v>
                </c:pt>
                <c:pt idx="1853" formatCode="_-* #,##0_-;\-* #,##0_-;_-* &quot;-&quot;_-;_-@_-">
                  <c:v>201350</c:v>
                </c:pt>
                <c:pt idx="1854" formatCode="_-* #,##0_-;\-* #,##0_-;_-* &quot;-&quot;_-;_-@_-">
                  <c:v>201350</c:v>
                </c:pt>
                <c:pt idx="1855" formatCode="_-* #,##0_-;\-* #,##0_-;_-* &quot;-&quot;_-;_-@_-">
                  <c:v>201350</c:v>
                </c:pt>
                <c:pt idx="1856" formatCode="_-* #,##0_-;\-* #,##0_-;_-* &quot;-&quot;_-;_-@_-">
                  <c:v>202575</c:v>
                </c:pt>
                <c:pt idx="1857" formatCode="_-* #,##0_-;\-* #,##0_-;_-* &quot;-&quot;_-;_-@_-">
                  <c:v>202425</c:v>
                </c:pt>
                <c:pt idx="1858" formatCode="_-* #,##0_-;\-* #,##0_-;_-* &quot;-&quot;_-;_-@_-">
                  <c:v>202225</c:v>
                </c:pt>
                <c:pt idx="1859" formatCode="_-* #,##0_-;\-* #,##0_-;_-* &quot;-&quot;_-;_-@_-">
                  <c:v>202775</c:v>
                </c:pt>
                <c:pt idx="1860" formatCode="_-* #,##0_-;\-* #,##0_-;_-* &quot;-&quot;_-;_-@_-">
                  <c:v>202775</c:v>
                </c:pt>
                <c:pt idx="1861" formatCode="_-* #,##0_-;\-* #,##0_-;_-* &quot;-&quot;_-;_-@_-">
                  <c:v>202650</c:v>
                </c:pt>
                <c:pt idx="1862" formatCode="_-* #,##0_-;\-* #,##0_-;_-* &quot;-&quot;_-;_-@_-">
                  <c:v>203975</c:v>
                </c:pt>
                <c:pt idx="1863" formatCode="_-* #,##0_-;\-* #,##0_-;_-* &quot;-&quot;_-;_-@_-">
                  <c:v>203975</c:v>
                </c:pt>
                <c:pt idx="1864" formatCode="_-* #,##0_-;\-* #,##0_-;_-* &quot;-&quot;_-;_-@_-">
                  <c:v>203800</c:v>
                </c:pt>
                <c:pt idx="1865" formatCode="_-* #,##0_-;\-* #,##0_-;_-* &quot;-&quot;_-;_-@_-">
                  <c:v>203325</c:v>
                </c:pt>
                <c:pt idx="1866" formatCode="_-* #,##0_-;\-* #,##0_-;_-* &quot;-&quot;_-;_-@_-">
                  <c:v>203100</c:v>
                </c:pt>
                <c:pt idx="1867" formatCode="_-* #,##0_-;\-* #,##0_-;_-* &quot;-&quot;_-;_-@_-">
                  <c:v>202400</c:v>
                </c:pt>
                <c:pt idx="1868" formatCode="_-* #,##0_-;\-* #,##0_-;_-* &quot;-&quot;_-;_-@_-">
                  <c:v>201850</c:v>
                </c:pt>
                <c:pt idx="1869" formatCode="_-* #,##0_-;\-* #,##0_-;_-* &quot;-&quot;_-;_-@_-">
                  <c:v>202075</c:v>
                </c:pt>
                <c:pt idx="1870" formatCode="_-* #,##0_-;\-* #,##0_-;_-* &quot;-&quot;_-;_-@_-">
                  <c:v>201675</c:v>
                </c:pt>
                <c:pt idx="1871" formatCode="_-* #,##0_-;\-* #,##0_-;_-* &quot;-&quot;_-;_-@_-">
                  <c:v>201050</c:v>
                </c:pt>
                <c:pt idx="1872" formatCode="_-* #,##0_-;\-* #,##0_-;_-* &quot;-&quot;_-;_-@_-">
                  <c:v>200700</c:v>
                </c:pt>
                <c:pt idx="1873" formatCode="_-* #,##0_-;\-* #,##0_-;_-* &quot;-&quot;_-;_-@_-">
                  <c:v>200700</c:v>
                </c:pt>
                <c:pt idx="1874" formatCode="_-* #,##0_-;\-* #,##0_-;_-* &quot;-&quot;_-;_-@_-">
                  <c:v>200700</c:v>
                </c:pt>
                <c:pt idx="1875" formatCode="_-* #,##0_-;\-* #,##0_-;_-* &quot;-&quot;_-;_-@_-">
                  <c:v>200700</c:v>
                </c:pt>
                <c:pt idx="1876" formatCode="_-* #,##0_-;\-* #,##0_-;_-* &quot;-&quot;_-;_-@_-">
                  <c:v>200625</c:v>
                </c:pt>
                <c:pt idx="1877" formatCode="_-* #,##0_-;\-* #,##0_-;_-* &quot;-&quot;_-;_-@_-">
                  <c:v>200400</c:v>
                </c:pt>
                <c:pt idx="1878" formatCode="_-* #,##0_-;\-* #,##0_-;_-* &quot;-&quot;_-;_-@_-">
                  <c:v>200375</c:v>
                </c:pt>
                <c:pt idx="1879" formatCode="_-* #,##0_-;\-* #,##0_-;_-* &quot;-&quot;_-;_-@_-">
                  <c:v>200325</c:v>
                </c:pt>
              </c:numCache>
            </c:numRef>
          </c:val>
        </c:ser>
        <c:marker val="1"/>
        <c:axId val="38982400"/>
        <c:axId val="38983936"/>
      </c:lineChart>
      <c:lineChart>
        <c:grouping val="standard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yyyy/mm/dd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yyyy/mm/dd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</c:ser>
        <c:marker val="1"/>
        <c:axId val="39256064"/>
        <c:axId val="39257600"/>
      </c:lineChart>
      <c:dateAx>
        <c:axId val="38982400"/>
        <c:scaling>
          <c:orientation val="minMax"/>
        </c:scaling>
        <c:axPos val="b"/>
        <c:numFmt formatCode="yyyy/mm/dd" sourceLinked="0"/>
        <c:majorTickMark val="none"/>
        <c:tickLblPos val="nextTo"/>
        <c:crossAx val="38983936"/>
        <c:crosses val="autoZero"/>
        <c:auto val="1"/>
        <c:lblOffset val="100"/>
        <c:baseTimeUnit val="days"/>
      </c:dateAx>
      <c:valAx>
        <c:axId val="38983936"/>
        <c:scaling>
          <c:orientation val="minMax"/>
        </c:scaling>
        <c:axPos val="l"/>
        <c:majorGridlines/>
        <c:numFmt formatCode="#,##0_ " sourceLinked="1"/>
        <c:maj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38982400"/>
        <c:crosses val="autoZero"/>
        <c:crossBetween val="between"/>
      </c:valAx>
      <c:dateAx>
        <c:axId val="39256064"/>
        <c:scaling>
          <c:orientation val="minMax"/>
        </c:scaling>
        <c:delete val="1"/>
        <c:axPos val="b"/>
        <c:numFmt formatCode="yyyy/mm/dd" sourceLinked="1"/>
        <c:tickLblPos val="none"/>
        <c:crossAx val="39257600"/>
        <c:crosses val="autoZero"/>
        <c:auto val="1"/>
        <c:lblOffset val="100"/>
        <c:baseTimeUnit val="days"/>
      </c:dateAx>
      <c:valAx>
        <c:axId val="39257600"/>
        <c:scaling>
          <c:orientation val="minMax"/>
        </c:scaling>
        <c:axPos val="r"/>
        <c:numFmt formatCode="\$#,##0.00" sourceLinked="1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39256064"/>
        <c:crosses val="max"/>
        <c:crossBetween val="between"/>
      </c:valAx>
    </c:plotArea>
    <c:legend>
      <c:legendPos val="r"/>
    </c:legend>
    <c:plotVisOnly val="1"/>
    <c:dispBlanksAs val="gap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>
        <row r="4">
          <cell r="A4">
            <v>38986</v>
          </cell>
          <cell r="B4">
            <v>2499.25</v>
          </cell>
          <cell r="C4">
            <v>2538</v>
          </cell>
          <cell r="D4">
            <v>2511.5</v>
          </cell>
          <cell r="E4">
            <v>2527.25</v>
          </cell>
          <cell r="F4">
            <v>2541.5</v>
          </cell>
          <cell r="G4">
            <v>2526</v>
          </cell>
          <cell r="H4">
            <v>2515</v>
          </cell>
          <cell r="I4">
            <v>2507</v>
          </cell>
          <cell r="J4">
            <v>2499</v>
          </cell>
          <cell r="K4">
            <v>2491</v>
          </cell>
          <cell r="L4">
            <v>2476</v>
          </cell>
          <cell r="M4">
            <v>2461.5</v>
          </cell>
          <cell r="N4">
            <v>2447</v>
          </cell>
          <cell r="O4">
            <v>2432.5</v>
          </cell>
          <cell r="P4">
            <v>2418</v>
          </cell>
          <cell r="Q4">
            <v>2403.5</v>
          </cell>
          <cell r="R4">
            <v>2389</v>
          </cell>
          <cell r="S4">
            <v>2374</v>
          </cell>
          <cell r="T4">
            <v>2359</v>
          </cell>
          <cell r="U4">
            <v>2344.5</v>
          </cell>
          <cell r="V4">
            <v>2330</v>
          </cell>
          <cell r="W4">
            <v>2316</v>
          </cell>
          <cell r="X4">
            <v>2302</v>
          </cell>
          <cell r="Y4">
            <v>2288</v>
          </cell>
          <cell r="Z4">
            <v>2274</v>
          </cell>
          <cell r="AA4">
            <v>2260</v>
          </cell>
          <cell r="AB4">
            <v>2246</v>
          </cell>
          <cell r="AC4">
            <v>2232.5</v>
          </cell>
          <cell r="AD4">
            <v>2219</v>
          </cell>
          <cell r="AE4">
            <v>2207</v>
          </cell>
          <cell r="AF4">
            <v>2195</v>
          </cell>
          <cell r="AG4">
            <v>2183</v>
          </cell>
          <cell r="AH4">
            <v>2171</v>
          </cell>
          <cell r="AI4">
            <v>2159.5</v>
          </cell>
          <cell r="AJ4">
            <v>2148</v>
          </cell>
          <cell r="AK4">
            <v>2136.5</v>
          </cell>
          <cell r="AL4">
            <v>2125</v>
          </cell>
          <cell r="AM4">
            <v>2113.5</v>
          </cell>
          <cell r="AN4">
            <v>2102</v>
          </cell>
          <cell r="AO4">
            <v>2090.5</v>
          </cell>
          <cell r="AP4">
            <v>2079</v>
          </cell>
          <cell r="AQ4">
            <v>2068</v>
          </cell>
          <cell r="AR4">
            <v>2057</v>
          </cell>
          <cell r="AS4">
            <v>2046</v>
          </cell>
          <cell r="AT4">
            <v>2035</v>
          </cell>
          <cell r="AU4">
            <v>2024</v>
          </cell>
          <cell r="AV4">
            <v>2013</v>
          </cell>
          <cell r="AW4">
            <v>2002</v>
          </cell>
          <cell r="AX4">
            <v>1991</v>
          </cell>
          <cell r="AY4">
            <v>1980.5</v>
          </cell>
          <cell r="AZ4">
            <v>1970</v>
          </cell>
          <cell r="BA4">
            <v>1959.5</v>
          </cell>
          <cell r="BB4">
            <v>1949</v>
          </cell>
          <cell r="BC4">
            <v>1941</v>
          </cell>
          <cell r="BD4">
            <v>1933</v>
          </cell>
          <cell r="BE4">
            <v>1925</v>
          </cell>
          <cell r="BF4">
            <v>1917</v>
          </cell>
          <cell r="BG4">
            <v>1909</v>
          </cell>
          <cell r="BH4">
            <v>1901</v>
          </cell>
          <cell r="BI4">
            <v>1893</v>
          </cell>
          <cell r="BJ4">
            <v>1885</v>
          </cell>
          <cell r="BK4">
            <v>1877.5</v>
          </cell>
          <cell r="BL4">
            <v>1870</v>
          </cell>
          <cell r="BM4">
            <v>1862.5</v>
          </cell>
          <cell r="BN4">
            <v>1855</v>
          </cell>
        </row>
        <row r="9">
          <cell r="A9">
            <v>38986</v>
          </cell>
          <cell r="B9">
            <v>7708</v>
          </cell>
          <cell r="C9">
            <v>7675</v>
          </cell>
          <cell r="D9">
            <v>7690</v>
          </cell>
          <cell r="E9">
            <v>7676</v>
          </cell>
          <cell r="F9">
            <v>7657</v>
          </cell>
          <cell r="G9">
            <v>7633</v>
          </cell>
          <cell r="H9">
            <v>7591</v>
          </cell>
          <cell r="I9">
            <v>7549</v>
          </cell>
          <cell r="J9">
            <v>7499</v>
          </cell>
          <cell r="K9">
            <v>7439</v>
          </cell>
          <cell r="L9">
            <v>7371</v>
          </cell>
          <cell r="M9">
            <v>7300</v>
          </cell>
          <cell r="N9">
            <v>7223</v>
          </cell>
          <cell r="O9">
            <v>7146</v>
          </cell>
          <cell r="P9">
            <v>7069</v>
          </cell>
          <cell r="Q9">
            <v>6992</v>
          </cell>
          <cell r="R9">
            <v>6915</v>
          </cell>
          <cell r="S9">
            <v>6839</v>
          </cell>
          <cell r="T9">
            <v>6763</v>
          </cell>
          <cell r="U9">
            <v>6688</v>
          </cell>
          <cell r="V9">
            <v>6613</v>
          </cell>
          <cell r="W9">
            <v>6541</v>
          </cell>
          <cell r="X9">
            <v>6471</v>
          </cell>
          <cell r="Y9">
            <v>6404</v>
          </cell>
          <cell r="Z9">
            <v>6337</v>
          </cell>
          <cell r="AA9">
            <v>6270</v>
          </cell>
          <cell r="AB9">
            <v>6203</v>
          </cell>
          <cell r="AC9">
            <v>6136</v>
          </cell>
          <cell r="AD9">
            <v>6070</v>
          </cell>
          <cell r="AE9">
            <v>6012</v>
          </cell>
          <cell r="AF9">
            <v>5954</v>
          </cell>
          <cell r="AG9">
            <v>5896</v>
          </cell>
          <cell r="AH9">
            <v>5839</v>
          </cell>
          <cell r="AI9">
            <v>5782</v>
          </cell>
          <cell r="AJ9">
            <v>5725</v>
          </cell>
          <cell r="AK9">
            <v>5669</v>
          </cell>
          <cell r="AL9">
            <v>5616</v>
          </cell>
          <cell r="AM9">
            <v>5563</v>
          </cell>
          <cell r="AN9">
            <v>5510</v>
          </cell>
          <cell r="AO9">
            <v>5457</v>
          </cell>
          <cell r="AP9">
            <v>5404</v>
          </cell>
          <cell r="AQ9">
            <v>5357</v>
          </cell>
          <cell r="AR9">
            <v>5311</v>
          </cell>
          <cell r="AS9">
            <v>5265</v>
          </cell>
          <cell r="AT9">
            <v>5219</v>
          </cell>
          <cell r="AU9">
            <v>5173</v>
          </cell>
          <cell r="AV9">
            <v>5127</v>
          </cell>
          <cell r="AW9">
            <v>5081</v>
          </cell>
          <cell r="AX9">
            <v>5038</v>
          </cell>
          <cell r="AY9">
            <v>4995</v>
          </cell>
          <cell r="AZ9">
            <v>4952</v>
          </cell>
          <cell r="BA9">
            <v>4909</v>
          </cell>
          <cell r="BB9">
            <v>4866</v>
          </cell>
          <cell r="BC9">
            <v>4823</v>
          </cell>
          <cell r="BD9">
            <v>4780</v>
          </cell>
          <cell r="BE9">
            <v>4737</v>
          </cell>
          <cell r="BF9">
            <v>4694</v>
          </cell>
          <cell r="BG9">
            <v>4651</v>
          </cell>
          <cell r="BH9">
            <v>4609</v>
          </cell>
          <cell r="BI9">
            <v>4567</v>
          </cell>
          <cell r="BJ9">
            <v>4527</v>
          </cell>
          <cell r="BK9">
            <v>4487</v>
          </cell>
          <cell r="BL9">
            <v>4447</v>
          </cell>
          <cell r="BM9">
            <v>4408</v>
          </cell>
          <cell r="BN9">
            <v>4369</v>
          </cell>
        </row>
        <row r="14">
          <cell r="A14">
            <v>38986</v>
          </cell>
          <cell r="B14">
            <v>29775</v>
          </cell>
          <cell r="C14">
            <v>27600</v>
          </cell>
          <cell r="D14">
            <v>29350</v>
          </cell>
          <cell r="E14">
            <v>28450</v>
          </cell>
          <cell r="F14">
            <v>27825</v>
          </cell>
          <cell r="G14">
            <v>27125</v>
          </cell>
          <cell r="H14">
            <v>26555</v>
          </cell>
          <cell r="I14">
            <v>26015</v>
          </cell>
          <cell r="J14">
            <v>25490</v>
          </cell>
          <cell r="K14">
            <v>25050</v>
          </cell>
          <cell r="L14">
            <v>24620</v>
          </cell>
          <cell r="M14">
            <v>24220</v>
          </cell>
          <cell r="N14">
            <v>23835</v>
          </cell>
          <cell r="O14">
            <v>23550</v>
          </cell>
          <cell r="P14">
            <v>23265</v>
          </cell>
          <cell r="Q14">
            <v>22980</v>
          </cell>
          <cell r="R14">
            <v>22700</v>
          </cell>
          <cell r="S14">
            <v>22460</v>
          </cell>
          <cell r="T14">
            <v>22220</v>
          </cell>
          <cell r="U14">
            <v>21980</v>
          </cell>
          <cell r="V14">
            <v>21740</v>
          </cell>
          <cell r="W14">
            <v>21500</v>
          </cell>
          <cell r="X14">
            <v>21260</v>
          </cell>
          <cell r="Y14">
            <v>21025</v>
          </cell>
          <cell r="Z14">
            <v>20790</v>
          </cell>
          <cell r="AA14">
            <v>20555</v>
          </cell>
          <cell r="AB14">
            <v>20320</v>
          </cell>
          <cell r="AC14">
            <v>20085</v>
          </cell>
          <cell r="AD14">
            <v>19850</v>
          </cell>
        </row>
        <row r="19">
          <cell r="A19">
            <v>38986</v>
          </cell>
          <cell r="B19">
            <v>1398</v>
          </cell>
          <cell r="C19">
            <v>1388</v>
          </cell>
          <cell r="D19">
            <v>1403</v>
          </cell>
          <cell r="E19">
            <v>1392</v>
          </cell>
          <cell r="F19">
            <v>1381</v>
          </cell>
          <cell r="G19">
            <v>1370</v>
          </cell>
          <cell r="H19">
            <v>1363</v>
          </cell>
          <cell r="I19">
            <v>1355</v>
          </cell>
          <cell r="J19">
            <v>1345</v>
          </cell>
          <cell r="K19">
            <v>1335</v>
          </cell>
          <cell r="L19">
            <v>1325</v>
          </cell>
          <cell r="M19">
            <v>1312</v>
          </cell>
          <cell r="N19">
            <v>1299</v>
          </cell>
          <cell r="O19">
            <v>1286</v>
          </cell>
          <cell r="P19">
            <v>1273</v>
          </cell>
          <cell r="Q19">
            <v>1260</v>
          </cell>
          <cell r="R19">
            <v>1248</v>
          </cell>
        </row>
        <row r="24">
          <cell r="A24">
            <v>38986</v>
          </cell>
          <cell r="B24">
            <v>9055</v>
          </cell>
          <cell r="C24">
            <v>9100</v>
          </cell>
          <cell r="D24">
            <v>9025</v>
          </cell>
          <cell r="E24">
            <v>9035</v>
          </cell>
          <cell r="F24">
            <v>9025</v>
          </cell>
          <cell r="G24">
            <v>9035</v>
          </cell>
          <cell r="H24">
            <v>9035</v>
          </cell>
          <cell r="I24">
            <v>9035</v>
          </cell>
          <cell r="J24">
            <v>9035</v>
          </cell>
          <cell r="K24">
            <v>9035</v>
          </cell>
          <cell r="L24">
            <v>9035</v>
          </cell>
          <cell r="M24">
            <v>9035</v>
          </cell>
          <cell r="N24">
            <v>9035</v>
          </cell>
          <cell r="O24">
            <v>9035</v>
          </cell>
          <cell r="P24">
            <v>9035</v>
          </cell>
          <cell r="Q24">
            <v>9035</v>
          </cell>
          <cell r="R24">
            <v>9035</v>
          </cell>
        </row>
        <row r="27">
          <cell r="B27" t="str">
            <v>MZN0</v>
          </cell>
          <cell r="E27" t="str">
            <v>MZNX6</v>
          </cell>
          <cell r="N27" t="str">
            <v>MZNQ7</v>
          </cell>
        </row>
        <row r="28">
          <cell r="B28" t="str">
            <v>27 SEP 2006</v>
          </cell>
          <cell r="E28" t="str">
            <v>27 SEP 2006</v>
          </cell>
          <cell r="N28" t="str">
            <v>27 SEP 2006</v>
          </cell>
        </row>
        <row r="29">
          <cell r="A29">
            <v>38986</v>
          </cell>
          <cell r="B29">
            <v>3402</v>
          </cell>
          <cell r="C29">
            <v>3410</v>
          </cell>
          <cell r="D29">
            <v>3404.75</v>
          </cell>
          <cell r="E29">
            <v>3407.75</v>
          </cell>
          <cell r="F29">
            <v>3408.5</v>
          </cell>
          <cell r="G29">
            <v>3406.5</v>
          </cell>
          <cell r="H29">
            <v>3395</v>
          </cell>
          <cell r="I29">
            <v>3374</v>
          </cell>
          <cell r="J29">
            <v>3344</v>
          </cell>
          <cell r="K29">
            <v>3309</v>
          </cell>
          <cell r="L29">
            <v>3274</v>
          </cell>
          <cell r="M29">
            <v>3233</v>
          </cell>
          <cell r="N29">
            <v>3189.5</v>
          </cell>
          <cell r="O29">
            <v>3146</v>
          </cell>
          <cell r="P29">
            <v>3098.5</v>
          </cell>
          <cell r="Q29">
            <v>3051</v>
          </cell>
          <cell r="R29">
            <v>3003</v>
          </cell>
          <cell r="S29">
            <v>2961</v>
          </cell>
          <cell r="T29">
            <v>2919</v>
          </cell>
          <cell r="U29">
            <v>2877</v>
          </cell>
          <cell r="V29">
            <v>2835</v>
          </cell>
          <cell r="W29">
            <v>2794</v>
          </cell>
          <cell r="X29">
            <v>2753</v>
          </cell>
          <cell r="Y29">
            <v>2712</v>
          </cell>
          <cell r="Z29">
            <v>2671</v>
          </cell>
          <cell r="AA29">
            <v>2630</v>
          </cell>
          <cell r="AB29">
            <v>2589</v>
          </cell>
          <cell r="AC29">
            <v>2548.5</v>
          </cell>
          <cell r="AD29">
            <v>2508</v>
          </cell>
        </row>
      </sheetData>
      <sheetData sheetId="2">
        <row r="3">
          <cell r="A3" t="str">
            <v>Date</v>
          </cell>
        </row>
      </sheetData>
      <sheetData sheetId="3">
        <row r="3">
          <cell r="A3" t="str">
            <v>Date</v>
          </cell>
        </row>
      </sheetData>
      <sheetData sheetId="4">
        <row r="3">
          <cell r="A3" t="str">
            <v>Date</v>
          </cell>
        </row>
      </sheetData>
      <sheetData sheetId="5">
        <row r="3">
          <cell r="A3" t="str">
            <v>Date</v>
          </cell>
        </row>
      </sheetData>
      <sheetData sheetId="6">
        <row r="3">
          <cell r="A3" t="str">
            <v>Date</v>
          </cell>
        </row>
      </sheetData>
      <sheetData sheetId="7">
        <row r="3">
          <cell r="A3" t="str">
            <v>Date</v>
          </cell>
        </row>
      </sheetData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>
        <row r="365">
          <cell r="BS365" t="str">
            <v>Tin</v>
          </cell>
        </row>
        <row r="366">
          <cell r="BS366">
            <v>1.5483996086440159</v>
          </cell>
        </row>
        <row r="367">
          <cell r="BS367">
            <v>1.6298264598760981</v>
          </cell>
        </row>
        <row r="368">
          <cell r="BS368">
            <v>1.6798584496921944</v>
          </cell>
        </row>
        <row r="369">
          <cell r="BS369">
            <v>1.5930647322681732</v>
          </cell>
        </row>
        <row r="370">
          <cell r="BS370">
            <v>1.5634229165608682</v>
          </cell>
        </row>
        <row r="371">
          <cell r="BS371">
            <v>1.5354427400820896</v>
          </cell>
        </row>
        <row r="372">
          <cell r="BS372">
            <v>1.5252509175448421</v>
          </cell>
        </row>
        <row r="373">
          <cell r="BS373">
            <v>1.5326450488859265</v>
          </cell>
        </row>
        <row r="374">
          <cell r="BS374">
            <v>1.6215639669735449</v>
          </cell>
        </row>
        <row r="375">
          <cell r="BS375">
            <v>1.5151635595563433</v>
          </cell>
        </row>
        <row r="376">
          <cell r="BS376">
            <v>1.3542914190012469</v>
          </cell>
        </row>
        <row r="377">
          <cell r="BS377">
            <v>1.199840583677017</v>
          </cell>
        </row>
        <row r="378">
          <cell r="BS378">
            <v>1.1536476660274171</v>
          </cell>
        </row>
        <row r="379">
          <cell r="BS379">
            <v>1.068616787863522</v>
          </cell>
        </row>
        <row r="380">
          <cell r="BS380">
            <v>1.0492255560021349</v>
          </cell>
        </row>
        <row r="381">
          <cell r="BS381">
            <v>1.0161364101861392</v>
          </cell>
        </row>
        <row r="382">
          <cell r="BS382">
            <v>0.92394318139869447</v>
          </cell>
        </row>
        <row r="383">
          <cell r="BS383">
            <v>0.88199413604199117</v>
          </cell>
        </row>
        <row r="384">
          <cell r="BS384">
            <v>1.0055495810739377</v>
          </cell>
        </row>
        <row r="385">
          <cell r="BS385">
            <v>1.1942223496646527</v>
          </cell>
        </row>
        <row r="386">
          <cell r="BS386">
            <v>1.2164504469279827</v>
          </cell>
        </row>
        <row r="387">
          <cell r="BS387">
            <v>1.2551610912734916</v>
          </cell>
        </row>
        <row r="388">
          <cell r="BS388">
            <v>1.3208888795390066</v>
          </cell>
        </row>
        <row r="389">
          <cell r="BS389">
            <v>1.3146895614742298</v>
          </cell>
        </row>
        <row r="390">
          <cell r="BS390">
            <v>1.3724878375863261</v>
          </cell>
        </row>
        <row r="391">
          <cell r="BS391">
            <v>1.3265136425856681</v>
          </cell>
        </row>
        <row r="392">
          <cell r="BS392">
            <v>0.94849235035452417</v>
          </cell>
        </row>
        <row r="393">
          <cell r="BS393">
            <v>0.90601118870263431</v>
          </cell>
        </row>
        <row r="394">
          <cell r="BS394">
            <v>0.8942360753484222</v>
          </cell>
        </row>
        <row r="395">
          <cell r="BS395">
            <v>0.63745242097387433</v>
          </cell>
        </row>
        <row r="396">
          <cell r="BS396">
            <v>0.71900005934044664</v>
          </cell>
        </row>
        <row r="397">
          <cell r="BS397">
            <v>0.85083431986068914</v>
          </cell>
        </row>
        <row r="398">
          <cell r="BS398">
            <v>0.88844482192719343</v>
          </cell>
        </row>
        <row r="399">
          <cell r="BS399">
            <v>0.86077477457751117</v>
          </cell>
        </row>
        <row r="400">
          <cell r="BS400">
            <v>0.78895539731311559</v>
          </cell>
        </row>
        <row r="401">
          <cell r="BS401">
            <v>0.79647684482298642</v>
          </cell>
        </row>
        <row r="402">
          <cell r="BS402">
            <v>0.80667846091167883</v>
          </cell>
        </row>
        <row r="403">
          <cell r="BS403">
            <v>0.9604274250490068</v>
          </cell>
        </row>
        <row r="404">
          <cell r="BS404">
            <v>1.0228776380975466</v>
          </cell>
        </row>
        <row r="405">
          <cell r="BS405">
            <v>1.0692370461217138</v>
          </cell>
        </row>
        <row r="406">
          <cell r="BS406">
            <v>1.0254011098532456</v>
          </cell>
        </row>
        <row r="407">
          <cell r="BS407">
            <v>1.004116458045798</v>
          </cell>
        </row>
        <row r="408">
          <cell r="BS408">
            <v>0.99086578294051741</v>
          </cell>
        </row>
        <row r="409">
          <cell r="BS409">
            <v>0.93827114716294147</v>
          </cell>
        </row>
        <row r="410">
          <cell r="BS410">
            <v>0.93787940510513557</v>
          </cell>
        </row>
        <row r="411">
          <cell r="BS411">
            <v>0.94565222043543207</v>
          </cell>
        </row>
        <row r="412">
          <cell r="BS412">
            <v>0.96627091074461036</v>
          </cell>
        </row>
        <row r="413">
          <cell r="BS413">
            <v>0.88735773771678184</v>
          </cell>
        </row>
        <row r="414">
          <cell r="BS414">
            <v>0.85766695425225126</v>
          </cell>
        </row>
        <row r="415">
          <cell r="BS415">
            <v>0.8764966891641166</v>
          </cell>
        </row>
        <row r="416">
          <cell r="BS416">
            <v>0.89891086390490438</v>
          </cell>
        </row>
        <row r="417">
          <cell r="BS417">
            <v>0.90709827291304568</v>
          </cell>
        </row>
        <row r="418">
          <cell r="BS418">
            <v>0.913007048951616</v>
          </cell>
        </row>
        <row r="419">
          <cell r="BS419">
            <v>0.92062316745879036</v>
          </cell>
        </row>
        <row r="420">
          <cell r="BS420">
            <v>0.87647710206122564</v>
          </cell>
        </row>
        <row r="421">
          <cell r="BS421">
            <v>0.84750451236933899</v>
          </cell>
        </row>
        <row r="422">
          <cell r="BS422">
            <v>0.81403994708127914</v>
          </cell>
        </row>
        <row r="423">
          <cell r="BS423">
            <v>0.76298616339773928</v>
          </cell>
        </row>
        <row r="424">
          <cell r="BS424">
            <v>0.80527798305502296</v>
          </cell>
        </row>
        <row r="425">
          <cell r="BS425">
            <v>0.76283926012606229</v>
          </cell>
        </row>
        <row r="426">
          <cell r="BS426">
            <v>0.65884153733006978</v>
          </cell>
        </row>
        <row r="427">
          <cell r="BS427">
            <v>0.64168976423247304</v>
          </cell>
        </row>
        <row r="428">
          <cell r="BS428">
            <v>0.71915675616356833</v>
          </cell>
        </row>
        <row r="429">
          <cell r="BS429">
            <v>0.79029058482680314</v>
          </cell>
        </row>
        <row r="430">
          <cell r="BS430">
            <v>0.78227945974467494</v>
          </cell>
        </row>
        <row r="431">
          <cell r="BS431">
            <v>0.82731347380659903</v>
          </cell>
        </row>
        <row r="432">
          <cell r="BS432">
            <v>0.89683136648138473</v>
          </cell>
        </row>
        <row r="433">
          <cell r="BS433">
            <v>0.89371701712182872</v>
          </cell>
        </row>
        <row r="434">
          <cell r="BS434">
            <v>0.82323282737112158</v>
          </cell>
        </row>
        <row r="435">
          <cell r="BS435">
            <v>0.75707738735916852</v>
          </cell>
        </row>
        <row r="436">
          <cell r="BS436">
            <v>0.46645701274164519</v>
          </cell>
        </row>
        <row r="437">
          <cell r="BS437">
            <v>0.34467093600412113</v>
          </cell>
        </row>
        <row r="438">
          <cell r="B438">
            <v>31413</v>
          </cell>
          <cell r="Z438">
            <v>81.881500000000003</v>
          </cell>
          <cell r="BS438">
            <v>0.20460682775280881</v>
          </cell>
        </row>
        <row r="439">
          <cell r="B439">
            <v>31444</v>
          </cell>
          <cell r="Z439">
            <v>82.065899999999999</v>
          </cell>
          <cell r="BS439">
            <v>0.41680044239761238</v>
          </cell>
        </row>
        <row r="440">
          <cell r="B440">
            <v>31472</v>
          </cell>
          <cell r="Z440">
            <v>82.262100000000004</v>
          </cell>
          <cell r="BS440">
            <v>4.1380970333729117E-2</v>
          </cell>
        </row>
        <row r="441">
          <cell r="B441">
            <v>31503</v>
          </cell>
          <cell r="Z441">
            <v>82.514600000000002</v>
          </cell>
          <cell r="BS441">
            <v>-0.11858036993696919</v>
          </cell>
        </row>
        <row r="442">
          <cell r="B442">
            <v>31533</v>
          </cell>
          <cell r="Z442">
            <v>82.6999</v>
          </cell>
          <cell r="BS442">
            <v>-0.16101909286592986</v>
          </cell>
        </row>
        <row r="443">
          <cell r="B443">
            <v>31564</v>
          </cell>
          <cell r="Z443">
            <v>82.8078</v>
          </cell>
          <cell r="BS443">
            <v>-0.16428361001431147</v>
          </cell>
        </row>
        <row r="444">
          <cell r="B444">
            <v>31594</v>
          </cell>
          <cell r="Z444">
            <v>82.949200000000005</v>
          </cell>
          <cell r="BS444">
            <v>-0.16754812716269296</v>
          </cell>
        </row>
        <row r="445">
          <cell r="B445">
            <v>31625</v>
          </cell>
          <cell r="Z445">
            <v>83.091899999999995</v>
          </cell>
          <cell r="BS445">
            <v>-0.16428361001431147</v>
          </cell>
        </row>
        <row r="446">
          <cell r="B446">
            <v>31656</v>
          </cell>
          <cell r="Z446">
            <v>83.364500000000007</v>
          </cell>
          <cell r="BS446">
            <v>-0.15775457571754825</v>
          </cell>
        </row>
        <row r="447">
          <cell r="B447">
            <v>31686</v>
          </cell>
          <cell r="Z447">
            <v>83.660799999999995</v>
          </cell>
          <cell r="BS447">
            <v>-0.12510940423373229</v>
          </cell>
        </row>
        <row r="448">
          <cell r="B448">
            <v>31717</v>
          </cell>
          <cell r="Z448">
            <v>84.136499999999998</v>
          </cell>
          <cell r="BS448">
            <v>-5.9819061266100371E-2</v>
          </cell>
        </row>
        <row r="449">
          <cell r="B449">
            <v>31747</v>
          </cell>
          <cell r="Z449">
            <v>84.378399999999999</v>
          </cell>
          <cell r="BS449">
            <v>-2.0644855485521196E-2</v>
          </cell>
        </row>
        <row r="450">
          <cell r="B450">
            <v>31778</v>
          </cell>
          <cell r="V450">
            <v>90.195999999999998</v>
          </cell>
          <cell r="W450">
            <v>6.516984332455511E-3</v>
          </cell>
          <cell r="X450">
            <v>59.9</v>
          </cell>
          <cell r="Y450">
            <v>1053.9892494516935</v>
          </cell>
          <cell r="Z450">
            <v>84.811400000000006</v>
          </cell>
          <cell r="BS450">
            <v>-0.22630943583356167</v>
          </cell>
        </row>
        <row r="451">
          <cell r="B451">
            <v>31809</v>
          </cell>
          <cell r="V451">
            <v>91.24</v>
          </cell>
          <cell r="W451">
            <v>2.5491165760015644E-2</v>
          </cell>
          <cell r="X451">
            <v>63.4</v>
          </cell>
          <cell r="Y451">
            <v>1115.5745979171513</v>
          </cell>
          <cell r="Z451">
            <v>85.271100000000004</v>
          </cell>
          <cell r="BS451">
            <v>3.1587418888584518E-2</v>
          </cell>
        </row>
        <row r="452">
          <cell r="B452">
            <v>31837</v>
          </cell>
          <cell r="V452">
            <v>91.582999999999998</v>
          </cell>
          <cell r="W452">
            <v>3.9817884554249838E-2</v>
          </cell>
          <cell r="X452">
            <v>67.2</v>
          </cell>
          <cell r="Y452">
            <v>1182.4386905367912</v>
          </cell>
          <cell r="Z452">
            <v>85.827100000000002</v>
          </cell>
          <cell r="BS452">
            <v>2.832290174020291E-2</v>
          </cell>
        </row>
        <row r="453">
          <cell r="B453">
            <v>31868</v>
          </cell>
          <cell r="V453">
            <v>91.957999999999998</v>
          </cell>
          <cell r="W453">
            <v>3.6158153894691791E-2</v>
          </cell>
          <cell r="X453">
            <v>68.099999999999994</v>
          </cell>
          <cell r="Y453">
            <v>1198.2749229993374</v>
          </cell>
          <cell r="Z453">
            <v>86.428200000000004</v>
          </cell>
          <cell r="BS453">
            <v>3.4851936036966125E-2</v>
          </cell>
        </row>
        <row r="454">
          <cell r="B454">
            <v>31898</v>
          </cell>
          <cell r="V454">
            <v>92.361000000000004</v>
          </cell>
          <cell r="W454">
            <v>4.3026052783141866E-2</v>
          </cell>
          <cell r="X454">
            <v>68.400000000000006</v>
          </cell>
          <cell r="Y454">
            <v>1203.5536671535197</v>
          </cell>
          <cell r="Z454">
            <v>87.083200000000005</v>
          </cell>
          <cell r="BS454">
            <v>4.1380970333729117E-2</v>
          </cell>
        </row>
        <row r="455">
          <cell r="B455">
            <v>31929</v>
          </cell>
          <cell r="V455">
            <v>93.159000000000006</v>
          </cell>
          <cell r="W455">
            <v>5.5661948848119591E-2</v>
          </cell>
          <cell r="X455">
            <v>72.5</v>
          </cell>
          <cell r="Y455">
            <v>1275.6965039273416</v>
          </cell>
          <cell r="Z455">
            <v>87.6905</v>
          </cell>
          <cell r="BS455">
            <v>2.5058384591821303E-2</v>
          </cell>
        </row>
        <row r="456">
          <cell r="B456">
            <v>31959</v>
          </cell>
          <cell r="V456">
            <v>93.721000000000004</v>
          </cell>
          <cell r="W456">
            <v>5.8587661237490707E-2</v>
          </cell>
          <cell r="X456">
            <v>79.3</v>
          </cell>
          <cell r="Y456">
            <v>1395.3480380888027</v>
          </cell>
          <cell r="Z456">
            <v>88.187700000000007</v>
          </cell>
          <cell r="BS456">
            <v>-1.0851304040376375E-2</v>
          </cell>
        </row>
        <row r="457">
          <cell r="B457">
            <v>31990</v>
          </cell>
          <cell r="V457">
            <v>93.828000000000003</v>
          </cell>
          <cell r="W457">
            <v>5.6823941520336207E-2</v>
          </cell>
          <cell r="X457">
            <v>82.5</v>
          </cell>
          <cell r="Y457">
            <v>1451.6546424000785</v>
          </cell>
          <cell r="Z457">
            <v>88.552700000000002</v>
          </cell>
          <cell r="BS457">
            <v>1.8529350295057867E-2</v>
          </cell>
        </row>
        <row r="458">
          <cell r="B458">
            <v>32021</v>
          </cell>
          <cell r="V458">
            <v>93.742999999999995</v>
          </cell>
          <cell r="W458">
            <v>5.6854565952649372E-2</v>
          </cell>
          <cell r="X458">
            <v>86.7</v>
          </cell>
          <cell r="Y458">
            <v>1525.5570605586281</v>
          </cell>
          <cell r="Z458">
            <v>88.557500000000005</v>
          </cell>
          <cell r="BS458">
            <v>3.1587418888584295E-2</v>
          </cell>
        </row>
        <row r="459">
          <cell r="B459">
            <v>32051</v>
          </cell>
          <cell r="V459">
            <v>95.013999999999996</v>
          </cell>
          <cell r="W459">
            <v>6.1620800232404793E-2</v>
          </cell>
          <cell r="X459">
            <v>87.5</v>
          </cell>
          <cell r="Y459">
            <v>1539.6337116364471</v>
          </cell>
          <cell r="Z459">
            <v>88.337199999999996</v>
          </cell>
          <cell r="BS459">
            <v>3.811645318534751E-2</v>
          </cell>
        </row>
        <row r="460">
          <cell r="B460">
            <v>32082</v>
          </cell>
          <cell r="V460">
            <v>95.29</v>
          </cell>
          <cell r="W460">
            <v>5.9460541237687847E-2</v>
          </cell>
          <cell r="X460">
            <v>93</v>
          </cell>
          <cell r="Y460">
            <v>1636.4106877964523</v>
          </cell>
          <cell r="Z460">
            <v>87.896500000000003</v>
          </cell>
          <cell r="BS460">
            <v>5.770355607563693E-2</v>
          </cell>
        </row>
        <row r="461">
          <cell r="B461">
            <v>32112</v>
          </cell>
          <cell r="V461">
            <v>95.855000000000004</v>
          </cell>
          <cell r="W461">
            <v>5.5997444145771791E-2</v>
          </cell>
          <cell r="X461">
            <v>109.7</v>
          </cell>
          <cell r="Y461">
            <v>1930.2607790459228</v>
          </cell>
          <cell r="Z461">
            <v>87.911699999999996</v>
          </cell>
          <cell r="BS461">
            <v>3.811645318534751E-2</v>
          </cell>
        </row>
        <row r="462">
          <cell r="B462">
            <v>32143</v>
          </cell>
          <cell r="V462">
            <v>95.926000000000002</v>
          </cell>
          <cell r="W462">
            <v>6.3528316111579164E-2</v>
          </cell>
          <cell r="X462">
            <v>99.7</v>
          </cell>
          <cell r="Y462">
            <v>1754.3026405731862</v>
          </cell>
          <cell r="Z462">
            <v>88.194900000000004</v>
          </cell>
          <cell r="BS462">
            <v>3.811645318534751E-2</v>
          </cell>
        </row>
        <row r="463">
          <cell r="B463">
            <v>32174</v>
          </cell>
          <cell r="V463">
            <v>96.242999999999995</v>
          </cell>
          <cell r="W463">
            <v>5.4833406400701445E-2</v>
          </cell>
          <cell r="X463">
            <v>104.1</v>
          </cell>
          <cell r="Y463">
            <v>1831.7242215011902</v>
          </cell>
          <cell r="Z463">
            <v>88.766000000000005</v>
          </cell>
          <cell r="BS463">
            <v>2.8322901740202688E-2</v>
          </cell>
        </row>
        <row r="464">
          <cell r="B464">
            <v>32203</v>
          </cell>
          <cell r="V464">
            <v>96.259</v>
          </cell>
          <cell r="W464">
            <v>5.1057510673378159E-2</v>
          </cell>
          <cell r="X464">
            <v>134.4</v>
          </cell>
          <cell r="Y464">
            <v>2364.8773810735829</v>
          </cell>
          <cell r="Z464">
            <v>89.2012</v>
          </cell>
          <cell r="BS464">
            <v>4.1380970333729117E-2</v>
          </cell>
        </row>
        <row r="465">
          <cell r="B465">
            <v>32234</v>
          </cell>
          <cell r="V465">
            <v>96.816000000000003</v>
          </cell>
          <cell r="W465">
            <v>5.2828465168881511E-2</v>
          </cell>
          <cell r="X465">
            <v>119.1</v>
          </cell>
          <cell r="Y465">
            <v>2095.6614292102954</v>
          </cell>
          <cell r="Z465">
            <v>89.619900000000001</v>
          </cell>
          <cell r="BS465">
            <v>4.1380970333729117E-2</v>
          </cell>
        </row>
        <row r="466">
          <cell r="B466">
            <v>32264</v>
          </cell>
          <cell r="V466">
            <v>96.891000000000005</v>
          </cell>
          <cell r="W466">
            <v>4.9046675544872853E-2</v>
          </cell>
          <cell r="X466">
            <v>146.1</v>
          </cell>
          <cell r="Y466">
            <v>2570.7484030866849</v>
          </cell>
          <cell r="Z466">
            <v>89.983000000000004</v>
          </cell>
          <cell r="BS466">
            <v>8.3819693262690009E-2</v>
          </cell>
        </row>
        <row r="467">
          <cell r="B467">
            <v>32295</v>
          </cell>
          <cell r="V467">
            <v>96.959999999999894</v>
          </cell>
          <cell r="W467">
            <v>4.0801210833090629E-2</v>
          </cell>
          <cell r="X467">
            <v>127.1</v>
          </cell>
          <cell r="Y467">
            <v>2236.4279399884849</v>
          </cell>
          <cell r="Z467">
            <v>90.510499999999894</v>
          </cell>
          <cell r="BS467">
            <v>8.0555176114308624E-2</v>
          </cell>
        </row>
        <row r="468">
          <cell r="B468">
            <v>32325</v>
          </cell>
          <cell r="V468">
            <v>97.593000000000004</v>
          </cell>
          <cell r="W468">
            <v>4.1314113165672683E-2</v>
          </cell>
          <cell r="X468">
            <v>124.2</v>
          </cell>
          <cell r="Y468">
            <v>2185.4000798313914</v>
          </cell>
          <cell r="Z468">
            <v>90.937600000000003</v>
          </cell>
          <cell r="BS468">
            <v>9.6877761856216438E-2</v>
          </cell>
        </row>
        <row r="469">
          <cell r="B469">
            <v>32356</v>
          </cell>
          <cell r="V469">
            <v>98.117000000000004</v>
          </cell>
          <cell r="W469">
            <v>4.5711301530459991E-2</v>
          </cell>
          <cell r="X469">
            <v>127.8</v>
          </cell>
          <cell r="Y469">
            <v>2248.7450096815764</v>
          </cell>
          <cell r="Z469">
            <v>91.247699999999995</v>
          </cell>
          <cell r="BS469">
            <v>0.11972938189488769</v>
          </cell>
        </row>
        <row r="470">
          <cell r="B470">
            <v>32387</v>
          </cell>
          <cell r="V470">
            <v>97.766000000000005</v>
          </cell>
          <cell r="W470">
            <v>4.2915204335257195E-2</v>
          </cell>
          <cell r="X470">
            <v>109.7</v>
          </cell>
          <cell r="Y470">
            <v>1930.2607790459226</v>
          </cell>
          <cell r="Z470">
            <v>91.575000000000003</v>
          </cell>
          <cell r="BS470">
            <v>0.1262584161916509</v>
          </cell>
        </row>
        <row r="471">
          <cell r="B471">
            <v>32417</v>
          </cell>
          <cell r="V471">
            <v>98.034999999999997</v>
          </cell>
          <cell r="W471">
            <v>3.1795314374723826E-2</v>
          </cell>
          <cell r="X471">
            <v>129.19999999999999</v>
          </cell>
          <cell r="Y471">
            <v>2273.379149067759</v>
          </cell>
          <cell r="Z471">
            <v>91.956699999999998</v>
          </cell>
          <cell r="BS471">
            <v>0.10667131330136148</v>
          </cell>
        </row>
        <row r="472">
          <cell r="B472">
            <v>32448</v>
          </cell>
          <cell r="V472">
            <v>98.771000000000001</v>
          </cell>
          <cell r="W472">
            <v>3.6530590827998699E-2</v>
          </cell>
          <cell r="X472">
            <v>131.9</v>
          </cell>
          <cell r="Y472">
            <v>2320.8878464553982</v>
          </cell>
          <cell r="Z472">
            <v>92.535300000000007</v>
          </cell>
          <cell r="BS472">
            <v>0.11646486474650608</v>
          </cell>
        </row>
        <row r="473">
          <cell r="B473">
            <v>32478</v>
          </cell>
          <cell r="V473">
            <v>99.275000000000006</v>
          </cell>
          <cell r="W473">
            <v>3.567888999008928E-2</v>
          </cell>
          <cell r="X473">
            <v>143.5</v>
          </cell>
          <cell r="Y473">
            <v>2524.9992870837727</v>
          </cell>
          <cell r="Z473">
            <v>92.946200000000005</v>
          </cell>
          <cell r="BS473">
            <v>0.11972938189488769</v>
          </cell>
        </row>
        <row r="474">
          <cell r="B474">
            <v>32509</v>
          </cell>
          <cell r="V474">
            <v>99.826999999999998</v>
          </cell>
          <cell r="W474">
            <v>4.0666763963888686E-2</v>
          </cell>
          <cell r="X474">
            <v>135.80000000000001</v>
          </cell>
          <cell r="Y474">
            <v>2389.5115204597655</v>
          </cell>
          <cell r="Z474">
            <v>93.248000000000005</v>
          </cell>
          <cell r="BS474">
            <v>0.12952293334003251</v>
          </cell>
        </row>
        <row r="475">
          <cell r="B475">
            <v>32540</v>
          </cell>
          <cell r="V475">
            <v>99.037999999999997</v>
          </cell>
          <cell r="W475">
            <v>2.9041073117005878E-2</v>
          </cell>
          <cell r="X475">
            <v>133.19999999999999</v>
          </cell>
          <cell r="Y475">
            <v>2343.7624044568533</v>
          </cell>
          <cell r="Z475">
            <v>93.214399999999998</v>
          </cell>
          <cell r="BS475">
            <v>0.18501972486251961</v>
          </cell>
        </row>
        <row r="476">
          <cell r="B476">
            <v>32568</v>
          </cell>
          <cell r="V476">
            <v>99.968000000000004</v>
          </cell>
          <cell r="W476">
            <v>3.8531461993164262E-2</v>
          </cell>
          <cell r="X476">
            <v>126.7</v>
          </cell>
          <cell r="Y476">
            <v>2229.3896144495748</v>
          </cell>
          <cell r="Z476">
            <v>92.993099999999998</v>
          </cell>
          <cell r="BS476">
            <v>0.33192299653969171</v>
          </cell>
        </row>
        <row r="477">
          <cell r="B477">
            <v>32599</v>
          </cell>
          <cell r="V477">
            <v>100.21299999999999</v>
          </cell>
          <cell r="W477">
            <v>3.5087175673442328E-2</v>
          </cell>
          <cell r="X477">
            <v>129</v>
          </cell>
          <cell r="Y477">
            <v>2269.8599862983042</v>
          </cell>
          <cell r="Z477">
            <v>92.803600000000003</v>
          </cell>
          <cell r="BS477">
            <v>0.53758757688773207</v>
          </cell>
        </row>
        <row r="478">
          <cell r="B478">
            <v>32629</v>
          </cell>
          <cell r="V478">
            <v>99.582999999999998</v>
          </cell>
          <cell r="W478">
            <v>2.7783798288798733E-2</v>
          </cell>
          <cell r="X478">
            <v>116.3</v>
          </cell>
          <cell r="Y478">
            <v>2046.3931504379286</v>
          </cell>
          <cell r="Z478">
            <v>92.967799999999997</v>
          </cell>
          <cell r="BS478">
            <v>0.5441166111844955</v>
          </cell>
        </row>
        <row r="479">
          <cell r="B479">
            <v>32660</v>
          </cell>
          <cell r="V479">
            <v>99.406999999999996</v>
          </cell>
          <cell r="W479">
            <v>2.5237211221123212E-2</v>
          </cell>
          <cell r="X479">
            <v>107.9</v>
          </cell>
          <cell r="Y479">
            <v>1898.5883141208299</v>
          </cell>
          <cell r="Z479">
            <v>93.035799999999995</v>
          </cell>
          <cell r="BS479">
            <v>0.52452950829420586</v>
          </cell>
        </row>
        <row r="480">
          <cell r="B480">
            <v>32690</v>
          </cell>
          <cell r="V480">
            <v>98.424000000000007</v>
          </cell>
          <cell r="W480">
            <v>8.5149549660323842E-3</v>
          </cell>
          <cell r="X480">
            <v>106.8</v>
          </cell>
          <cell r="Y480">
            <v>1879.2329188888286</v>
          </cell>
          <cell r="Z480">
            <v>93.1768</v>
          </cell>
          <cell r="BS480">
            <v>0.46576819962333715</v>
          </cell>
        </row>
        <row r="481">
          <cell r="B481">
            <v>32721</v>
          </cell>
          <cell r="V481">
            <v>98.823999999999998</v>
          </cell>
          <cell r="W481">
            <v>7.2056830110989178E-3</v>
          </cell>
          <cell r="X481">
            <v>118.4</v>
          </cell>
          <cell r="Y481">
            <v>2083.3443595172034</v>
          </cell>
          <cell r="Z481">
            <v>93.325599999999895</v>
          </cell>
          <cell r="BS481">
            <v>0.30907137650102046</v>
          </cell>
        </row>
        <row r="482">
          <cell r="B482">
            <v>32752</v>
          </cell>
          <cell r="V482">
            <v>98.623000000000005</v>
          </cell>
          <cell r="W482">
            <v>8.7658286111735872E-3</v>
          </cell>
          <cell r="X482">
            <v>106</v>
          </cell>
          <cell r="Y482">
            <v>1865.1562678110097</v>
          </cell>
          <cell r="Z482">
            <v>93.397599999999997</v>
          </cell>
          <cell r="BS482">
            <v>0.25031006783015175</v>
          </cell>
        </row>
        <row r="483">
          <cell r="B483">
            <v>32782</v>
          </cell>
          <cell r="V483">
            <v>98.171000000000006</v>
          </cell>
          <cell r="W483">
            <v>1.3872596521651293E-3</v>
          </cell>
          <cell r="X483">
            <v>105.4</v>
          </cell>
          <cell r="Y483">
            <v>1854.5987795026456</v>
          </cell>
          <cell r="Z483">
            <v>93.651899999999998</v>
          </cell>
          <cell r="BS483">
            <v>0.21440037919795429</v>
          </cell>
        </row>
        <row r="484">
          <cell r="B484">
            <v>32813</v>
          </cell>
          <cell r="V484">
            <v>98.56</v>
          </cell>
          <cell r="W484">
            <v>-2.1362545686486323E-3</v>
          </cell>
          <cell r="X484">
            <v>98.8</v>
          </cell>
          <cell r="Y484">
            <v>1738.4664081106393</v>
          </cell>
          <cell r="Z484">
            <v>93.712900000000005</v>
          </cell>
          <cell r="BS484">
            <v>4.1380970333729561E-2</v>
          </cell>
        </row>
        <row r="485">
          <cell r="B485">
            <v>32843</v>
          </cell>
          <cell r="V485">
            <v>99.031999999999996</v>
          </cell>
          <cell r="W485">
            <v>-2.4477461596575933E-3</v>
          </cell>
          <cell r="X485">
            <v>95.8</v>
          </cell>
          <cell r="Y485">
            <v>1685.6789665688184</v>
          </cell>
          <cell r="Z485">
            <v>93.683300000000003</v>
          </cell>
          <cell r="BS485">
            <v>3.4851936036966569E-2</v>
          </cell>
        </row>
        <row r="486">
          <cell r="B486">
            <v>32874</v>
          </cell>
          <cell r="V486">
            <v>98.572000000000003</v>
          </cell>
          <cell r="W486">
            <v>-1.2571749125987908E-2</v>
          </cell>
          <cell r="X486">
            <v>83.6</v>
          </cell>
          <cell r="Y486">
            <v>1471.0100376320793</v>
          </cell>
          <cell r="Z486">
            <v>93.535399999999996</v>
          </cell>
          <cell r="BS486">
            <v>2.2067645531504976E-3</v>
          </cell>
        </row>
        <row r="487">
          <cell r="B487">
            <v>32905</v>
          </cell>
          <cell r="V487">
            <v>99.081000000000003</v>
          </cell>
          <cell r="W487">
            <v>4.3417678062973586E-4</v>
          </cell>
          <cell r="X487">
            <v>82.173492932413225</v>
          </cell>
          <cell r="Y487">
            <v>1445.909484819002</v>
          </cell>
          <cell r="Z487">
            <v>93.315100000000001</v>
          </cell>
          <cell r="BS487">
            <v>-5.7080739805816738E-2</v>
          </cell>
        </row>
        <row r="488">
          <cell r="B488">
            <v>32933</v>
          </cell>
          <cell r="V488">
            <v>99.558999999999997</v>
          </cell>
          <cell r="W488">
            <v>-4.0913092189501787E-3</v>
          </cell>
          <cell r="X488">
            <v>93.105589105731539</v>
          </cell>
          <cell r="Y488">
            <v>1638.268614045204</v>
          </cell>
          <cell r="Z488">
            <v>93.0792</v>
          </cell>
          <cell r="BS488">
            <v>-3.2715740121027848E-2</v>
          </cell>
        </row>
        <row r="489">
          <cell r="B489">
            <v>32964</v>
          </cell>
          <cell r="V489">
            <v>98.959000000000003</v>
          </cell>
          <cell r="W489">
            <v>-1.251334657180192E-2</v>
          </cell>
          <cell r="X489">
            <v>91.997813532115558</v>
          </cell>
          <cell r="Y489">
            <v>1618.7764012673003</v>
          </cell>
          <cell r="Z489">
            <v>93.045199999999895</v>
          </cell>
          <cell r="BS489">
            <v>-1.7627930078466303E-2</v>
          </cell>
        </row>
        <row r="490">
          <cell r="B490">
            <v>32994</v>
          </cell>
          <cell r="V490">
            <v>99.349999999999895</v>
          </cell>
          <cell r="W490">
            <v>-2.3397567857977863E-3</v>
          </cell>
          <cell r="X490">
            <v>92.660088412975639</v>
          </cell>
          <cell r="Y490">
            <v>1630.4296667866397</v>
          </cell>
          <cell r="Z490">
            <v>93.048400000000001</v>
          </cell>
          <cell r="BS490">
            <v>-3.1570916264655802E-2</v>
          </cell>
        </row>
        <row r="491">
          <cell r="B491">
            <v>33025</v>
          </cell>
          <cell r="V491">
            <v>99.33</v>
          </cell>
          <cell r="W491">
            <v>-7.7459333849727585E-4</v>
          </cell>
          <cell r="X491">
            <v>90.924239476249937</v>
          </cell>
          <cell r="Y491">
            <v>1599.8859920290263</v>
          </cell>
          <cell r="Z491">
            <v>93.028700000000001</v>
          </cell>
          <cell r="BS491">
            <v>-7.0730214265532831E-2</v>
          </cell>
        </row>
        <row r="492">
          <cell r="B492">
            <v>33055</v>
          </cell>
          <cell r="V492">
            <v>99.284000000000006</v>
          </cell>
          <cell r="W492">
            <v>8.7377062505080705E-3</v>
          </cell>
          <cell r="X492">
            <v>94.196690495705468</v>
          </cell>
          <cell r="Y492">
            <v>1657.4674309916868</v>
          </cell>
          <cell r="Z492">
            <v>92.652900000000002</v>
          </cell>
          <cell r="BS492">
            <v>-9.4786505826455647E-2</v>
          </cell>
        </row>
        <row r="493">
          <cell r="B493">
            <v>33086</v>
          </cell>
          <cell r="V493">
            <v>99.477000000000004</v>
          </cell>
          <cell r="W493">
            <v>6.6077066299685683E-3</v>
          </cell>
          <cell r="X493">
            <v>103.51369328704614</v>
          </cell>
          <cell r="Y493">
            <v>1821.4076777226464</v>
          </cell>
          <cell r="Z493">
            <v>92.096100000000007</v>
          </cell>
          <cell r="BS493">
            <v>-9.5580354649149046E-2</v>
          </cell>
        </row>
        <row r="494">
          <cell r="B494">
            <v>33117</v>
          </cell>
          <cell r="V494">
            <v>99.613</v>
          </cell>
          <cell r="W494">
            <v>1.0038226377214077E-2</v>
          </cell>
          <cell r="X494">
            <v>110.34982979889139</v>
          </cell>
          <cell r="Y494">
            <v>1941.6950632196263</v>
          </cell>
          <cell r="Z494">
            <v>91.145399999999995</v>
          </cell>
          <cell r="BS494">
            <v>-0.11989334354900294</v>
          </cell>
        </row>
        <row r="495">
          <cell r="B495">
            <v>33147</v>
          </cell>
          <cell r="V495">
            <v>99.063999999999893</v>
          </cell>
          <cell r="W495">
            <v>9.0963726558748181E-3</v>
          </cell>
          <cell r="X495">
            <v>100.8891119595816</v>
          </cell>
          <cell r="Y495">
            <v>1775.2260332575499</v>
          </cell>
          <cell r="Z495">
            <v>90.454899999999995</v>
          </cell>
          <cell r="BS495">
            <v>-6.3420848538513264E-2</v>
          </cell>
        </row>
        <row r="496">
          <cell r="B496">
            <v>33178</v>
          </cell>
          <cell r="V496">
            <v>97.748000000000005</v>
          </cell>
          <cell r="W496">
            <v>-8.2386363636363091E-3</v>
          </cell>
          <cell r="X496">
            <v>90.140417880459381</v>
          </cell>
          <cell r="Y496">
            <v>1586.0940131400228</v>
          </cell>
          <cell r="Z496">
            <v>90.009100000000004</v>
          </cell>
          <cell r="BS496">
            <v>-7.6261085455497257E-2</v>
          </cell>
        </row>
        <row r="497">
          <cell r="B497">
            <v>33208</v>
          </cell>
          <cell r="V497">
            <v>97.171000000000006</v>
          </cell>
          <cell r="W497">
            <v>-1.8791905646659557E-2</v>
          </cell>
          <cell r="X497">
            <v>85.789906892633113</v>
          </cell>
          <cell r="Y497">
            <v>1509.543231657713</v>
          </cell>
          <cell r="Z497">
            <v>89.706699999999998</v>
          </cell>
          <cell r="BS497">
            <v>-0.14134380698820304</v>
          </cell>
        </row>
        <row r="498">
          <cell r="B498">
            <v>33239</v>
          </cell>
          <cell r="V498">
            <v>96.692999999999998</v>
          </cell>
          <cell r="W498">
            <v>-1.9062208335024144E-2</v>
          </cell>
          <cell r="X498">
            <v>85.297742853575897</v>
          </cell>
          <cell r="Y498">
            <v>1500.88320484414</v>
          </cell>
          <cell r="Z498">
            <v>89.625500000000002</v>
          </cell>
          <cell r="BS498">
            <v>-0.15400352188478716</v>
          </cell>
        </row>
        <row r="499">
          <cell r="B499">
            <v>33270</v>
          </cell>
          <cell r="V499">
            <v>95.929000000000002</v>
          </cell>
          <cell r="W499">
            <v>-3.1812355547481408E-2</v>
          </cell>
          <cell r="X499">
            <v>85.128310409565046</v>
          </cell>
          <cell r="Y499">
            <v>1497.9019030996365</v>
          </cell>
          <cell r="Z499">
            <v>89.728800000000007</v>
          </cell>
          <cell r="BS499">
            <v>-0.15857910225420824</v>
          </cell>
        </row>
        <row r="500">
          <cell r="B500">
            <v>33298</v>
          </cell>
          <cell r="V500">
            <v>95.046000000000006</v>
          </cell>
          <cell r="W500">
            <v>-4.532990488052302E-2</v>
          </cell>
          <cell r="X500">
            <v>84.624030854639912</v>
          </cell>
          <cell r="Y500">
            <v>1489.0286939241876</v>
          </cell>
          <cell r="Z500">
            <v>89.985600000000005</v>
          </cell>
          <cell r="BS500">
            <v>-0.16944182842887479</v>
          </cell>
        </row>
        <row r="501">
          <cell r="B501">
            <v>33329</v>
          </cell>
          <cell r="V501">
            <v>95.379000000000005</v>
          </cell>
          <cell r="W501">
            <v>-3.6176598389231929E-2</v>
          </cell>
          <cell r="X501">
            <v>83.549188404628595</v>
          </cell>
          <cell r="Y501">
            <v>1470.1159662586408</v>
          </cell>
          <cell r="Z501">
            <v>90.232299999999995</v>
          </cell>
          <cell r="BS501">
            <v>-0.16398268389156834</v>
          </cell>
        </row>
        <row r="502">
          <cell r="B502">
            <v>33359</v>
          </cell>
          <cell r="V502">
            <v>96.12</v>
          </cell>
          <cell r="W502">
            <v>-3.2511323603421127E-2</v>
          </cell>
          <cell r="X502">
            <v>77.850716294983201</v>
          </cell>
          <cell r="Y502">
            <v>1369.8467118034396</v>
          </cell>
          <cell r="Z502">
            <v>90.510099999999895</v>
          </cell>
          <cell r="BS502">
            <v>-0.1416069663777022</v>
          </cell>
        </row>
        <row r="503">
          <cell r="B503">
            <v>33390</v>
          </cell>
          <cell r="V503">
            <v>97.244</v>
          </cell>
          <cell r="W503">
            <v>-2.1000704721634955E-2</v>
          </cell>
          <cell r="X503">
            <v>75.869742080892621</v>
          </cell>
          <cell r="Y503">
            <v>1334.9898582960525</v>
          </cell>
          <cell r="Z503">
            <v>90.823499999999996</v>
          </cell>
          <cell r="BS503">
            <v>-0.14025625020352328</v>
          </cell>
        </row>
        <row r="504">
          <cell r="B504">
            <v>33420</v>
          </cell>
          <cell r="V504">
            <v>97.320999999999998</v>
          </cell>
          <cell r="W504">
            <v>-1.9771564401112052E-2</v>
          </cell>
          <cell r="X504">
            <v>76.903967043904061</v>
          </cell>
          <cell r="Y504">
            <v>1353.1878882214053</v>
          </cell>
          <cell r="Z504">
            <v>91.021699999999996</v>
          </cell>
          <cell r="BS504">
            <v>-0.14686245301498091</v>
          </cell>
        </row>
        <row r="505">
          <cell r="B505">
            <v>33451</v>
          </cell>
          <cell r="V505">
            <v>97.444999999999894</v>
          </cell>
          <cell r="W505">
            <v>-2.0426832333103273E-2</v>
          </cell>
          <cell r="X505">
            <v>75.316988429496107</v>
          </cell>
          <cell r="Y505">
            <v>1325.2637079426786</v>
          </cell>
          <cell r="Z505">
            <v>91.2119</v>
          </cell>
          <cell r="BS505">
            <v>-0.15102756644602</v>
          </cell>
        </row>
        <row r="506">
          <cell r="B506">
            <v>33482</v>
          </cell>
          <cell r="V506">
            <v>98.375</v>
          </cell>
          <cell r="W506">
            <v>-1.242809673436196E-2</v>
          </cell>
          <cell r="X506">
            <v>74.570178050780314</v>
          </cell>
          <cell r="Y506">
            <v>1312.1229715395834</v>
          </cell>
          <cell r="BS506">
            <v>-0.16134434231992378</v>
          </cell>
        </row>
        <row r="507">
          <cell r="B507">
            <v>33512</v>
          </cell>
          <cell r="V507">
            <v>98.28</v>
          </cell>
          <cell r="W507">
            <v>-7.914075749009708E-3</v>
          </cell>
          <cell r="X507">
            <v>73.109416500882091</v>
          </cell>
          <cell r="Y507">
            <v>1286.4196832323191</v>
          </cell>
          <cell r="BS507">
            <v>-0.16440567887180479</v>
          </cell>
        </row>
        <row r="508">
          <cell r="B508">
            <v>33543</v>
          </cell>
          <cell r="V508">
            <v>98.143000000000001</v>
          </cell>
          <cell r="W508">
            <v>4.0410033964888292E-3</v>
          </cell>
          <cell r="X508">
            <v>73.030544095025249</v>
          </cell>
          <cell r="Y508">
            <v>1285.0318590611755</v>
          </cell>
          <cell r="BS508">
            <v>-0.17141018896826332</v>
          </cell>
        </row>
        <row r="509">
          <cell r="B509">
            <v>33573</v>
          </cell>
          <cell r="V509">
            <v>97.51</v>
          </cell>
          <cell r="W509">
            <v>3.4886951868355887E-3</v>
          </cell>
          <cell r="X509">
            <v>70.53483493400735</v>
          </cell>
          <cell r="Y509">
            <v>1241.117825246969</v>
          </cell>
          <cell r="BS509">
            <v>-0.17041213212372675</v>
          </cell>
        </row>
        <row r="510">
          <cell r="B510">
            <v>33604</v>
          </cell>
          <cell r="V510">
            <v>97.507000000000005</v>
          </cell>
          <cell r="W510">
            <v>8.4183963678861051E-3</v>
          </cell>
          <cell r="X510">
            <v>71.874303181916773</v>
          </cell>
          <cell r="Y510">
            <v>1264.686859191517</v>
          </cell>
          <cell r="BS510">
            <v>-0.17541006600017617</v>
          </cell>
        </row>
        <row r="511">
          <cell r="B511">
            <v>33635</v>
          </cell>
          <cell r="V511">
            <v>98.033000000000001</v>
          </cell>
          <cell r="W511">
            <v>2.1932887864983375E-2</v>
          </cell>
          <cell r="X511">
            <v>75.106307997080023</v>
          </cell>
          <cell r="Y511">
            <v>1321.5566142726218</v>
          </cell>
          <cell r="BS511">
            <v>-0.15451404880007102</v>
          </cell>
        </row>
        <row r="512">
          <cell r="B512">
            <v>33664</v>
          </cell>
          <cell r="V512">
            <v>98.869</v>
          </cell>
          <cell r="W512">
            <v>4.0222629042779179E-2</v>
          </cell>
          <cell r="X512">
            <v>75.494215728464638</v>
          </cell>
          <cell r="Y512">
            <v>1328.3821665039839</v>
          </cell>
          <cell r="BS512">
            <v>-0.15205996097405494</v>
          </cell>
        </row>
        <row r="513">
          <cell r="B513">
            <v>33695</v>
          </cell>
          <cell r="V513">
            <v>99.581999999999894</v>
          </cell>
          <cell r="W513">
            <v>4.4066303903373738E-2</v>
          </cell>
          <cell r="X513">
            <v>76.698650336515541</v>
          </cell>
          <cell r="Y513">
            <v>1349.5751736584616</v>
          </cell>
          <cell r="BS513">
            <v>-0.12090960691253716</v>
          </cell>
        </row>
        <row r="514">
          <cell r="B514">
            <v>33725</v>
          </cell>
          <cell r="V514">
            <v>99.855000000000004</v>
          </cell>
          <cell r="W514">
            <v>3.8857677902621734E-2</v>
          </cell>
          <cell r="X514">
            <v>76.747480617544696</v>
          </cell>
          <cell r="Y514">
            <v>1350.4343821935606</v>
          </cell>
          <cell r="BS514">
            <v>-7.8421478031956093E-2</v>
          </cell>
        </row>
        <row r="515">
          <cell r="B515">
            <v>33756</v>
          </cell>
          <cell r="V515">
            <v>99.712999999999894</v>
          </cell>
          <cell r="W515">
            <v>2.5389741269383093E-2</v>
          </cell>
          <cell r="X515">
            <v>77.114095838187581</v>
          </cell>
          <cell r="Y515">
            <v>1356.8852753695701</v>
          </cell>
          <cell r="BS515">
            <v>-3.487047692374956E-3</v>
          </cell>
        </row>
        <row r="516">
          <cell r="B516">
            <v>33786</v>
          </cell>
          <cell r="V516">
            <v>100.627</v>
          </cell>
          <cell r="W516">
            <v>3.397005784979612E-2</v>
          </cell>
          <cell r="X516">
            <v>81.144192015244357</v>
          </cell>
          <cell r="Y516">
            <v>1427.7980974876702</v>
          </cell>
          <cell r="BS516">
            <v>5.2298982318550902E-2</v>
          </cell>
        </row>
        <row r="517">
          <cell r="B517">
            <v>33817</v>
          </cell>
          <cell r="V517">
            <v>100.29</v>
          </cell>
          <cell r="W517">
            <v>2.9195956693520708E-2</v>
          </cell>
          <cell r="X517">
            <v>80.698852115636726</v>
          </cell>
          <cell r="Y517">
            <v>1419.9619795154108</v>
          </cell>
          <cell r="BS517">
            <v>2.0795145347977773E-2</v>
          </cell>
        </row>
        <row r="518">
          <cell r="B518">
            <v>33848</v>
          </cell>
          <cell r="V518">
            <v>100.67700000000001</v>
          </cell>
          <cell r="W518">
            <v>2.3400254129606113E-2</v>
          </cell>
          <cell r="X518">
            <v>78.174293535136997</v>
          </cell>
          <cell r="Y518">
            <v>1375.5403166864</v>
          </cell>
          <cell r="BS518">
            <v>1.8108135041527973E-4</v>
          </cell>
        </row>
        <row r="519">
          <cell r="B519">
            <v>33878</v>
          </cell>
          <cell r="V519">
            <v>101.224</v>
          </cell>
          <cell r="W519">
            <v>2.9955229955229923E-2</v>
          </cell>
          <cell r="X519">
            <v>71.734571648668194</v>
          </cell>
          <cell r="Y519">
            <v>1262.2281691438809</v>
          </cell>
          <cell r="BS519">
            <v>-9.417743216076857E-2</v>
          </cell>
        </row>
        <row r="520">
          <cell r="B520">
            <v>33909</v>
          </cell>
          <cell r="V520">
            <v>101.79300000000001</v>
          </cell>
          <cell r="W520">
            <v>3.7190629999082958E-2</v>
          </cell>
          <cell r="X520">
            <v>68.407553584060892</v>
          </cell>
          <cell r="Y520">
            <v>1203.686578612534</v>
          </cell>
          <cell r="BS520">
            <v>-0.13835922525825928</v>
          </cell>
        </row>
        <row r="521">
          <cell r="B521">
            <v>33939</v>
          </cell>
          <cell r="V521">
            <v>101.83</v>
          </cell>
          <cell r="W521">
            <v>4.430314839503624E-2</v>
          </cell>
          <cell r="X521">
            <v>70.394024532304897</v>
          </cell>
          <cell r="Y521">
            <v>1238.6401516308529</v>
          </cell>
          <cell r="BS521">
            <v>-0.13310405033430417</v>
          </cell>
        </row>
        <row r="522">
          <cell r="B522">
            <v>33970</v>
          </cell>
          <cell r="V522">
            <v>102.18300000000001</v>
          </cell>
          <cell r="W522">
            <v>4.7955531397745776E-2</v>
          </cell>
          <cell r="X522">
            <v>71.269561205584168</v>
          </cell>
          <cell r="Y522">
            <v>1254.0459319503361</v>
          </cell>
          <cell r="BS522">
            <v>-0.1115825675983223</v>
          </cell>
        </row>
        <row r="523">
          <cell r="B523">
            <v>34001</v>
          </cell>
          <cell r="V523">
            <v>102.60299999999999</v>
          </cell>
          <cell r="W523">
            <v>4.6616955514979574E-2</v>
          </cell>
          <cell r="X523">
            <v>70.694480932813605</v>
          </cell>
          <cell r="Y523">
            <v>1243.9269265234259</v>
          </cell>
          <cell r="BS523">
            <v>-0.12813636860878097</v>
          </cell>
        </row>
        <row r="524">
          <cell r="B524">
            <v>34029</v>
          </cell>
          <cell r="V524">
            <v>102.76900000000001</v>
          </cell>
          <cell r="W524">
            <v>3.9446135795851101E-2</v>
          </cell>
          <cell r="X524">
            <v>68.333951454851416</v>
          </cell>
          <cell r="Y524">
            <v>1202.391489248201</v>
          </cell>
          <cell r="BS524">
            <v>-0.14794253968153914</v>
          </cell>
        </row>
        <row r="525">
          <cell r="B525">
            <v>34060</v>
          </cell>
          <cell r="V525">
            <v>103.11199999999999</v>
          </cell>
          <cell r="W525">
            <v>3.5448173364665436E-2</v>
          </cell>
          <cell r="X525">
            <v>65.009636280961971</v>
          </cell>
          <cell r="Y525">
            <v>1143.897458278775</v>
          </cell>
          <cell r="BS525">
            <v>-0.1582478756764637</v>
          </cell>
        </row>
        <row r="526">
          <cell r="B526">
            <v>34090</v>
          </cell>
          <cell r="V526">
            <v>102.69199999999999</v>
          </cell>
          <cell r="W526">
            <v>2.8411196234539915E-2</v>
          </cell>
          <cell r="X526">
            <v>63.027922342949203</v>
          </cell>
          <cell r="Y526">
            <v>1109.0275887269547</v>
          </cell>
          <cell r="BS526">
            <v>-0.17140264222463741</v>
          </cell>
        </row>
        <row r="527">
          <cell r="B527">
            <v>34121</v>
          </cell>
          <cell r="V527">
            <v>102.911</v>
          </cell>
          <cell r="W527">
            <v>3.2072046774243246E-2</v>
          </cell>
          <cell r="X527">
            <v>63.966061323584036</v>
          </cell>
          <cell r="Y527">
            <v>1125.5349075930762</v>
          </cell>
          <cell r="BS527">
            <v>-0.23024038296069282</v>
          </cell>
        </row>
        <row r="528">
          <cell r="B528">
            <v>34151</v>
          </cell>
          <cell r="V528">
            <v>103.154</v>
          </cell>
          <cell r="W528">
            <v>2.5112544346944654E-2</v>
          </cell>
          <cell r="X528">
            <v>64.888635284517449</v>
          </cell>
          <cell r="Y528">
            <v>1141.7683472700026</v>
          </cell>
          <cell r="BS528">
            <v>-0.25133212495673785</v>
          </cell>
        </row>
        <row r="529">
          <cell r="B529">
            <v>34182</v>
          </cell>
          <cell r="V529">
            <v>102.967</v>
          </cell>
          <cell r="W529">
            <v>2.6692591484694272E-2</v>
          </cell>
          <cell r="X529">
            <v>63.73520996220897</v>
          </cell>
          <cell r="Y529">
            <v>1121.472890011931</v>
          </cell>
          <cell r="BS529">
            <v>-0.27591862671245648</v>
          </cell>
        </row>
        <row r="530">
          <cell r="B530">
            <v>34213</v>
          </cell>
          <cell r="V530">
            <v>103.955</v>
          </cell>
          <cell r="W530">
            <v>3.255957169959367E-2</v>
          </cell>
          <cell r="X530">
            <v>60.682227051595916</v>
          </cell>
          <cell r="Y530">
            <v>1067.753171037876</v>
          </cell>
          <cell r="BS530">
            <v>-0.32346287143250507</v>
          </cell>
        </row>
        <row r="531">
          <cell r="B531">
            <v>34243</v>
          </cell>
          <cell r="V531">
            <v>104.39700000000001</v>
          </cell>
          <cell r="W531">
            <v>3.1346321030585544E-2</v>
          </cell>
          <cell r="X531">
            <v>57.877256611832095</v>
          </cell>
          <cell r="Y531">
            <v>1018.3974333326864</v>
          </cell>
          <cell r="BS531">
            <v>-0.29523300767444149</v>
          </cell>
        </row>
        <row r="532">
          <cell r="B532">
            <v>34274</v>
          </cell>
          <cell r="V532">
            <v>104.89700000000001</v>
          </cell>
          <cell r="W532">
            <v>3.0493255921330453E-2</v>
          </cell>
          <cell r="X532">
            <v>56.933808907857944</v>
          </cell>
          <cell r="Y532">
            <v>1001.7967031589195</v>
          </cell>
          <cell r="BS532">
            <v>-0.30128300906742345</v>
          </cell>
        </row>
        <row r="533">
          <cell r="B533">
            <v>34304</v>
          </cell>
          <cell r="V533">
            <v>105.708</v>
          </cell>
          <cell r="W533">
            <v>3.808307964254154E-2</v>
          </cell>
          <cell r="X533">
            <v>60.404474293477818</v>
          </cell>
          <cell r="Y533">
            <v>1062.8658852104631</v>
          </cell>
          <cell r="BS533">
            <v>-0.28065760437239406</v>
          </cell>
        </row>
        <row r="534">
          <cell r="BS534">
            <v>-0.25583174220605642</v>
          </cell>
        </row>
        <row r="535">
          <cell r="BS535">
            <v>-0.1804626400156466</v>
          </cell>
        </row>
        <row r="536">
          <cell r="BS536">
            <v>-0.18618415365749608</v>
          </cell>
        </row>
        <row r="537">
          <cell r="BS537">
            <v>-0.18913673507134099</v>
          </cell>
        </row>
        <row r="538">
          <cell r="BS538">
            <v>-0.17127110248323651</v>
          </cell>
        </row>
        <row r="539">
          <cell r="BS539">
            <v>-0.17055116372334556</v>
          </cell>
        </row>
        <row r="540">
          <cell r="BS540">
            <v>-0.20035308278546216</v>
          </cell>
        </row>
        <row r="541">
          <cell r="BS541">
            <v>-0.21216826460630533</v>
          </cell>
        </row>
        <row r="542">
          <cell r="BS542">
            <v>-0.19886282389130072</v>
          </cell>
        </row>
        <row r="543">
          <cell r="BS543">
            <v>-0.17591257621552647</v>
          </cell>
        </row>
        <row r="544">
          <cell r="BS544">
            <v>-7.2394494207033255E-2</v>
          </cell>
        </row>
        <row r="545">
          <cell r="BS545">
            <v>-0.10467197672628925</v>
          </cell>
        </row>
        <row r="546">
          <cell r="BS546">
            <v>-6.664365259206162E-2</v>
          </cell>
        </row>
        <row r="547">
          <cell r="BS547">
            <v>-0.17520065415556896</v>
          </cell>
        </row>
        <row r="548">
          <cell r="BS548">
            <v>-0.16706989264931493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>
        <row r="11">
          <cell r="D11">
            <v>2526</v>
          </cell>
        </row>
        <row r="12">
          <cell r="D12">
            <v>2243</v>
          </cell>
        </row>
        <row r="13">
          <cell r="D13">
            <v>2231.5</v>
          </cell>
        </row>
        <row r="14">
          <cell r="D14">
            <v>7946</v>
          </cell>
        </row>
        <row r="15">
          <cell r="D15">
            <v>1290</v>
          </cell>
        </row>
        <row r="16">
          <cell r="D16">
            <v>29425</v>
          </cell>
        </row>
        <row r="21">
          <cell r="D21">
            <v>2573</v>
          </cell>
        </row>
        <row r="22">
          <cell r="D22">
            <v>2270</v>
          </cell>
        </row>
        <row r="23">
          <cell r="D23">
            <v>2270</v>
          </cell>
        </row>
        <row r="24">
          <cell r="D24">
            <v>7920</v>
          </cell>
        </row>
        <row r="27">
          <cell r="E27">
            <v>411.86236176756086</v>
          </cell>
        </row>
        <row r="28">
          <cell r="E28">
            <v>164.20063321570157</v>
          </cell>
        </row>
        <row r="31">
          <cell r="E31">
            <v>629.75</v>
          </cell>
        </row>
        <row r="32">
          <cell r="E32">
            <v>13.15</v>
          </cell>
        </row>
        <row r="43">
          <cell r="D43">
            <v>38175</v>
          </cell>
        </row>
        <row r="44">
          <cell r="D44">
            <v>38965</v>
          </cell>
        </row>
        <row r="45">
          <cell r="D45">
            <v>714800</v>
          </cell>
        </row>
      </sheetData>
      <sheetData sheetId="5"/>
      <sheetData sheetId="6">
        <row r="3533">
          <cell r="B3533">
            <v>278.50220000000007</v>
          </cell>
          <cell r="C3533">
            <v>5.2192500000000024</v>
          </cell>
          <cell r="D3533">
            <v>375.9778</v>
          </cell>
          <cell r="E3533">
            <v>358</v>
          </cell>
        </row>
        <row r="3534">
          <cell r="B3534">
            <v>279.05595238095225</v>
          </cell>
          <cell r="C3534">
            <v>4.9525892857142884</v>
          </cell>
          <cell r="D3534">
            <v>544.68055555555554</v>
          </cell>
          <cell r="E3534">
            <v>678</v>
          </cell>
        </row>
        <row r="3535">
          <cell r="B3535">
            <v>271.01587301587307</v>
          </cell>
          <cell r="C3535">
            <v>4.3708908730158722</v>
          </cell>
          <cell r="D3535">
            <v>529.37857142857138</v>
          </cell>
          <cell r="E3535">
            <v>603</v>
          </cell>
        </row>
        <row r="3536">
          <cell r="B3536">
            <v>309.84384920634926</v>
          </cell>
          <cell r="C3536">
            <v>4.5979642857142871</v>
          </cell>
          <cell r="D3536">
            <v>539.71825396825398</v>
          </cell>
          <cell r="E3536">
            <v>336.58730158730157</v>
          </cell>
        </row>
      </sheetData>
      <sheetData sheetId="7" refreshError="1"/>
      <sheetData sheetId="8" refreshError="1"/>
      <sheetData sheetId="9">
        <row r="3">
          <cell r="B3" t="e">
            <v>#NAME?</v>
          </cell>
        </row>
        <row r="4">
          <cell r="B4" t="e">
            <v>#NAME?</v>
          </cell>
        </row>
        <row r="5">
          <cell r="B5" t="e">
            <v>#NAME?</v>
          </cell>
        </row>
        <row r="6">
          <cell r="B6" t="e">
            <v>#NAME?</v>
          </cell>
        </row>
        <row r="7">
          <cell r="B7" t="e">
            <v>#NAME?</v>
          </cell>
        </row>
        <row r="8">
          <cell r="B8" t="e">
            <v>#NAME?</v>
          </cell>
        </row>
        <row r="13">
          <cell r="B13" t="e">
            <v>#NAME?</v>
          </cell>
        </row>
        <row r="14">
          <cell r="B14" t="e">
            <v>#NAME?</v>
          </cell>
        </row>
        <row r="15">
          <cell r="B15" t="e">
            <v>#NAME?</v>
          </cell>
        </row>
        <row r="16">
          <cell r="B16" t="e">
            <v>#NAME?</v>
          </cell>
        </row>
        <row r="19">
          <cell r="B19" t="e">
            <v>#NAME?</v>
          </cell>
        </row>
        <row r="20">
          <cell r="B20" t="e">
            <v>#NAME?</v>
          </cell>
        </row>
        <row r="23">
          <cell r="B23" t="e">
            <v>#NAME?</v>
          </cell>
        </row>
        <row r="24">
          <cell r="B24" t="e">
            <v>#NAME?</v>
          </cell>
        </row>
        <row r="27">
          <cell r="B27" t="e">
            <v>#NAME?</v>
          </cell>
        </row>
        <row r="29">
          <cell r="B29" t="e">
            <v>#NAME?</v>
          </cell>
        </row>
        <row r="30">
          <cell r="B30" t="e">
            <v>#NAME?</v>
          </cell>
        </row>
        <row r="32">
          <cell r="B32">
            <v>931175</v>
          </cell>
        </row>
        <row r="33">
          <cell r="B33" t="e">
            <v>#NAME?</v>
          </cell>
        </row>
      </sheetData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13"/>
  </sheetPr>
  <dimension ref="A1:AI4395"/>
  <sheetViews>
    <sheetView tabSelected="1" zoomScaleNormal="100" workbookViewId="0">
      <pane xSplit="13" ySplit="2" topLeftCell="N4383" activePane="bottomRight" state="frozen"/>
      <selection pane="topRight" activeCell="I1" sqref="I1"/>
      <selection pane="bottomLeft" activeCell="A3" sqref="A3"/>
      <selection pane="bottomRight" activeCell="B4406" sqref="B4406"/>
    </sheetView>
  </sheetViews>
  <sheetFormatPr defaultRowHeight="15" customHeight="1"/>
  <cols>
    <col min="1" max="1" width="9.5546875" style="3" customWidth="1"/>
    <col min="2" max="2" width="9.6640625" style="4" customWidth="1"/>
    <col min="3" max="3" width="9.5546875" style="4" customWidth="1"/>
    <col min="4" max="4" width="9.33203125" style="5" customWidth="1"/>
    <col min="5" max="5" width="10.109375" style="5" customWidth="1"/>
    <col min="6" max="6" width="9.33203125" style="5" customWidth="1"/>
    <col min="7" max="7" width="9.77734375" style="5" customWidth="1"/>
    <col min="8" max="8" width="10.5546875" style="5" customWidth="1"/>
    <col min="9" max="9" width="6.88671875" style="5" customWidth="1"/>
    <col min="10" max="10" width="5.44140625" style="263" customWidth="1"/>
    <col min="11" max="11" width="8.77734375" style="24" customWidth="1"/>
    <col min="12" max="12" width="8.77734375" style="6" customWidth="1"/>
    <col min="13" max="13" width="9.109375" style="421" customWidth="1"/>
    <col min="14" max="14" width="8.88671875" style="421" customWidth="1"/>
    <col min="15" max="15" width="8.88671875" style="421" bestFit="1" customWidth="1"/>
    <col min="16" max="16" width="9.44140625" style="421" customWidth="1"/>
    <col min="17" max="17" width="10.6640625" style="28" customWidth="1"/>
    <col min="18" max="20" width="10.6640625" style="28" hidden="1" customWidth="1"/>
    <col min="21" max="21" width="4.77734375" style="29" customWidth="1"/>
    <col min="22" max="22" width="7.6640625" style="44" customWidth="1"/>
    <col min="23" max="23" width="8.88671875" style="741"/>
    <col min="24" max="24" width="2.21875" style="7" customWidth="1"/>
    <col min="25" max="25" width="9.109375" style="7" bestFit="1" customWidth="1"/>
    <col min="26" max="26" width="10.21875" style="7" bestFit="1" customWidth="1"/>
    <col min="27" max="254" width="8.88671875" style="7" customWidth="1"/>
    <col min="255" max="16384" width="8.88671875" style="7"/>
  </cols>
  <sheetData>
    <row r="1" spans="1:23" ht="15" customHeight="1">
      <c r="A1" s="1023" t="s">
        <v>3</v>
      </c>
      <c r="B1" s="1027" t="s">
        <v>2</v>
      </c>
      <c r="C1" s="1027"/>
      <c r="D1" s="1027"/>
      <c r="E1" s="1027"/>
      <c r="F1" s="1027"/>
      <c r="G1" s="1030" t="s">
        <v>104</v>
      </c>
      <c r="H1" s="1030"/>
      <c r="I1" s="1028" t="s">
        <v>105</v>
      </c>
      <c r="J1" s="1028"/>
      <c r="K1" s="1031" t="s">
        <v>6</v>
      </c>
      <c r="L1" s="1017" t="s">
        <v>109</v>
      </c>
      <c r="M1" s="1019" t="s">
        <v>187</v>
      </c>
      <c r="N1" s="1025" t="s">
        <v>78</v>
      </c>
      <c r="O1" s="1014" t="s">
        <v>79</v>
      </c>
      <c r="P1" s="1039" t="s">
        <v>11</v>
      </c>
      <c r="Q1" s="1039"/>
      <c r="R1" s="1039"/>
      <c r="S1" s="1039"/>
      <c r="T1" s="1039"/>
      <c r="U1" s="1039"/>
      <c r="V1" s="1037" t="s">
        <v>78</v>
      </c>
      <c r="W1" s="1035" t="s">
        <v>110</v>
      </c>
    </row>
    <row r="2" spans="1:23" ht="13.5" customHeight="1" thickBot="1">
      <c r="A2" s="1024"/>
      <c r="B2" s="295" t="s">
        <v>177</v>
      </c>
      <c r="C2" s="295" t="s">
        <v>69</v>
      </c>
      <c r="D2" s="250" t="s">
        <v>4</v>
      </c>
      <c r="E2" s="250" t="s">
        <v>108</v>
      </c>
      <c r="F2" s="250" t="s">
        <v>5</v>
      </c>
      <c r="G2" s="294" t="s">
        <v>100</v>
      </c>
      <c r="H2" s="294" t="s">
        <v>101</v>
      </c>
      <c r="I2" s="275" t="s">
        <v>106</v>
      </c>
      <c r="J2" s="276" t="s">
        <v>107</v>
      </c>
      <c r="K2" s="1032"/>
      <c r="L2" s="1018"/>
      <c r="M2" s="1020"/>
      <c r="N2" s="1026"/>
      <c r="O2" s="1015"/>
      <c r="P2" s="344" t="s">
        <v>179</v>
      </c>
      <c r="Q2" s="296" t="s">
        <v>7</v>
      </c>
      <c r="R2" s="296"/>
      <c r="S2" s="296"/>
      <c r="T2" s="296"/>
      <c r="U2" s="297" t="s">
        <v>111</v>
      </c>
      <c r="V2" s="1038"/>
      <c r="W2" s="1036"/>
    </row>
    <row r="3" spans="1:23" ht="15" customHeight="1">
      <c r="A3" s="8">
        <v>35800</v>
      </c>
      <c r="B3" s="9"/>
      <c r="C3" s="9"/>
      <c r="D3" s="10"/>
      <c r="E3" s="10"/>
      <c r="F3" s="10">
        <v>111300</v>
      </c>
      <c r="G3" s="10"/>
      <c r="H3" s="10"/>
      <c r="I3" s="10"/>
      <c r="J3" s="265"/>
      <c r="K3" s="23">
        <v>565</v>
      </c>
      <c r="L3" s="11">
        <v>565.5</v>
      </c>
      <c r="M3" s="270"/>
      <c r="N3" s="7"/>
      <c r="O3" s="277"/>
      <c r="P3" s="345"/>
      <c r="V3" s="383"/>
    </row>
    <row r="4" spans="1:23" ht="15" customHeight="1">
      <c r="A4" s="8">
        <v>35801</v>
      </c>
      <c r="B4" s="9"/>
      <c r="C4" s="9"/>
      <c r="D4" s="10"/>
      <c r="E4" s="10"/>
      <c r="F4" s="10">
        <v>111425</v>
      </c>
      <c r="G4" s="10"/>
      <c r="H4" s="10"/>
      <c r="I4" s="10"/>
      <c r="J4" s="265"/>
      <c r="K4" s="23">
        <v>545</v>
      </c>
      <c r="L4" s="11">
        <v>555</v>
      </c>
      <c r="M4" s="270">
        <f>L4-K4</f>
        <v>10</v>
      </c>
      <c r="N4" s="7"/>
      <c r="O4" s="277"/>
      <c r="P4" s="345"/>
      <c r="V4" s="383"/>
    </row>
    <row r="5" spans="1:23" ht="15" customHeight="1">
      <c r="A5" s="8">
        <v>35802</v>
      </c>
      <c r="B5" s="9"/>
      <c r="C5" s="9"/>
      <c r="D5" s="10"/>
      <c r="E5" s="10"/>
      <c r="F5" s="10">
        <v>111325</v>
      </c>
      <c r="G5" s="10"/>
      <c r="H5" s="10"/>
      <c r="I5" s="10"/>
      <c r="J5" s="265"/>
      <c r="K5" s="23">
        <v>549</v>
      </c>
      <c r="L5" s="11">
        <v>555</v>
      </c>
      <c r="M5" s="270">
        <f t="shared" ref="M5:M68" si="0">+K5-K4</f>
        <v>4</v>
      </c>
      <c r="N5" s="7"/>
      <c r="O5" s="277"/>
      <c r="P5" s="345"/>
      <c r="V5" s="383"/>
    </row>
    <row r="6" spans="1:23" ht="15" customHeight="1">
      <c r="A6" s="8">
        <v>35803</v>
      </c>
      <c r="B6" s="9"/>
      <c r="C6" s="9"/>
      <c r="D6" s="10"/>
      <c r="E6" s="10"/>
      <c r="F6" s="10">
        <v>111350</v>
      </c>
      <c r="G6" s="10"/>
      <c r="H6" s="10"/>
      <c r="I6" s="10"/>
      <c r="J6" s="265"/>
      <c r="K6" s="23">
        <v>571</v>
      </c>
      <c r="L6" s="11">
        <v>573.5</v>
      </c>
      <c r="M6" s="270">
        <f t="shared" si="0"/>
        <v>22</v>
      </c>
      <c r="N6" s="7"/>
      <c r="O6" s="277"/>
      <c r="P6" s="345"/>
      <c r="V6" s="383"/>
    </row>
    <row r="7" spans="1:23" ht="15" customHeight="1">
      <c r="A7" s="8">
        <v>35804</v>
      </c>
      <c r="B7" s="9"/>
      <c r="C7" s="9"/>
      <c r="D7" s="10"/>
      <c r="E7" s="10"/>
      <c r="F7" s="10">
        <v>111325</v>
      </c>
      <c r="G7" s="10"/>
      <c r="H7" s="10"/>
      <c r="I7" s="10"/>
      <c r="J7" s="265"/>
      <c r="K7" s="23">
        <v>580</v>
      </c>
      <c r="L7" s="11">
        <v>582</v>
      </c>
      <c r="M7" s="270">
        <f t="shared" si="0"/>
        <v>9</v>
      </c>
      <c r="N7" s="7"/>
      <c r="O7" s="277"/>
      <c r="P7" s="345"/>
      <c r="V7" s="383"/>
    </row>
    <row r="8" spans="1:23" ht="15" customHeight="1">
      <c r="A8" s="8">
        <v>35807</v>
      </c>
      <c r="B8" s="9"/>
      <c r="C8" s="9"/>
      <c r="D8" s="10"/>
      <c r="E8" s="10"/>
      <c r="F8" s="10">
        <v>111075</v>
      </c>
      <c r="G8" s="10"/>
      <c r="H8" s="10"/>
      <c r="I8" s="10"/>
      <c r="J8" s="265"/>
      <c r="K8" s="23">
        <v>548</v>
      </c>
      <c r="L8" s="11">
        <v>554</v>
      </c>
      <c r="M8" s="270">
        <f t="shared" si="0"/>
        <v>-32</v>
      </c>
      <c r="N8" s="7"/>
      <c r="O8" s="277"/>
      <c r="P8" s="345"/>
      <c r="V8" s="383"/>
    </row>
    <row r="9" spans="1:23" ht="15" customHeight="1">
      <c r="A9" s="8">
        <v>35808</v>
      </c>
      <c r="B9" s="9"/>
      <c r="C9" s="9"/>
      <c r="D9" s="10"/>
      <c r="E9" s="10"/>
      <c r="F9" s="10">
        <v>112025</v>
      </c>
      <c r="G9" s="10"/>
      <c r="H9" s="10"/>
      <c r="I9" s="10"/>
      <c r="J9" s="265"/>
      <c r="K9" s="23">
        <v>543</v>
      </c>
      <c r="L9" s="11">
        <v>548</v>
      </c>
      <c r="M9" s="270">
        <f t="shared" si="0"/>
        <v>-5</v>
      </c>
      <c r="N9" s="7"/>
      <c r="O9" s="277"/>
      <c r="P9" s="345"/>
      <c r="V9" s="383"/>
    </row>
    <row r="10" spans="1:23" ht="15" customHeight="1">
      <c r="A10" s="8">
        <v>35809</v>
      </c>
      <c r="B10" s="9"/>
      <c r="C10" s="9"/>
      <c r="D10" s="10"/>
      <c r="E10" s="10"/>
      <c r="F10" s="10">
        <v>111650</v>
      </c>
      <c r="G10" s="10"/>
      <c r="H10" s="10"/>
      <c r="I10" s="10"/>
      <c r="J10" s="265"/>
      <c r="K10" s="23">
        <v>531</v>
      </c>
      <c r="L10" s="11">
        <v>536</v>
      </c>
      <c r="M10" s="270">
        <f t="shared" si="0"/>
        <v>-12</v>
      </c>
      <c r="N10" s="7"/>
      <c r="O10" s="277"/>
      <c r="P10" s="345"/>
      <c r="V10" s="383"/>
    </row>
    <row r="11" spans="1:23" ht="15" customHeight="1">
      <c r="A11" s="8">
        <v>35810</v>
      </c>
      <c r="B11" s="9"/>
      <c r="C11" s="9"/>
      <c r="D11" s="10"/>
      <c r="E11" s="10"/>
      <c r="F11" s="10">
        <v>111375</v>
      </c>
      <c r="G11" s="10"/>
      <c r="H11" s="10"/>
      <c r="I11" s="10"/>
      <c r="J11" s="265"/>
      <c r="K11" s="23">
        <v>498</v>
      </c>
      <c r="L11" s="11">
        <v>505</v>
      </c>
      <c r="M11" s="270">
        <f t="shared" si="0"/>
        <v>-33</v>
      </c>
      <c r="N11" s="7"/>
      <c r="O11" s="277"/>
      <c r="P11" s="345"/>
      <c r="V11" s="383"/>
    </row>
    <row r="12" spans="1:23" ht="15" customHeight="1">
      <c r="A12" s="8">
        <v>35811</v>
      </c>
      <c r="B12" s="9"/>
      <c r="C12" s="9"/>
      <c r="D12" s="10"/>
      <c r="E12" s="10"/>
      <c r="F12" s="10">
        <v>111350</v>
      </c>
      <c r="G12" s="10"/>
      <c r="H12" s="10"/>
      <c r="I12" s="10"/>
      <c r="J12" s="265"/>
      <c r="K12" s="23">
        <v>520</v>
      </c>
      <c r="L12" s="11">
        <v>524.5</v>
      </c>
      <c r="M12" s="270">
        <f t="shared" si="0"/>
        <v>22</v>
      </c>
      <c r="N12" s="7"/>
      <c r="O12" s="277"/>
      <c r="P12" s="345"/>
      <c r="V12" s="383"/>
    </row>
    <row r="13" spans="1:23" ht="15" customHeight="1">
      <c r="A13" s="8">
        <v>35814</v>
      </c>
      <c r="B13" s="9"/>
      <c r="C13" s="9"/>
      <c r="D13" s="10"/>
      <c r="E13" s="10"/>
      <c r="F13" s="10">
        <v>110825</v>
      </c>
      <c r="G13" s="10"/>
      <c r="H13" s="10"/>
      <c r="I13" s="10"/>
      <c r="J13" s="265"/>
      <c r="K13" s="23">
        <v>504</v>
      </c>
      <c r="L13" s="11">
        <v>514</v>
      </c>
      <c r="M13" s="270">
        <f t="shared" si="0"/>
        <v>-16</v>
      </c>
      <c r="N13" s="7"/>
      <c r="O13" s="277"/>
      <c r="P13" s="345"/>
      <c r="V13" s="383"/>
    </row>
    <row r="14" spans="1:23" ht="15" customHeight="1">
      <c r="A14" s="8">
        <v>35815</v>
      </c>
      <c r="B14" s="9"/>
      <c r="C14" s="9"/>
      <c r="D14" s="10"/>
      <c r="E14" s="10"/>
      <c r="F14" s="10">
        <v>110750</v>
      </c>
      <c r="G14" s="10"/>
      <c r="H14" s="10"/>
      <c r="I14" s="10"/>
      <c r="J14" s="265"/>
      <c r="K14" s="23">
        <v>510</v>
      </c>
      <c r="L14" s="11">
        <v>519</v>
      </c>
      <c r="M14" s="270">
        <f t="shared" si="0"/>
        <v>6</v>
      </c>
      <c r="N14" s="7"/>
      <c r="O14" s="277"/>
      <c r="P14" s="345"/>
      <c r="V14" s="383"/>
    </row>
    <row r="15" spans="1:23" ht="15" customHeight="1">
      <c r="A15" s="8">
        <v>35816</v>
      </c>
      <c r="B15" s="9"/>
      <c r="C15" s="9"/>
      <c r="D15" s="10"/>
      <c r="E15" s="10"/>
      <c r="F15" s="10">
        <v>110725</v>
      </c>
      <c r="G15" s="10"/>
      <c r="H15" s="10"/>
      <c r="I15" s="10"/>
      <c r="J15" s="265"/>
      <c r="K15" s="23">
        <v>534.5</v>
      </c>
      <c r="L15" s="11">
        <v>538</v>
      </c>
      <c r="M15" s="270">
        <f t="shared" si="0"/>
        <v>24.5</v>
      </c>
      <c r="N15" s="7"/>
      <c r="O15" s="277"/>
      <c r="P15" s="345"/>
      <c r="V15" s="383"/>
    </row>
    <row r="16" spans="1:23" ht="15" customHeight="1">
      <c r="A16" s="8">
        <v>35817</v>
      </c>
      <c r="B16" s="9"/>
      <c r="C16" s="9"/>
      <c r="D16" s="10"/>
      <c r="E16" s="10"/>
      <c r="F16" s="10">
        <v>110550</v>
      </c>
      <c r="G16" s="10"/>
      <c r="H16" s="10"/>
      <c r="I16" s="10"/>
      <c r="J16" s="265"/>
      <c r="K16" s="23">
        <v>520</v>
      </c>
      <c r="L16" s="11">
        <v>525</v>
      </c>
      <c r="M16" s="270">
        <f t="shared" si="0"/>
        <v>-14.5</v>
      </c>
      <c r="N16" s="7"/>
      <c r="O16" s="277"/>
      <c r="P16" s="345"/>
      <c r="V16" s="383"/>
    </row>
    <row r="17" spans="1:22" ht="15" customHeight="1">
      <c r="A17" s="8">
        <v>35818</v>
      </c>
      <c r="B17" s="9"/>
      <c r="C17" s="9"/>
      <c r="D17" s="10"/>
      <c r="E17" s="10"/>
      <c r="F17" s="10">
        <v>110500</v>
      </c>
      <c r="G17" s="10"/>
      <c r="H17" s="10"/>
      <c r="I17" s="10"/>
      <c r="J17" s="265"/>
      <c r="K17" s="23">
        <v>526</v>
      </c>
      <c r="L17" s="11">
        <v>531</v>
      </c>
      <c r="M17" s="270">
        <f t="shared" si="0"/>
        <v>6</v>
      </c>
      <c r="N17" s="7"/>
      <c r="O17" s="277"/>
      <c r="P17" s="345"/>
      <c r="V17" s="383"/>
    </row>
    <row r="18" spans="1:22" ht="15" customHeight="1">
      <c r="A18" s="8">
        <v>35821</v>
      </c>
      <c r="B18" s="9"/>
      <c r="C18" s="9"/>
      <c r="D18" s="10"/>
      <c r="E18" s="10"/>
      <c r="F18" s="10">
        <v>109900</v>
      </c>
      <c r="G18" s="10"/>
      <c r="H18" s="10"/>
      <c r="I18" s="10"/>
      <c r="J18" s="265"/>
      <c r="K18" s="23">
        <v>518</v>
      </c>
      <c r="L18" s="11">
        <v>524</v>
      </c>
      <c r="M18" s="270">
        <f t="shared" si="0"/>
        <v>-8</v>
      </c>
      <c r="N18" s="7"/>
      <c r="O18" s="277"/>
      <c r="P18" s="345"/>
      <c r="V18" s="383"/>
    </row>
    <row r="19" spans="1:22" ht="15" customHeight="1">
      <c r="A19" s="8">
        <v>35822</v>
      </c>
      <c r="B19" s="9"/>
      <c r="C19" s="9"/>
      <c r="D19" s="10"/>
      <c r="E19" s="10"/>
      <c r="F19" s="10">
        <v>109150</v>
      </c>
      <c r="G19" s="10"/>
      <c r="H19" s="10"/>
      <c r="I19" s="10"/>
      <c r="J19" s="265"/>
      <c r="K19" s="23">
        <v>517</v>
      </c>
      <c r="L19" s="11">
        <v>525</v>
      </c>
      <c r="M19" s="270">
        <f t="shared" si="0"/>
        <v>-1</v>
      </c>
      <c r="N19" s="7"/>
      <c r="O19" s="277"/>
      <c r="P19" s="345"/>
      <c r="V19" s="383"/>
    </row>
    <row r="20" spans="1:22" ht="15" customHeight="1">
      <c r="A20" s="8">
        <v>35823</v>
      </c>
      <c r="B20" s="9"/>
      <c r="C20" s="9"/>
      <c r="D20" s="10"/>
      <c r="E20" s="10"/>
      <c r="F20" s="10">
        <v>109150</v>
      </c>
      <c r="G20" s="10"/>
      <c r="H20" s="10"/>
      <c r="I20" s="10"/>
      <c r="J20" s="265"/>
      <c r="K20" s="23">
        <v>519</v>
      </c>
      <c r="L20" s="11">
        <v>526</v>
      </c>
      <c r="M20" s="270">
        <f t="shared" si="0"/>
        <v>2</v>
      </c>
      <c r="N20" s="7"/>
      <c r="O20" s="277"/>
      <c r="P20" s="345"/>
      <c r="V20" s="383"/>
    </row>
    <row r="21" spans="1:22" ht="15" customHeight="1">
      <c r="A21" s="8">
        <v>35824</v>
      </c>
      <c r="B21" s="9"/>
      <c r="C21" s="9"/>
      <c r="D21" s="10"/>
      <c r="E21" s="10"/>
      <c r="F21" s="10">
        <v>108625</v>
      </c>
      <c r="G21" s="10"/>
      <c r="H21" s="10"/>
      <c r="I21" s="10"/>
      <c r="J21" s="265"/>
      <c r="K21" s="23">
        <v>517.5</v>
      </c>
      <c r="L21" s="11">
        <v>527</v>
      </c>
      <c r="M21" s="270">
        <f t="shared" si="0"/>
        <v>-1.5</v>
      </c>
      <c r="N21" s="7"/>
      <c r="O21" s="277"/>
      <c r="P21" s="345"/>
      <c r="V21" s="383"/>
    </row>
    <row r="22" spans="1:22" ht="15" customHeight="1">
      <c r="A22" s="8">
        <v>35825</v>
      </c>
      <c r="B22" s="9"/>
      <c r="C22" s="9"/>
      <c r="D22" s="10"/>
      <c r="E22" s="10"/>
      <c r="F22" s="10">
        <v>108625</v>
      </c>
      <c r="G22" s="10"/>
      <c r="H22" s="10"/>
      <c r="I22" s="10"/>
      <c r="J22" s="265"/>
      <c r="K22" s="23">
        <v>515.5</v>
      </c>
      <c r="L22" s="11">
        <v>525</v>
      </c>
      <c r="M22" s="270">
        <f t="shared" si="0"/>
        <v>-2</v>
      </c>
      <c r="N22" s="7"/>
      <c r="O22" s="277"/>
      <c r="P22" s="345"/>
      <c r="V22" s="383"/>
    </row>
    <row r="23" spans="1:22" ht="15" customHeight="1">
      <c r="A23" s="8">
        <v>35828</v>
      </c>
      <c r="B23" s="9"/>
      <c r="C23" s="9"/>
      <c r="D23" s="10"/>
      <c r="E23" s="10"/>
      <c r="F23" s="10">
        <v>108550</v>
      </c>
      <c r="G23" s="10"/>
      <c r="H23" s="10"/>
      <c r="I23" s="10"/>
      <c r="J23" s="265"/>
      <c r="K23" s="23">
        <v>524.5</v>
      </c>
      <c r="L23" s="11">
        <v>537</v>
      </c>
      <c r="M23" s="270">
        <f t="shared" si="0"/>
        <v>9</v>
      </c>
      <c r="N23" s="7"/>
      <c r="O23" s="277"/>
      <c r="P23" s="345"/>
      <c r="V23" s="383"/>
    </row>
    <row r="24" spans="1:22" ht="15" customHeight="1">
      <c r="A24" s="8">
        <v>35829</v>
      </c>
      <c r="B24" s="9"/>
      <c r="C24" s="9"/>
      <c r="D24" s="10"/>
      <c r="E24" s="10"/>
      <c r="F24" s="10">
        <v>108550</v>
      </c>
      <c r="G24" s="10"/>
      <c r="H24" s="10"/>
      <c r="I24" s="10"/>
      <c r="J24" s="265"/>
      <c r="K24" s="23">
        <v>516.5</v>
      </c>
      <c r="L24" s="11">
        <v>528</v>
      </c>
      <c r="M24" s="270">
        <f t="shared" si="0"/>
        <v>-8</v>
      </c>
      <c r="N24" s="7"/>
      <c r="O24" s="277"/>
      <c r="P24" s="345"/>
      <c r="V24" s="383"/>
    </row>
    <row r="25" spans="1:22" ht="15" customHeight="1">
      <c r="A25" s="8">
        <v>35830</v>
      </c>
      <c r="B25" s="9"/>
      <c r="C25" s="9"/>
      <c r="D25" s="10"/>
      <c r="E25" s="10"/>
      <c r="F25" s="10">
        <v>108500</v>
      </c>
      <c r="G25" s="10"/>
      <c r="H25" s="10"/>
      <c r="I25" s="10"/>
      <c r="J25" s="265"/>
      <c r="K25" s="23">
        <v>520.5</v>
      </c>
      <c r="L25" s="11">
        <v>533</v>
      </c>
      <c r="M25" s="270">
        <f t="shared" si="0"/>
        <v>4</v>
      </c>
      <c r="N25" s="7"/>
      <c r="O25" s="277"/>
      <c r="P25" s="345"/>
      <c r="V25" s="383"/>
    </row>
    <row r="26" spans="1:22" ht="15" customHeight="1">
      <c r="A26" s="8">
        <v>35831</v>
      </c>
      <c r="B26" s="9"/>
      <c r="C26" s="9"/>
      <c r="D26" s="10"/>
      <c r="E26" s="10"/>
      <c r="F26" s="10">
        <v>108500</v>
      </c>
      <c r="G26" s="10"/>
      <c r="H26" s="10"/>
      <c r="I26" s="10"/>
      <c r="J26" s="265"/>
      <c r="K26" s="23">
        <v>530</v>
      </c>
      <c r="L26" s="11">
        <v>540.5</v>
      </c>
      <c r="M26" s="270">
        <f t="shared" si="0"/>
        <v>9.5</v>
      </c>
      <c r="N26" s="7"/>
      <c r="O26" s="277"/>
      <c r="P26" s="345"/>
      <c r="V26" s="383"/>
    </row>
    <row r="27" spans="1:22" ht="15" customHeight="1">
      <c r="A27" s="8">
        <v>35832</v>
      </c>
      <c r="B27" s="9"/>
      <c r="C27" s="9"/>
      <c r="D27" s="10"/>
      <c r="E27" s="10"/>
      <c r="F27" s="10">
        <v>108400</v>
      </c>
      <c r="G27" s="10"/>
      <c r="H27" s="10"/>
      <c r="I27" s="10"/>
      <c r="J27" s="265"/>
      <c r="K27" s="23">
        <v>530</v>
      </c>
      <c r="L27" s="11">
        <v>542</v>
      </c>
      <c r="M27" s="270">
        <f t="shared" si="0"/>
        <v>0</v>
      </c>
      <c r="N27" s="7"/>
      <c r="O27" s="277"/>
      <c r="P27" s="345"/>
      <c r="V27" s="383"/>
    </row>
    <row r="28" spans="1:22" ht="15" customHeight="1">
      <c r="A28" s="8">
        <v>35835</v>
      </c>
      <c r="B28" s="9"/>
      <c r="C28" s="9"/>
      <c r="D28" s="10"/>
      <c r="E28" s="10"/>
      <c r="F28" s="10">
        <v>108250</v>
      </c>
      <c r="G28" s="10"/>
      <c r="H28" s="10"/>
      <c r="I28" s="10"/>
      <c r="J28" s="265"/>
      <c r="K28" s="23">
        <v>521.5</v>
      </c>
      <c r="L28" s="11">
        <v>534</v>
      </c>
      <c r="M28" s="270">
        <f t="shared" si="0"/>
        <v>-8.5</v>
      </c>
      <c r="N28" s="7"/>
      <c r="O28" s="277"/>
      <c r="P28" s="345"/>
      <c r="V28" s="383"/>
    </row>
    <row r="29" spans="1:22" ht="15" customHeight="1">
      <c r="A29" s="8">
        <v>35836</v>
      </c>
      <c r="B29" s="9"/>
      <c r="C29" s="9"/>
      <c r="D29" s="10"/>
      <c r="E29" s="10"/>
      <c r="F29" s="10">
        <v>108100</v>
      </c>
      <c r="G29" s="10"/>
      <c r="H29" s="10"/>
      <c r="I29" s="10"/>
      <c r="J29" s="265"/>
      <c r="K29" s="23">
        <v>514</v>
      </c>
      <c r="L29" s="11">
        <v>526.5</v>
      </c>
      <c r="M29" s="270">
        <f t="shared" si="0"/>
        <v>-7.5</v>
      </c>
      <c r="N29" s="7"/>
      <c r="O29" s="277"/>
      <c r="P29" s="345"/>
      <c r="V29" s="383"/>
    </row>
    <row r="30" spans="1:22" ht="15" customHeight="1">
      <c r="A30" s="8">
        <v>35837</v>
      </c>
      <c r="B30" s="9"/>
      <c r="C30" s="9"/>
      <c r="D30" s="10"/>
      <c r="E30" s="10"/>
      <c r="F30" s="10">
        <v>107950</v>
      </c>
      <c r="G30" s="10"/>
      <c r="H30" s="10"/>
      <c r="I30" s="10"/>
      <c r="J30" s="265"/>
      <c r="K30" s="23">
        <v>512.5</v>
      </c>
      <c r="L30" s="11">
        <v>527</v>
      </c>
      <c r="M30" s="270">
        <f t="shared" si="0"/>
        <v>-1.5</v>
      </c>
      <c r="N30" s="7"/>
      <c r="O30" s="277"/>
      <c r="P30" s="345"/>
      <c r="V30" s="383"/>
    </row>
    <row r="31" spans="1:22" ht="15" customHeight="1">
      <c r="A31" s="8">
        <v>35838</v>
      </c>
      <c r="B31" s="9"/>
      <c r="C31" s="9"/>
      <c r="D31" s="10"/>
      <c r="E31" s="10"/>
      <c r="F31" s="10">
        <v>107825</v>
      </c>
      <c r="G31" s="10"/>
      <c r="H31" s="10"/>
      <c r="I31" s="10"/>
      <c r="J31" s="265"/>
      <c r="K31" s="23">
        <v>508</v>
      </c>
      <c r="L31" s="11">
        <v>521</v>
      </c>
      <c r="M31" s="270">
        <f t="shared" si="0"/>
        <v>-4.5</v>
      </c>
      <c r="N31" s="7"/>
      <c r="O31" s="277"/>
      <c r="P31" s="345"/>
      <c r="V31" s="383"/>
    </row>
    <row r="32" spans="1:22" ht="15" customHeight="1">
      <c r="A32" s="8">
        <v>35839</v>
      </c>
      <c r="B32" s="9"/>
      <c r="C32" s="9"/>
      <c r="D32" s="10"/>
      <c r="E32" s="10"/>
      <c r="F32" s="10">
        <v>107925</v>
      </c>
      <c r="G32" s="10"/>
      <c r="H32" s="10"/>
      <c r="I32" s="10"/>
      <c r="J32" s="265"/>
      <c r="K32" s="23">
        <v>507.5</v>
      </c>
      <c r="L32" s="11">
        <v>523</v>
      </c>
      <c r="M32" s="270">
        <f t="shared" si="0"/>
        <v>-0.5</v>
      </c>
      <c r="N32" s="7"/>
      <c r="O32" s="277"/>
      <c r="P32" s="345"/>
      <c r="V32" s="383"/>
    </row>
    <row r="33" spans="1:22" ht="15" customHeight="1">
      <c r="A33" s="8">
        <v>35842</v>
      </c>
      <c r="B33" s="9"/>
      <c r="C33" s="9"/>
      <c r="D33" s="10"/>
      <c r="E33" s="10"/>
      <c r="F33" s="10">
        <v>107700</v>
      </c>
      <c r="G33" s="10"/>
      <c r="H33" s="10"/>
      <c r="I33" s="10"/>
      <c r="J33" s="265"/>
      <c r="K33" s="23">
        <v>503</v>
      </c>
      <c r="L33" s="11">
        <v>518.5</v>
      </c>
      <c r="M33" s="270">
        <f t="shared" si="0"/>
        <v>-4.5</v>
      </c>
      <c r="N33" s="7"/>
      <c r="O33" s="277"/>
      <c r="P33" s="345"/>
      <c r="V33" s="383"/>
    </row>
    <row r="34" spans="1:22" ht="15" customHeight="1">
      <c r="A34" s="8">
        <v>35843</v>
      </c>
      <c r="B34" s="9"/>
      <c r="C34" s="9"/>
      <c r="D34" s="10"/>
      <c r="E34" s="10"/>
      <c r="F34" s="10">
        <v>107575</v>
      </c>
      <c r="G34" s="10"/>
      <c r="H34" s="10"/>
      <c r="I34" s="10"/>
      <c r="J34" s="265"/>
      <c r="K34" s="23">
        <v>503.5</v>
      </c>
      <c r="L34" s="11">
        <v>518</v>
      </c>
      <c r="M34" s="270">
        <f t="shared" si="0"/>
        <v>0.5</v>
      </c>
      <c r="N34" s="7"/>
      <c r="O34" s="277"/>
      <c r="P34" s="345"/>
      <c r="V34" s="383"/>
    </row>
    <row r="35" spans="1:22" ht="15" customHeight="1">
      <c r="A35" s="8">
        <v>35844</v>
      </c>
      <c r="B35" s="9"/>
      <c r="C35" s="9"/>
      <c r="D35" s="10"/>
      <c r="E35" s="10"/>
      <c r="F35" s="10">
        <v>107925</v>
      </c>
      <c r="G35" s="10"/>
      <c r="H35" s="10"/>
      <c r="I35" s="10"/>
      <c r="J35" s="265"/>
      <c r="K35" s="23">
        <v>506</v>
      </c>
      <c r="L35" s="11">
        <v>523</v>
      </c>
      <c r="M35" s="270">
        <f t="shared" si="0"/>
        <v>2.5</v>
      </c>
      <c r="N35" s="7"/>
      <c r="O35" s="277"/>
      <c r="P35" s="345"/>
      <c r="V35" s="383"/>
    </row>
    <row r="36" spans="1:22" ht="15" customHeight="1">
      <c r="A36" s="8">
        <v>35845</v>
      </c>
      <c r="B36" s="9"/>
      <c r="C36" s="9"/>
      <c r="D36" s="10"/>
      <c r="E36" s="10"/>
      <c r="F36" s="10">
        <v>107900</v>
      </c>
      <c r="G36" s="10"/>
      <c r="H36" s="10"/>
      <c r="I36" s="10"/>
      <c r="J36" s="265"/>
      <c r="K36" s="23">
        <v>508</v>
      </c>
      <c r="L36" s="11">
        <v>523</v>
      </c>
      <c r="M36" s="270">
        <f t="shared" si="0"/>
        <v>2</v>
      </c>
      <c r="N36" s="7"/>
      <c r="O36" s="277"/>
      <c r="P36" s="345"/>
      <c r="V36" s="383"/>
    </row>
    <row r="37" spans="1:22" ht="15" customHeight="1">
      <c r="A37" s="8">
        <v>35846</v>
      </c>
      <c r="B37" s="9"/>
      <c r="C37" s="9"/>
      <c r="D37" s="10"/>
      <c r="E37" s="10"/>
      <c r="F37" s="10">
        <v>107825</v>
      </c>
      <c r="G37" s="10"/>
      <c r="H37" s="10"/>
      <c r="I37" s="10"/>
      <c r="J37" s="265"/>
      <c r="K37" s="23">
        <v>505.5</v>
      </c>
      <c r="L37" s="11">
        <v>519.5</v>
      </c>
      <c r="M37" s="270">
        <f t="shared" si="0"/>
        <v>-2.5</v>
      </c>
      <c r="N37" s="7"/>
      <c r="O37" s="277"/>
      <c r="P37" s="345"/>
      <c r="V37" s="383"/>
    </row>
    <row r="38" spans="1:22" ht="15" customHeight="1">
      <c r="A38" s="8">
        <v>35849</v>
      </c>
      <c r="B38" s="9"/>
      <c r="C38" s="9"/>
      <c r="D38" s="10"/>
      <c r="E38" s="10"/>
      <c r="F38" s="10">
        <v>107675</v>
      </c>
      <c r="G38" s="10"/>
      <c r="H38" s="10"/>
      <c r="I38" s="10"/>
      <c r="J38" s="265"/>
      <c r="K38" s="23">
        <v>498.5</v>
      </c>
      <c r="L38" s="11">
        <v>514</v>
      </c>
      <c r="M38" s="270">
        <f t="shared" si="0"/>
        <v>-7</v>
      </c>
      <c r="N38" s="7"/>
      <c r="O38" s="277"/>
      <c r="P38" s="345"/>
      <c r="V38" s="383"/>
    </row>
    <row r="39" spans="1:22" ht="15" customHeight="1">
      <c r="A39" s="8">
        <v>35850</v>
      </c>
      <c r="B39" s="9"/>
      <c r="C39" s="9"/>
      <c r="D39" s="10"/>
      <c r="E39" s="10"/>
      <c r="F39" s="10">
        <v>107550</v>
      </c>
      <c r="G39" s="10"/>
      <c r="H39" s="10"/>
      <c r="I39" s="10"/>
      <c r="J39" s="265"/>
      <c r="K39" s="23">
        <v>504</v>
      </c>
      <c r="L39" s="11">
        <v>519</v>
      </c>
      <c r="M39" s="270">
        <f t="shared" si="0"/>
        <v>5.5</v>
      </c>
      <c r="N39" s="7"/>
      <c r="O39" s="277"/>
      <c r="P39" s="345"/>
      <c r="V39" s="383"/>
    </row>
    <row r="40" spans="1:22" ht="15" customHeight="1">
      <c r="A40" s="8">
        <v>35851</v>
      </c>
      <c r="B40" s="9"/>
      <c r="C40" s="9"/>
      <c r="D40" s="10"/>
      <c r="E40" s="10"/>
      <c r="F40" s="10">
        <v>107325</v>
      </c>
      <c r="G40" s="10"/>
      <c r="H40" s="10"/>
      <c r="I40" s="10"/>
      <c r="J40" s="265"/>
      <c r="K40" s="23">
        <v>530.5</v>
      </c>
      <c r="L40" s="11">
        <v>540</v>
      </c>
      <c r="M40" s="270">
        <f t="shared" si="0"/>
        <v>26.5</v>
      </c>
      <c r="N40" s="7"/>
      <c r="O40" s="277"/>
      <c r="P40" s="345"/>
      <c r="V40" s="383"/>
    </row>
    <row r="41" spans="1:22" ht="15" customHeight="1">
      <c r="A41" s="8">
        <v>35852</v>
      </c>
      <c r="B41" s="9"/>
      <c r="C41" s="9"/>
      <c r="D41" s="10"/>
      <c r="E41" s="10"/>
      <c r="F41" s="10">
        <v>107000</v>
      </c>
      <c r="G41" s="10"/>
      <c r="H41" s="10"/>
      <c r="I41" s="10"/>
      <c r="J41" s="265"/>
      <c r="K41" s="23">
        <v>536</v>
      </c>
      <c r="L41" s="11">
        <v>543</v>
      </c>
      <c r="M41" s="270">
        <f t="shared" si="0"/>
        <v>5.5</v>
      </c>
      <c r="N41" s="7"/>
      <c r="O41" s="277"/>
      <c r="P41" s="345"/>
      <c r="V41" s="383"/>
    </row>
    <row r="42" spans="1:22" ht="15" customHeight="1">
      <c r="A42" s="8">
        <v>35853</v>
      </c>
      <c r="B42" s="9"/>
      <c r="C42" s="9"/>
      <c r="D42" s="10"/>
      <c r="E42" s="10"/>
      <c r="F42" s="10">
        <v>106575</v>
      </c>
      <c r="G42" s="10"/>
      <c r="H42" s="10"/>
      <c r="I42" s="10"/>
      <c r="J42" s="265"/>
      <c r="K42" s="24">
        <v>547.5</v>
      </c>
      <c r="L42" s="6">
        <v>552.5</v>
      </c>
      <c r="M42" s="270">
        <f t="shared" si="0"/>
        <v>11.5</v>
      </c>
      <c r="N42" s="7"/>
      <c r="O42" s="277"/>
      <c r="P42" s="345"/>
      <c r="V42" s="383"/>
    </row>
    <row r="43" spans="1:22" ht="15" customHeight="1">
      <c r="A43" s="8">
        <v>35856</v>
      </c>
      <c r="B43" s="9"/>
      <c r="C43" s="9"/>
      <c r="D43" s="10"/>
      <c r="E43" s="10"/>
      <c r="F43" s="10">
        <v>106400</v>
      </c>
      <c r="G43" s="10"/>
      <c r="H43" s="10"/>
      <c r="I43" s="10"/>
      <c r="J43" s="265"/>
      <c r="K43" s="24">
        <v>539.5</v>
      </c>
      <c r="L43" s="6">
        <v>545.5</v>
      </c>
      <c r="M43" s="270">
        <f t="shared" si="0"/>
        <v>-8</v>
      </c>
      <c r="N43" s="7"/>
      <c r="O43" s="277"/>
      <c r="P43" s="345"/>
      <c r="V43" s="383"/>
    </row>
    <row r="44" spans="1:22" ht="15" customHeight="1">
      <c r="A44" s="8">
        <v>35857</v>
      </c>
      <c r="B44" s="9"/>
      <c r="C44" s="9"/>
      <c r="D44" s="10"/>
      <c r="E44" s="10"/>
      <c r="F44" s="10">
        <v>106900</v>
      </c>
      <c r="G44" s="10"/>
      <c r="H44" s="10"/>
      <c r="I44" s="10"/>
      <c r="J44" s="265"/>
      <c r="K44" s="24">
        <v>547.5</v>
      </c>
      <c r="L44" s="6">
        <v>554.5</v>
      </c>
      <c r="M44" s="270">
        <f t="shared" si="0"/>
        <v>8</v>
      </c>
      <c r="N44" s="7"/>
      <c r="O44" s="277"/>
      <c r="P44" s="345"/>
      <c r="V44" s="383"/>
    </row>
    <row r="45" spans="1:22" ht="15" customHeight="1">
      <c r="A45" s="8">
        <v>35858</v>
      </c>
      <c r="B45" s="9"/>
      <c r="C45" s="9"/>
      <c r="D45" s="10"/>
      <c r="E45" s="10"/>
      <c r="F45" s="10">
        <v>106025</v>
      </c>
      <c r="G45" s="10"/>
      <c r="H45" s="10"/>
      <c r="I45" s="10"/>
      <c r="J45" s="265"/>
      <c r="K45" s="24">
        <v>533</v>
      </c>
      <c r="L45" s="6">
        <v>539</v>
      </c>
      <c r="M45" s="270">
        <f t="shared" si="0"/>
        <v>-14.5</v>
      </c>
      <c r="N45" s="7"/>
      <c r="O45" s="277"/>
      <c r="P45" s="345"/>
      <c r="V45" s="383"/>
    </row>
    <row r="46" spans="1:22" ht="15" customHeight="1">
      <c r="A46" s="8">
        <v>35859</v>
      </c>
      <c r="B46" s="9"/>
      <c r="C46" s="9"/>
      <c r="D46" s="10"/>
      <c r="E46" s="10"/>
      <c r="F46" s="10">
        <v>105925</v>
      </c>
      <c r="G46" s="10"/>
      <c r="H46" s="10"/>
      <c r="I46" s="10"/>
      <c r="J46" s="265"/>
      <c r="K46" s="24">
        <v>570.5</v>
      </c>
      <c r="L46" s="6">
        <v>566</v>
      </c>
      <c r="M46" s="270">
        <f t="shared" si="0"/>
        <v>37.5</v>
      </c>
      <c r="N46" s="7"/>
      <c r="O46" s="277"/>
      <c r="P46" s="345"/>
      <c r="V46" s="383"/>
    </row>
    <row r="47" spans="1:22" ht="15" customHeight="1">
      <c r="A47" s="8">
        <v>35860</v>
      </c>
      <c r="B47" s="9"/>
      <c r="C47" s="9"/>
      <c r="D47" s="10"/>
      <c r="E47" s="10"/>
      <c r="F47" s="10">
        <v>105150</v>
      </c>
      <c r="G47" s="10"/>
      <c r="H47" s="10"/>
      <c r="I47" s="10"/>
      <c r="J47" s="265"/>
      <c r="K47" s="24">
        <v>551</v>
      </c>
      <c r="L47" s="6">
        <v>550</v>
      </c>
      <c r="M47" s="270">
        <f t="shared" si="0"/>
        <v>-19.5</v>
      </c>
      <c r="N47" s="7"/>
      <c r="O47" s="277"/>
      <c r="P47" s="345"/>
      <c r="V47" s="383"/>
    </row>
    <row r="48" spans="1:22" ht="15" customHeight="1">
      <c r="A48" s="8">
        <v>35863</v>
      </c>
      <c r="B48" s="9"/>
      <c r="C48" s="9"/>
      <c r="D48" s="10"/>
      <c r="E48" s="10"/>
      <c r="F48" s="10">
        <v>104000</v>
      </c>
      <c r="G48" s="10"/>
      <c r="H48" s="10"/>
      <c r="I48" s="10"/>
      <c r="J48" s="265"/>
      <c r="K48" s="24">
        <v>558.5</v>
      </c>
      <c r="L48" s="6">
        <v>558.5</v>
      </c>
      <c r="M48" s="270">
        <f t="shared" si="0"/>
        <v>7.5</v>
      </c>
      <c r="N48" s="7"/>
      <c r="O48" s="277"/>
      <c r="P48" s="345"/>
      <c r="V48" s="383"/>
    </row>
    <row r="49" spans="1:22" ht="15" customHeight="1">
      <c r="A49" s="8">
        <v>35864</v>
      </c>
      <c r="B49" s="9"/>
      <c r="C49" s="9"/>
      <c r="D49" s="10"/>
      <c r="E49" s="10"/>
      <c r="F49" s="10">
        <v>103700</v>
      </c>
      <c r="G49" s="10"/>
      <c r="H49" s="10"/>
      <c r="I49" s="10"/>
      <c r="J49" s="265"/>
      <c r="K49" s="24">
        <v>550.5</v>
      </c>
      <c r="L49" s="6">
        <v>553</v>
      </c>
      <c r="M49" s="270">
        <f t="shared" si="0"/>
        <v>-8</v>
      </c>
      <c r="N49" s="7"/>
      <c r="O49" s="277"/>
      <c r="P49" s="345"/>
      <c r="V49" s="383"/>
    </row>
    <row r="50" spans="1:22" ht="15" customHeight="1">
      <c r="A50" s="8">
        <v>35865</v>
      </c>
      <c r="B50" s="9"/>
      <c r="C50" s="9"/>
      <c r="D50" s="10"/>
      <c r="E50" s="10"/>
      <c r="F50" s="10">
        <v>103450</v>
      </c>
      <c r="G50" s="10"/>
      <c r="H50" s="10"/>
      <c r="I50" s="10"/>
      <c r="J50" s="265"/>
      <c r="K50" s="24">
        <v>549</v>
      </c>
      <c r="L50" s="6">
        <v>554</v>
      </c>
      <c r="M50" s="270">
        <f t="shared" si="0"/>
        <v>-1.5</v>
      </c>
      <c r="N50" s="7"/>
      <c r="O50" s="277"/>
      <c r="P50" s="345"/>
      <c r="V50" s="383"/>
    </row>
    <row r="51" spans="1:22" ht="15" customHeight="1">
      <c r="A51" s="8">
        <v>35866</v>
      </c>
      <c r="B51" s="9"/>
      <c r="C51" s="9"/>
      <c r="D51" s="10"/>
      <c r="E51" s="10"/>
      <c r="F51" s="10">
        <v>103250</v>
      </c>
      <c r="G51" s="10"/>
      <c r="H51" s="10"/>
      <c r="I51" s="10"/>
      <c r="J51" s="265"/>
      <c r="K51" s="24">
        <v>543</v>
      </c>
      <c r="L51" s="6">
        <v>548</v>
      </c>
      <c r="M51" s="270">
        <f t="shared" si="0"/>
        <v>-6</v>
      </c>
      <c r="N51" s="7"/>
      <c r="O51" s="277"/>
      <c r="P51" s="345"/>
      <c r="V51" s="383"/>
    </row>
    <row r="52" spans="1:22" ht="15" customHeight="1">
      <c r="A52" s="8">
        <v>35867</v>
      </c>
      <c r="B52" s="9"/>
      <c r="C52" s="9"/>
      <c r="D52" s="10"/>
      <c r="E52" s="10"/>
      <c r="F52" s="10">
        <v>102925</v>
      </c>
      <c r="G52" s="10"/>
      <c r="H52" s="10"/>
      <c r="I52" s="10"/>
      <c r="J52" s="265"/>
      <c r="K52" s="24">
        <v>566</v>
      </c>
      <c r="L52" s="6">
        <v>559</v>
      </c>
      <c r="M52" s="270">
        <f t="shared" si="0"/>
        <v>23</v>
      </c>
      <c r="N52" s="7"/>
      <c r="O52" s="277"/>
      <c r="P52" s="345"/>
      <c r="V52" s="383"/>
    </row>
    <row r="53" spans="1:22" ht="15" customHeight="1">
      <c r="A53" s="8">
        <v>35870</v>
      </c>
      <c r="B53" s="9"/>
      <c r="C53" s="9"/>
      <c r="D53" s="10"/>
      <c r="E53" s="10"/>
      <c r="F53" s="10">
        <v>104175</v>
      </c>
      <c r="G53" s="10"/>
      <c r="H53" s="10"/>
      <c r="I53" s="10"/>
      <c r="J53" s="265"/>
      <c r="K53" s="24">
        <v>556</v>
      </c>
      <c r="L53" s="6">
        <v>554</v>
      </c>
      <c r="M53" s="270">
        <f t="shared" si="0"/>
        <v>-10</v>
      </c>
      <c r="N53" s="7"/>
      <c r="O53" s="277"/>
      <c r="P53" s="345"/>
      <c r="V53" s="383"/>
    </row>
    <row r="54" spans="1:22" ht="15" customHeight="1">
      <c r="A54" s="8">
        <v>35871</v>
      </c>
      <c r="B54" s="9"/>
      <c r="C54" s="9"/>
      <c r="D54" s="10"/>
      <c r="E54" s="10"/>
      <c r="F54" s="10">
        <v>103700</v>
      </c>
      <c r="G54" s="10"/>
      <c r="H54" s="10"/>
      <c r="I54" s="10"/>
      <c r="J54" s="265"/>
      <c r="K54" s="24">
        <v>561</v>
      </c>
      <c r="L54" s="6">
        <v>559</v>
      </c>
      <c r="M54" s="270">
        <f t="shared" si="0"/>
        <v>5</v>
      </c>
      <c r="N54" s="7"/>
      <c r="O54" s="277"/>
      <c r="P54" s="345"/>
      <c r="V54" s="383"/>
    </row>
    <row r="55" spans="1:22" ht="15" customHeight="1">
      <c r="A55" s="8">
        <v>35872</v>
      </c>
      <c r="B55" s="9"/>
      <c r="C55" s="9"/>
      <c r="D55" s="10"/>
      <c r="E55" s="10"/>
      <c r="F55" s="10">
        <v>102975</v>
      </c>
      <c r="G55" s="10"/>
      <c r="H55" s="10"/>
      <c r="I55" s="10"/>
      <c r="J55" s="265"/>
      <c r="K55" s="24">
        <v>552</v>
      </c>
      <c r="L55" s="6">
        <v>554</v>
      </c>
      <c r="M55" s="270">
        <f t="shared" si="0"/>
        <v>-9</v>
      </c>
      <c r="N55" s="7"/>
      <c r="O55" s="277"/>
      <c r="P55" s="345"/>
      <c r="V55" s="383"/>
    </row>
    <row r="56" spans="1:22" ht="15" customHeight="1">
      <c r="A56" s="8">
        <v>35873</v>
      </c>
      <c r="B56" s="9"/>
      <c r="C56" s="9"/>
      <c r="D56" s="10"/>
      <c r="E56" s="10"/>
      <c r="F56" s="10">
        <v>102275</v>
      </c>
      <c r="G56" s="10"/>
      <c r="H56" s="10"/>
      <c r="I56" s="10"/>
      <c r="J56" s="265"/>
      <c r="K56" s="24">
        <v>566</v>
      </c>
      <c r="L56" s="6">
        <v>562</v>
      </c>
      <c r="M56" s="270">
        <f t="shared" si="0"/>
        <v>14</v>
      </c>
      <c r="N56" s="7"/>
      <c r="O56" s="277"/>
      <c r="P56" s="345"/>
      <c r="V56" s="383"/>
    </row>
    <row r="57" spans="1:22" ht="15" customHeight="1">
      <c r="A57" s="8">
        <v>35874</v>
      </c>
      <c r="B57" s="9"/>
      <c r="C57" s="9"/>
      <c r="D57" s="10"/>
      <c r="E57" s="10"/>
      <c r="F57" s="10">
        <v>99700</v>
      </c>
      <c r="G57" s="10"/>
      <c r="H57" s="10"/>
      <c r="I57" s="10"/>
      <c r="J57" s="265"/>
      <c r="K57" s="24">
        <v>558</v>
      </c>
      <c r="L57" s="6">
        <v>557</v>
      </c>
      <c r="M57" s="270">
        <f t="shared" si="0"/>
        <v>-8</v>
      </c>
      <c r="N57" s="7"/>
      <c r="O57" s="277"/>
      <c r="P57" s="345"/>
      <c r="V57" s="383"/>
    </row>
    <row r="58" spans="1:22" ht="15" customHeight="1">
      <c r="A58" s="8">
        <v>35877</v>
      </c>
      <c r="B58" s="9"/>
      <c r="C58" s="9"/>
      <c r="D58" s="10"/>
      <c r="E58" s="10"/>
      <c r="F58" s="10">
        <v>98900</v>
      </c>
      <c r="G58" s="10"/>
      <c r="H58" s="10"/>
      <c r="I58" s="10"/>
      <c r="J58" s="265"/>
      <c r="K58" s="24">
        <v>569.5</v>
      </c>
      <c r="L58" s="6">
        <v>569</v>
      </c>
      <c r="M58" s="270">
        <f t="shared" si="0"/>
        <v>11.5</v>
      </c>
      <c r="N58" s="7"/>
      <c r="O58" s="277"/>
      <c r="P58" s="345"/>
      <c r="V58" s="383"/>
    </row>
    <row r="59" spans="1:22" ht="15" customHeight="1">
      <c r="A59" s="8">
        <v>35878</v>
      </c>
      <c r="B59" s="9"/>
      <c r="C59" s="9"/>
      <c r="D59" s="10"/>
      <c r="E59" s="10"/>
      <c r="F59" s="10">
        <v>98100</v>
      </c>
      <c r="G59" s="10"/>
      <c r="H59" s="10"/>
      <c r="I59" s="10"/>
      <c r="J59" s="265"/>
      <c r="K59" s="24">
        <v>564</v>
      </c>
      <c r="L59" s="6">
        <v>563.5</v>
      </c>
      <c r="M59" s="270">
        <f t="shared" si="0"/>
        <v>-5.5</v>
      </c>
      <c r="N59" s="7"/>
      <c r="O59" s="277"/>
      <c r="P59" s="345"/>
      <c r="V59" s="383"/>
    </row>
    <row r="60" spans="1:22" ht="15" customHeight="1">
      <c r="A60" s="8">
        <v>35879</v>
      </c>
      <c r="B60" s="9"/>
      <c r="C60" s="9"/>
      <c r="D60" s="10"/>
      <c r="E60" s="10"/>
      <c r="F60" s="10">
        <v>97500</v>
      </c>
      <c r="G60" s="10"/>
      <c r="H60" s="10"/>
      <c r="I60" s="10"/>
      <c r="J60" s="265"/>
      <c r="K60" s="24">
        <v>568</v>
      </c>
      <c r="L60" s="6">
        <v>569</v>
      </c>
      <c r="M60" s="270">
        <f t="shared" si="0"/>
        <v>4</v>
      </c>
      <c r="N60" s="7"/>
      <c r="O60" s="277"/>
      <c r="P60" s="345"/>
      <c r="V60" s="383"/>
    </row>
    <row r="61" spans="1:22" ht="15" customHeight="1">
      <c r="A61" s="8">
        <v>35880</v>
      </c>
      <c r="B61" s="9"/>
      <c r="C61" s="9"/>
      <c r="D61" s="10"/>
      <c r="E61" s="10"/>
      <c r="F61" s="10">
        <v>97125</v>
      </c>
      <c r="G61" s="10"/>
      <c r="H61" s="10"/>
      <c r="I61" s="10"/>
      <c r="J61" s="265"/>
      <c r="K61" s="24">
        <v>575</v>
      </c>
      <c r="L61" s="6">
        <v>575</v>
      </c>
      <c r="M61" s="270">
        <f t="shared" si="0"/>
        <v>7</v>
      </c>
      <c r="N61" s="7"/>
      <c r="O61" s="277"/>
      <c r="P61" s="345"/>
      <c r="V61" s="383"/>
    </row>
    <row r="62" spans="1:22" ht="15" customHeight="1">
      <c r="A62" s="8">
        <v>35881</v>
      </c>
      <c r="B62" s="9"/>
      <c r="C62" s="9"/>
      <c r="D62" s="10"/>
      <c r="E62" s="10"/>
      <c r="F62" s="10">
        <v>96425</v>
      </c>
      <c r="G62" s="10"/>
      <c r="H62" s="10"/>
      <c r="I62" s="10"/>
      <c r="J62" s="265"/>
      <c r="K62" s="24">
        <v>584</v>
      </c>
      <c r="L62" s="6">
        <v>580.5</v>
      </c>
      <c r="M62" s="270">
        <f t="shared" si="0"/>
        <v>9</v>
      </c>
      <c r="N62" s="7"/>
      <c r="O62" s="277"/>
      <c r="P62" s="345"/>
      <c r="V62" s="383"/>
    </row>
    <row r="63" spans="1:22" ht="15" customHeight="1">
      <c r="A63" s="8">
        <v>35884</v>
      </c>
      <c r="B63" s="9"/>
      <c r="C63" s="9"/>
      <c r="D63" s="10"/>
      <c r="E63" s="10"/>
      <c r="F63" s="10">
        <v>95625</v>
      </c>
      <c r="G63" s="10"/>
      <c r="H63" s="10"/>
      <c r="I63" s="10"/>
      <c r="J63" s="265"/>
      <c r="K63" s="24">
        <v>577</v>
      </c>
      <c r="L63" s="6">
        <v>575.5</v>
      </c>
      <c r="M63" s="270">
        <f t="shared" si="0"/>
        <v>-7</v>
      </c>
      <c r="N63" s="7"/>
      <c r="O63" s="277"/>
      <c r="P63" s="345"/>
      <c r="V63" s="383"/>
    </row>
    <row r="64" spans="1:22" ht="15" customHeight="1">
      <c r="A64" s="8">
        <v>35885</v>
      </c>
      <c r="B64" s="9"/>
      <c r="C64" s="9"/>
      <c r="D64" s="10"/>
      <c r="E64" s="10"/>
      <c r="F64" s="10">
        <v>95500</v>
      </c>
      <c r="G64" s="10"/>
      <c r="H64" s="10"/>
      <c r="I64" s="10"/>
      <c r="J64" s="265"/>
      <c r="K64" s="24">
        <v>577</v>
      </c>
      <c r="L64" s="6">
        <v>577</v>
      </c>
      <c r="M64" s="270">
        <f t="shared" si="0"/>
        <v>0</v>
      </c>
      <c r="N64" s="7"/>
      <c r="O64" s="277"/>
      <c r="P64" s="345"/>
      <c r="V64" s="383"/>
    </row>
    <row r="65" spans="1:22" ht="15" customHeight="1">
      <c r="A65" s="8">
        <v>35886</v>
      </c>
      <c r="B65" s="9"/>
      <c r="C65" s="9"/>
      <c r="D65" s="10"/>
      <c r="E65" s="10"/>
      <c r="F65" s="10">
        <v>93200</v>
      </c>
      <c r="G65" s="10"/>
      <c r="H65" s="10"/>
      <c r="I65" s="10"/>
      <c r="J65" s="265"/>
      <c r="K65" s="23">
        <v>574.5</v>
      </c>
      <c r="L65" s="11">
        <v>575</v>
      </c>
      <c r="M65" s="270">
        <f t="shared" si="0"/>
        <v>-2.5</v>
      </c>
      <c r="N65" s="7"/>
      <c r="O65" s="277"/>
      <c r="P65" s="345"/>
      <c r="V65" s="383"/>
    </row>
    <row r="66" spans="1:22" ht="15" customHeight="1">
      <c r="A66" s="8">
        <v>35887</v>
      </c>
      <c r="B66" s="9"/>
      <c r="C66" s="9"/>
      <c r="D66" s="10"/>
      <c r="E66" s="10"/>
      <c r="F66" s="10">
        <v>91875</v>
      </c>
      <c r="G66" s="10"/>
      <c r="H66" s="10"/>
      <c r="I66" s="10"/>
      <c r="J66" s="265"/>
      <c r="K66" s="23">
        <v>574</v>
      </c>
      <c r="L66" s="11">
        <v>574</v>
      </c>
      <c r="M66" s="270">
        <f t="shared" si="0"/>
        <v>-0.5</v>
      </c>
      <c r="N66" s="7"/>
      <c r="O66" s="277"/>
      <c r="P66" s="345"/>
      <c r="V66" s="383"/>
    </row>
    <row r="67" spans="1:22" ht="15" customHeight="1">
      <c r="A67" s="8">
        <v>35888</v>
      </c>
      <c r="B67" s="9"/>
      <c r="C67" s="9"/>
      <c r="D67" s="10"/>
      <c r="E67" s="10"/>
      <c r="F67" s="10">
        <v>90875</v>
      </c>
      <c r="G67" s="10"/>
      <c r="H67" s="10"/>
      <c r="I67" s="10"/>
      <c r="J67" s="265"/>
      <c r="K67" s="23">
        <v>590</v>
      </c>
      <c r="L67" s="11">
        <v>585.5</v>
      </c>
      <c r="M67" s="270">
        <f t="shared" si="0"/>
        <v>16</v>
      </c>
      <c r="N67" s="7"/>
      <c r="O67" s="277"/>
      <c r="P67" s="345"/>
      <c r="V67" s="383"/>
    </row>
    <row r="68" spans="1:22" ht="15" customHeight="1">
      <c r="A68" s="8">
        <v>35891</v>
      </c>
      <c r="B68" s="9"/>
      <c r="C68" s="9"/>
      <c r="D68" s="10"/>
      <c r="E68" s="10"/>
      <c r="F68" s="10">
        <v>90375</v>
      </c>
      <c r="G68" s="10"/>
      <c r="H68" s="10"/>
      <c r="I68" s="10"/>
      <c r="J68" s="265"/>
      <c r="K68" s="23">
        <v>615</v>
      </c>
      <c r="L68" s="11">
        <v>599</v>
      </c>
      <c r="M68" s="270">
        <f t="shared" si="0"/>
        <v>25</v>
      </c>
      <c r="N68" s="7"/>
      <c r="O68" s="277"/>
      <c r="P68" s="345"/>
      <c r="V68" s="383"/>
    </row>
    <row r="69" spans="1:22" ht="15" customHeight="1">
      <c r="A69" s="8">
        <v>35892</v>
      </c>
      <c r="B69" s="9"/>
      <c r="C69" s="9"/>
      <c r="D69" s="10"/>
      <c r="E69" s="10"/>
      <c r="F69" s="10">
        <v>89300</v>
      </c>
      <c r="G69" s="10"/>
      <c r="H69" s="10"/>
      <c r="I69" s="10"/>
      <c r="J69" s="265"/>
      <c r="K69" s="23">
        <v>584</v>
      </c>
      <c r="L69" s="11">
        <v>587.5</v>
      </c>
      <c r="M69" s="270">
        <f t="shared" ref="M69:M132" si="1">+K69-K68</f>
        <v>-31</v>
      </c>
      <c r="N69" s="7"/>
      <c r="O69" s="277"/>
      <c r="P69" s="345"/>
      <c r="V69" s="383"/>
    </row>
    <row r="70" spans="1:22" ht="15" customHeight="1">
      <c r="A70" s="8">
        <v>35893</v>
      </c>
      <c r="B70" s="9"/>
      <c r="C70" s="9"/>
      <c r="D70" s="10"/>
      <c r="E70" s="10"/>
      <c r="F70" s="10">
        <v>107250</v>
      </c>
      <c r="G70" s="10"/>
      <c r="H70" s="10"/>
      <c r="I70" s="10"/>
      <c r="J70" s="265"/>
      <c r="K70" s="23">
        <v>581</v>
      </c>
      <c r="L70" s="11">
        <v>581</v>
      </c>
      <c r="M70" s="270">
        <f t="shared" si="1"/>
        <v>-3</v>
      </c>
      <c r="N70" s="7"/>
      <c r="O70" s="277"/>
      <c r="P70" s="345"/>
      <c r="V70" s="383"/>
    </row>
    <row r="71" spans="1:22" ht="15" customHeight="1">
      <c r="A71" s="8">
        <v>35894</v>
      </c>
      <c r="B71" s="9"/>
      <c r="C71" s="9"/>
      <c r="D71" s="10"/>
      <c r="E71" s="10"/>
      <c r="F71" s="10">
        <v>107100</v>
      </c>
      <c r="G71" s="10"/>
      <c r="H71" s="10"/>
      <c r="I71" s="10"/>
      <c r="J71" s="265"/>
      <c r="K71" s="23">
        <v>581</v>
      </c>
      <c r="L71" s="11">
        <v>582</v>
      </c>
      <c r="M71" s="270">
        <f t="shared" si="1"/>
        <v>0</v>
      </c>
      <c r="N71" s="7"/>
      <c r="O71" s="277"/>
      <c r="P71" s="345"/>
      <c r="V71" s="383"/>
    </row>
    <row r="72" spans="1:22" ht="15" customHeight="1">
      <c r="A72" s="8">
        <v>35899</v>
      </c>
      <c r="B72" s="9"/>
      <c r="C72" s="9"/>
      <c r="D72" s="10"/>
      <c r="E72" s="10"/>
      <c r="F72" s="10">
        <v>106825</v>
      </c>
      <c r="G72" s="10"/>
      <c r="H72" s="10"/>
      <c r="I72" s="10"/>
      <c r="J72" s="265"/>
      <c r="K72" s="23">
        <v>579.5</v>
      </c>
      <c r="L72" s="11">
        <v>585.5</v>
      </c>
      <c r="M72" s="270">
        <f t="shared" si="1"/>
        <v>-1.5</v>
      </c>
      <c r="N72" s="7"/>
      <c r="O72" s="277"/>
      <c r="P72" s="345"/>
      <c r="V72" s="383"/>
    </row>
    <row r="73" spans="1:22" ht="15" customHeight="1">
      <c r="A73" s="8">
        <v>35900</v>
      </c>
      <c r="B73" s="9"/>
      <c r="C73" s="9"/>
      <c r="D73" s="10"/>
      <c r="E73" s="10"/>
      <c r="F73" s="10">
        <v>106625</v>
      </c>
      <c r="G73" s="10"/>
      <c r="H73" s="10"/>
      <c r="I73" s="10"/>
      <c r="J73" s="265"/>
      <c r="K73" s="23">
        <v>574</v>
      </c>
      <c r="L73" s="11">
        <v>582.5</v>
      </c>
      <c r="M73" s="270">
        <f t="shared" si="1"/>
        <v>-5.5</v>
      </c>
      <c r="N73" s="7"/>
      <c r="O73" s="277"/>
      <c r="P73" s="345"/>
      <c r="V73" s="383"/>
    </row>
    <row r="74" spans="1:22" ht="15" customHeight="1">
      <c r="A74" s="8">
        <v>35901</v>
      </c>
      <c r="B74" s="9"/>
      <c r="C74" s="9"/>
      <c r="D74" s="10"/>
      <c r="E74" s="10"/>
      <c r="F74" s="10">
        <v>107350</v>
      </c>
      <c r="G74" s="10"/>
      <c r="H74" s="10"/>
      <c r="I74" s="10"/>
      <c r="J74" s="265"/>
      <c r="K74" s="23">
        <v>571</v>
      </c>
      <c r="L74" s="11">
        <v>577</v>
      </c>
      <c r="M74" s="270">
        <f t="shared" si="1"/>
        <v>-3</v>
      </c>
      <c r="N74" s="7"/>
      <c r="O74" s="277"/>
      <c r="P74" s="345"/>
      <c r="V74" s="383"/>
    </row>
    <row r="75" spans="1:22" ht="15" customHeight="1">
      <c r="A75" s="8">
        <v>35902</v>
      </c>
      <c r="B75" s="9"/>
      <c r="C75" s="9"/>
      <c r="D75" s="10"/>
      <c r="E75" s="10"/>
      <c r="F75" s="10">
        <v>107125</v>
      </c>
      <c r="G75" s="10"/>
      <c r="H75" s="10"/>
      <c r="I75" s="10"/>
      <c r="J75" s="265"/>
      <c r="K75" s="23">
        <v>572</v>
      </c>
      <c r="L75" s="11">
        <v>578</v>
      </c>
      <c r="M75" s="270">
        <f t="shared" si="1"/>
        <v>1</v>
      </c>
      <c r="N75" s="7"/>
      <c r="O75" s="277"/>
      <c r="P75" s="345"/>
      <c r="V75" s="383"/>
    </row>
    <row r="76" spans="1:22" ht="15" customHeight="1">
      <c r="A76" s="8">
        <v>35905</v>
      </c>
      <c r="B76" s="9"/>
      <c r="C76" s="9"/>
      <c r="D76" s="10"/>
      <c r="E76" s="10"/>
      <c r="F76" s="10">
        <v>107450</v>
      </c>
      <c r="G76" s="10"/>
      <c r="H76" s="10"/>
      <c r="I76" s="10"/>
      <c r="J76" s="265"/>
      <c r="K76" s="23">
        <v>566</v>
      </c>
      <c r="L76" s="11">
        <v>574</v>
      </c>
      <c r="M76" s="270">
        <f t="shared" si="1"/>
        <v>-6</v>
      </c>
      <c r="N76" s="7"/>
      <c r="O76" s="277"/>
      <c r="P76" s="345"/>
      <c r="V76" s="383"/>
    </row>
    <row r="77" spans="1:22" ht="15" customHeight="1">
      <c r="A77" s="8">
        <v>35906</v>
      </c>
      <c r="B77" s="9"/>
      <c r="C77" s="9"/>
      <c r="D77" s="10"/>
      <c r="E77" s="10"/>
      <c r="F77" s="10">
        <v>107050</v>
      </c>
      <c r="G77" s="10"/>
      <c r="H77" s="10"/>
      <c r="I77" s="10"/>
      <c r="J77" s="265"/>
      <c r="K77" s="23">
        <v>564</v>
      </c>
      <c r="L77" s="11">
        <v>573.5</v>
      </c>
      <c r="M77" s="270">
        <f t="shared" si="1"/>
        <v>-2</v>
      </c>
      <c r="N77" s="7"/>
      <c r="O77" s="277"/>
      <c r="P77" s="345"/>
      <c r="V77" s="383"/>
    </row>
    <row r="78" spans="1:22" ht="15" customHeight="1">
      <c r="A78" s="8">
        <v>35907</v>
      </c>
      <c r="B78" s="9"/>
      <c r="C78" s="9"/>
      <c r="D78" s="10"/>
      <c r="E78" s="10"/>
      <c r="F78" s="10">
        <v>107600</v>
      </c>
      <c r="G78" s="10"/>
      <c r="H78" s="10"/>
      <c r="I78" s="10"/>
      <c r="J78" s="265"/>
      <c r="K78" s="23">
        <v>572</v>
      </c>
      <c r="L78" s="11">
        <v>581</v>
      </c>
      <c r="M78" s="270">
        <f t="shared" si="1"/>
        <v>8</v>
      </c>
      <c r="N78" s="7"/>
      <c r="O78" s="277"/>
      <c r="P78" s="345"/>
      <c r="V78" s="383"/>
    </row>
    <row r="79" spans="1:22" ht="15" customHeight="1">
      <c r="A79" s="8">
        <v>35908</v>
      </c>
      <c r="B79" s="9"/>
      <c r="C79" s="9"/>
      <c r="D79" s="10"/>
      <c r="E79" s="10"/>
      <c r="F79" s="10">
        <v>107925</v>
      </c>
      <c r="G79" s="10"/>
      <c r="H79" s="10"/>
      <c r="I79" s="10"/>
      <c r="J79" s="265"/>
      <c r="K79" s="23">
        <v>569.5</v>
      </c>
      <c r="L79" s="11">
        <v>579</v>
      </c>
      <c r="M79" s="270">
        <f t="shared" si="1"/>
        <v>-2.5</v>
      </c>
      <c r="N79" s="7"/>
      <c r="O79" s="277"/>
      <c r="P79" s="345"/>
      <c r="V79" s="383"/>
    </row>
    <row r="80" spans="1:22" ht="15" customHeight="1">
      <c r="A80" s="8">
        <v>35909</v>
      </c>
      <c r="B80" s="9"/>
      <c r="C80" s="9"/>
      <c r="D80" s="10"/>
      <c r="E80" s="10"/>
      <c r="F80" s="10">
        <v>107650</v>
      </c>
      <c r="G80" s="10"/>
      <c r="H80" s="10"/>
      <c r="I80" s="10"/>
      <c r="J80" s="265"/>
      <c r="K80" s="23">
        <v>567</v>
      </c>
      <c r="L80" s="11">
        <v>578</v>
      </c>
      <c r="M80" s="270">
        <f t="shared" si="1"/>
        <v>-2.5</v>
      </c>
      <c r="N80" s="7"/>
      <c r="O80" s="277"/>
      <c r="P80" s="345"/>
      <c r="V80" s="383"/>
    </row>
    <row r="81" spans="1:22" ht="15" customHeight="1">
      <c r="A81" s="8">
        <v>35912</v>
      </c>
      <c r="B81" s="9"/>
      <c r="C81" s="9"/>
      <c r="D81" s="10"/>
      <c r="E81" s="10"/>
      <c r="F81" s="10">
        <v>107475</v>
      </c>
      <c r="G81" s="10"/>
      <c r="H81" s="10"/>
      <c r="I81" s="10"/>
      <c r="J81" s="265"/>
      <c r="K81" s="23">
        <v>561</v>
      </c>
      <c r="L81" s="11">
        <v>574</v>
      </c>
      <c r="M81" s="270">
        <f t="shared" si="1"/>
        <v>-6</v>
      </c>
      <c r="N81" s="7"/>
      <c r="O81" s="277"/>
      <c r="P81" s="345"/>
      <c r="V81" s="383"/>
    </row>
    <row r="82" spans="1:22" ht="15" customHeight="1">
      <c r="A82" s="8">
        <v>35913</v>
      </c>
      <c r="B82" s="9"/>
      <c r="C82" s="9"/>
      <c r="D82" s="10"/>
      <c r="E82" s="10"/>
      <c r="F82" s="10">
        <v>107400</v>
      </c>
      <c r="G82" s="10"/>
      <c r="H82" s="10"/>
      <c r="I82" s="10"/>
      <c r="J82" s="265"/>
      <c r="K82" s="23">
        <v>561</v>
      </c>
      <c r="L82" s="11">
        <v>575</v>
      </c>
      <c r="M82" s="270">
        <f t="shared" si="1"/>
        <v>0</v>
      </c>
      <c r="N82" s="7"/>
      <c r="O82" s="277"/>
      <c r="P82" s="345"/>
      <c r="V82" s="383"/>
    </row>
    <row r="83" spans="1:22" ht="15" customHeight="1">
      <c r="A83" s="8">
        <v>35914</v>
      </c>
      <c r="B83" s="9"/>
      <c r="C83" s="9"/>
      <c r="D83" s="10"/>
      <c r="E83" s="10"/>
      <c r="F83" s="10">
        <v>107300</v>
      </c>
      <c r="G83" s="10"/>
      <c r="H83" s="10"/>
      <c r="I83" s="10"/>
      <c r="J83" s="265"/>
      <c r="K83" s="23">
        <v>549.5</v>
      </c>
      <c r="L83" s="11">
        <v>563.5</v>
      </c>
      <c r="M83" s="270">
        <f t="shared" si="1"/>
        <v>-11.5</v>
      </c>
      <c r="N83" s="7"/>
      <c r="O83" s="277"/>
      <c r="P83" s="345"/>
      <c r="V83" s="383"/>
    </row>
    <row r="84" spans="1:22" ht="15" customHeight="1">
      <c r="A84" s="8">
        <v>35915</v>
      </c>
      <c r="B84" s="9"/>
      <c r="C84" s="9"/>
      <c r="D84" s="10"/>
      <c r="E84" s="10"/>
      <c r="F84" s="10">
        <v>107100</v>
      </c>
      <c r="G84" s="10"/>
      <c r="H84" s="10"/>
      <c r="I84" s="10"/>
      <c r="J84" s="265"/>
      <c r="K84" s="23">
        <v>547</v>
      </c>
      <c r="L84" s="11">
        <v>563</v>
      </c>
      <c r="M84" s="270">
        <f t="shared" si="1"/>
        <v>-2.5</v>
      </c>
      <c r="N84" s="7"/>
      <c r="O84" s="277"/>
      <c r="P84" s="345"/>
      <c r="V84" s="383"/>
    </row>
    <row r="85" spans="1:22" ht="15" customHeight="1">
      <c r="A85" s="8">
        <v>35916</v>
      </c>
      <c r="B85" s="9"/>
      <c r="C85" s="9"/>
      <c r="D85" s="10"/>
      <c r="E85" s="10"/>
      <c r="F85" s="10">
        <v>107250</v>
      </c>
      <c r="G85" s="10"/>
      <c r="H85" s="10"/>
      <c r="I85" s="10"/>
      <c r="J85" s="265"/>
      <c r="K85" s="23">
        <v>542</v>
      </c>
      <c r="L85" s="11">
        <v>555.5</v>
      </c>
      <c r="M85" s="270">
        <f t="shared" si="1"/>
        <v>-5</v>
      </c>
      <c r="N85" s="7"/>
      <c r="O85" s="277"/>
      <c r="P85" s="345"/>
      <c r="V85" s="383"/>
    </row>
    <row r="86" spans="1:22" ht="15" customHeight="1">
      <c r="A86" s="8">
        <v>35920</v>
      </c>
      <c r="B86" s="9"/>
      <c r="C86" s="9"/>
      <c r="D86" s="10"/>
      <c r="E86" s="10"/>
      <c r="F86" s="10">
        <v>107250</v>
      </c>
      <c r="G86" s="10"/>
      <c r="H86" s="10"/>
      <c r="I86" s="10"/>
      <c r="J86" s="265"/>
      <c r="K86" s="23">
        <v>549.5</v>
      </c>
      <c r="L86" s="11">
        <v>565</v>
      </c>
      <c r="M86" s="270">
        <f t="shared" si="1"/>
        <v>7.5</v>
      </c>
      <c r="N86" s="7"/>
      <c r="O86" s="277"/>
      <c r="P86" s="345"/>
      <c r="V86" s="383"/>
    </row>
    <row r="87" spans="1:22" ht="15" customHeight="1">
      <c r="A87" s="8">
        <v>35921</v>
      </c>
      <c r="B87" s="9"/>
      <c r="C87" s="9"/>
      <c r="D87" s="10"/>
      <c r="E87" s="10"/>
      <c r="F87" s="10">
        <v>106500</v>
      </c>
      <c r="G87" s="10"/>
      <c r="H87" s="10"/>
      <c r="I87" s="10"/>
      <c r="J87" s="265"/>
      <c r="K87" s="23">
        <v>548.5</v>
      </c>
      <c r="L87" s="11">
        <v>564</v>
      </c>
      <c r="M87" s="270">
        <f t="shared" si="1"/>
        <v>-1</v>
      </c>
      <c r="N87" s="7"/>
      <c r="O87" s="277"/>
      <c r="P87" s="345"/>
      <c r="V87" s="383"/>
    </row>
    <row r="88" spans="1:22" ht="15" customHeight="1">
      <c r="A88" s="8">
        <v>35922</v>
      </c>
      <c r="B88" s="9"/>
      <c r="C88" s="9"/>
      <c r="D88" s="10"/>
      <c r="E88" s="10"/>
      <c r="F88" s="10">
        <v>106600</v>
      </c>
      <c r="G88" s="10"/>
      <c r="H88" s="10"/>
      <c r="I88" s="10"/>
      <c r="J88" s="265"/>
      <c r="K88" s="23">
        <v>546.5</v>
      </c>
      <c r="L88" s="11">
        <v>561</v>
      </c>
      <c r="M88" s="270">
        <f t="shared" si="1"/>
        <v>-2</v>
      </c>
      <c r="N88" s="7"/>
      <c r="O88" s="277"/>
      <c r="P88" s="345"/>
      <c r="V88" s="383"/>
    </row>
    <row r="89" spans="1:22" ht="15" customHeight="1">
      <c r="A89" s="8">
        <v>35923</v>
      </c>
      <c r="B89" s="9"/>
      <c r="C89" s="9"/>
      <c r="D89" s="10"/>
      <c r="E89" s="10"/>
      <c r="F89" s="10">
        <v>106600</v>
      </c>
      <c r="G89" s="10"/>
      <c r="H89" s="10"/>
      <c r="I89" s="10"/>
      <c r="J89" s="265"/>
      <c r="K89" s="23">
        <v>541</v>
      </c>
      <c r="L89" s="11">
        <v>557</v>
      </c>
      <c r="M89" s="270">
        <f t="shared" si="1"/>
        <v>-5.5</v>
      </c>
      <c r="N89" s="7"/>
      <c r="O89" s="277"/>
      <c r="P89" s="345"/>
      <c r="V89" s="383"/>
    </row>
    <row r="90" spans="1:22" ht="15" customHeight="1">
      <c r="A90" s="8">
        <v>35926</v>
      </c>
      <c r="B90" s="9"/>
      <c r="C90" s="9"/>
      <c r="D90" s="10"/>
      <c r="E90" s="10"/>
      <c r="F90" s="10">
        <v>106400</v>
      </c>
      <c r="G90" s="10"/>
      <c r="H90" s="10"/>
      <c r="I90" s="10"/>
      <c r="J90" s="265"/>
      <c r="K90" s="23">
        <v>538</v>
      </c>
      <c r="L90" s="11">
        <v>553</v>
      </c>
      <c r="M90" s="270">
        <f t="shared" si="1"/>
        <v>-3</v>
      </c>
      <c r="N90" s="7"/>
      <c r="O90" s="277"/>
      <c r="P90" s="345"/>
      <c r="V90" s="383"/>
    </row>
    <row r="91" spans="1:22" ht="15" customHeight="1">
      <c r="A91" s="8">
        <v>35927</v>
      </c>
      <c r="B91" s="9"/>
      <c r="C91" s="9"/>
      <c r="D91" s="10"/>
      <c r="E91" s="10"/>
      <c r="F91" s="10">
        <v>106350</v>
      </c>
      <c r="G91" s="10"/>
      <c r="H91" s="10"/>
      <c r="I91" s="10"/>
      <c r="J91" s="265"/>
      <c r="K91" s="23">
        <v>531.5</v>
      </c>
      <c r="L91" s="11">
        <v>547</v>
      </c>
      <c r="M91" s="270">
        <f t="shared" si="1"/>
        <v>-6.5</v>
      </c>
      <c r="N91" s="7"/>
      <c r="O91" s="277"/>
      <c r="P91" s="345"/>
      <c r="V91" s="383"/>
    </row>
    <row r="92" spans="1:22" ht="15" customHeight="1">
      <c r="A92" s="8">
        <v>35928</v>
      </c>
      <c r="B92" s="9"/>
      <c r="C92" s="9"/>
      <c r="D92" s="10"/>
      <c r="E92" s="10"/>
      <c r="F92" s="10">
        <v>106275</v>
      </c>
      <c r="G92" s="10"/>
      <c r="H92" s="10"/>
      <c r="I92" s="10"/>
      <c r="J92" s="265"/>
      <c r="K92" s="23">
        <v>531.5</v>
      </c>
      <c r="L92" s="11">
        <v>547</v>
      </c>
      <c r="M92" s="270">
        <f t="shared" si="1"/>
        <v>0</v>
      </c>
      <c r="N92" s="7"/>
      <c r="O92" s="277"/>
      <c r="P92" s="345"/>
      <c r="V92" s="383"/>
    </row>
    <row r="93" spans="1:22" ht="15" customHeight="1">
      <c r="A93" s="8">
        <v>35929</v>
      </c>
      <c r="B93" s="9"/>
      <c r="C93" s="9"/>
      <c r="D93" s="10"/>
      <c r="E93" s="10"/>
      <c r="F93" s="10">
        <v>107650</v>
      </c>
      <c r="G93" s="10"/>
      <c r="H93" s="10"/>
      <c r="I93" s="10"/>
      <c r="J93" s="265"/>
      <c r="K93" s="23">
        <v>531</v>
      </c>
      <c r="L93" s="11">
        <v>546.5</v>
      </c>
      <c r="M93" s="270">
        <f t="shared" si="1"/>
        <v>-0.5</v>
      </c>
      <c r="N93" s="7"/>
      <c r="O93" s="277"/>
      <c r="P93" s="345"/>
      <c r="V93" s="383"/>
    </row>
    <row r="94" spans="1:22" ht="15" customHeight="1">
      <c r="A94" s="8">
        <v>35930</v>
      </c>
      <c r="B94" s="9"/>
      <c r="C94" s="9"/>
      <c r="D94" s="10"/>
      <c r="E94" s="10"/>
      <c r="F94" s="10">
        <v>107475</v>
      </c>
      <c r="G94" s="10"/>
      <c r="H94" s="10"/>
      <c r="I94" s="10"/>
      <c r="J94" s="265"/>
      <c r="K94" s="23">
        <v>533</v>
      </c>
      <c r="L94" s="11">
        <v>547.5</v>
      </c>
      <c r="M94" s="270">
        <f t="shared" si="1"/>
        <v>2</v>
      </c>
      <c r="N94" s="7"/>
      <c r="O94" s="277"/>
      <c r="P94" s="345"/>
      <c r="V94" s="383"/>
    </row>
    <row r="95" spans="1:22" ht="15" customHeight="1">
      <c r="A95" s="8">
        <v>35933</v>
      </c>
      <c r="B95" s="9"/>
      <c r="C95" s="9"/>
      <c r="D95" s="10"/>
      <c r="E95" s="10"/>
      <c r="F95" s="10">
        <v>107375</v>
      </c>
      <c r="G95" s="10"/>
      <c r="H95" s="10"/>
      <c r="I95" s="10"/>
      <c r="J95" s="265"/>
      <c r="K95" s="23">
        <v>530</v>
      </c>
      <c r="L95" s="11">
        <v>547</v>
      </c>
      <c r="M95" s="270">
        <f t="shared" si="1"/>
        <v>-3</v>
      </c>
      <c r="N95" s="7"/>
      <c r="O95" s="277"/>
      <c r="P95" s="345"/>
      <c r="V95" s="383"/>
    </row>
    <row r="96" spans="1:22" ht="15" customHeight="1">
      <c r="A96" s="8">
        <v>35934</v>
      </c>
      <c r="B96" s="9"/>
      <c r="C96" s="9"/>
      <c r="D96" s="10"/>
      <c r="E96" s="10"/>
      <c r="F96" s="10">
        <v>107325</v>
      </c>
      <c r="G96" s="10"/>
      <c r="H96" s="10"/>
      <c r="I96" s="10"/>
      <c r="J96" s="265"/>
      <c r="K96" s="23">
        <v>538</v>
      </c>
      <c r="L96" s="11">
        <v>553.5</v>
      </c>
      <c r="M96" s="270">
        <f t="shared" si="1"/>
        <v>8</v>
      </c>
      <c r="N96" s="7"/>
      <c r="O96" s="277"/>
      <c r="P96" s="345"/>
      <c r="V96" s="383"/>
    </row>
    <row r="97" spans="1:22" ht="15" customHeight="1">
      <c r="A97" s="8">
        <v>35935</v>
      </c>
      <c r="B97" s="9"/>
      <c r="C97" s="9"/>
      <c r="D97" s="10"/>
      <c r="E97" s="10"/>
      <c r="F97" s="10">
        <v>107325</v>
      </c>
      <c r="G97" s="10"/>
      <c r="H97" s="10"/>
      <c r="I97" s="10"/>
      <c r="J97" s="265"/>
      <c r="K97" s="23">
        <v>546.5</v>
      </c>
      <c r="L97" s="11">
        <v>560.5</v>
      </c>
      <c r="M97" s="270">
        <f t="shared" si="1"/>
        <v>8.5</v>
      </c>
      <c r="N97" s="7"/>
      <c r="O97" s="277"/>
      <c r="P97" s="345"/>
      <c r="V97" s="383"/>
    </row>
    <row r="98" spans="1:22" ht="15" customHeight="1">
      <c r="A98" s="8">
        <v>35936</v>
      </c>
      <c r="B98" s="9"/>
      <c r="C98" s="9"/>
      <c r="D98" s="10"/>
      <c r="E98" s="10"/>
      <c r="F98" s="10">
        <v>107325</v>
      </c>
      <c r="G98" s="10"/>
      <c r="H98" s="10"/>
      <c r="I98" s="10"/>
      <c r="J98" s="265"/>
      <c r="K98" s="23">
        <v>551.5</v>
      </c>
      <c r="L98" s="11">
        <v>565</v>
      </c>
      <c r="M98" s="270">
        <f t="shared" si="1"/>
        <v>5</v>
      </c>
      <c r="N98" s="7"/>
      <c r="O98" s="277"/>
      <c r="P98" s="345"/>
      <c r="V98" s="383"/>
    </row>
    <row r="99" spans="1:22" ht="15" customHeight="1">
      <c r="A99" s="8">
        <v>35937</v>
      </c>
      <c r="B99" s="9"/>
      <c r="C99" s="9"/>
      <c r="D99" s="10"/>
      <c r="E99" s="10"/>
      <c r="F99" s="10">
        <v>106425</v>
      </c>
      <c r="G99" s="10"/>
      <c r="H99" s="10"/>
      <c r="I99" s="10"/>
      <c r="J99" s="265"/>
      <c r="K99" s="23">
        <v>560</v>
      </c>
      <c r="L99" s="11">
        <v>570.5</v>
      </c>
      <c r="M99" s="270">
        <f t="shared" si="1"/>
        <v>8.5</v>
      </c>
      <c r="N99" s="7"/>
      <c r="O99" s="277"/>
      <c r="P99" s="345"/>
      <c r="V99" s="383"/>
    </row>
    <row r="100" spans="1:22" ht="15" customHeight="1">
      <c r="A100" s="8">
        <v>35941</v>
      </c>
      <c r="B100" s="9"/>
      <c r="C100" s="9"/>
      <c r="D100" s="10"/>
      <c r="E100" s="10"/>
      <c r="F100" s="10">
        <v>107400</v>
      </c>
      <c r="G100" s="10"/>
      <c r="H100" s="10"/>
      <c r="I100" s="10"/>
      <c r="J100" s="265"/>
      <c r="K100" s="23">
        <v>553.5</v>
      </c>
      <c r="L100" s="11">
        <v>565.5</v>
      </c>
      <c r="M100" s="270">
        <f t="shared" si="1"/>
        <v>-6.5</v>
      </c>
      <c r="N100" s="7"/>
      <c r="O100" s="277"/>
      <c r="P100" s="345"/>
      <c r="V100" s="383"/>
    </row>
    <row r="101" spans="1:22" ht="15" customHeight="1">
      <c r="A101" s="8">
        <v>35942</v>
      </c>
      <c r="B101" s="9"/>
      <c r="C101" s="9"/>
      <c r="D101" s="10"/>
      <c r="E101" s="10"/>
      <c r="F101" s="10">
        <v>106750</v>
      </c>
      <c r="G101" s="10"/>
      <c r="H101" s="10"/>
      <c r="I101" s="10"/>
      <c r="J101" s="265"/>
      <c r="K101" s="23">
        <v>549</v>
      </c>
      <c r="L101" s="11">
        <v>559</v>
      </c>
      <c r="M101" s="270">
        <f t="shared" si="1"/>
        <v>-4.5</v>
      </c>
      <c r="N101" s="7"/>
      <c r="O101" s="277"/>
      <c r="P101" s="345"/>
      <c r="V101" s="383"/>
    </row>
    <row r="102" spans="1:22" ht="15" customHeight="1">
      <c r="A102" s="8">
        <v>35943</v>
      </c>
      <c r="B102" s="9"/>
      <c r="C102" s="9"/>
      <c r="D102" s="10"/>
      <c r="E102" s="10"/>
      <c r="F102" s="10">
        <v>106650</v>
      </c>
      <c r="G102" s="10"/>
      <c r="H102" s="10"/>
      <c r="I102" s="10"/>
      <c r="J102" s="265"/>
      <c r="K102" s="23">
        <v>554</v>
      </c>
      <c r="L102" s="11">
        <v>567</v>
      </c>
      <c r="M102" s="270">
        <f t="shared" si="1"/>
        <v>5</v>
      </c>
      <c r="N102" s="7"/>
      <c r="O102" s="277"/>
      <c r="P102" s="345"/>
      <c r="V102" s="383"/>
    </row>
    <row r="103" spans="1:22" ht="15" customHeight="1">
      <c r="A103" s="8">
        <v>35944</v>
      </c>
      <c r="B103" s="9"/>
      <c r="C103" s="9"/>
      <c r="D103" s="10"/>
      <c r="E103" s="10"/>
      <c r="F103" s="10">
        <v>106600</v>
      </c>
      <c r="G103" s="10"/>
      <c r="H103" s="10"/>
      <c r="I103" s="10"/>
      <c r="J103" s="265"/>
      <c r="K103" s="23">
        <v>551</v>
      </c>
      <c r="L103" s="11">
        <v>562</v>
      </c>
      <c r="M103" s="270">
        <f t="shared" si="1"/>
        <v>-3</v>
      </c>
      <c r="N103" s="7"/>
      <c r="O103" s="277"/>
      <c r="P103" s="345"/>
      <c r="V103" s="383"/>
    </row>
    <row r="104" spans="1:22" ht="15" customHeight="1">
      <c r="A104" s="8">
        <v>35947</v>
      </c>
      <c r="B104" s="9"/>
      <c r="C104" s="9"/>
      <c r="D104" s="10"/>
      <c r="E104" s="10"/>
      <c r="F104" s="10">
        <v>105800</v>
      </c>
      <c r="G104" s="10"/>
      <c r="H104" s="10"/>
      <c r="I104" s="10"/>
      <c r="J104" s="265"/>
      <c r="K104" s="23">
        <v>547</v>
      </c>
      <c r="L104" s="11">
        <v>560.5</v>
      </c>
      <c r="M104" s="270">
        <f t="shared" si="1"/>
        <v>-4</v>
      </c>
      <c r="N104" s="7"/>
      <c r="O104" s="277"/>
      <c r="P104" s="345"/>
      <c r="V104" s="383"/>
    </row>
    <row r="105" spans="1:22" ht="15" customHeight="1">
      <c r="A105" s="8">
        <v>35948</v>
      </c>
      <c r="B105" s="9"/>
      <c r="C105" s="9"/>
      <c r="D105" s="10"/>
      <c r="E105" s="10"/>
      <c r="F105" s="10">
        <v>106275</v>
      </c>
      <c r="G105" s="10"/>
      <c r="H105" s="10"/>
      <c r="I105" s="10"/>
      <c r="J105" s="265"/>
      <c r="K105" s="23">
        <v>543</v>
      </c>
      <c r="L105" s="11">
        <v>556.5</v>
      </c>
      <c r="M105" s="270">
        <f t="shared" si="1"/>
        <v>-4</v>
      </c>
      <c r="N105" s="7"/>
      <c r="O105" s="277"/>
      <c r="P105" s="345"/>
      <c r="V105" s="383"/>
    </row>
    <row r="106" spans="1:22" ht="15" customHeight="1">
      <c r="A106" s="8">
        <v>35949</v>
      </c>
      <c r="B106" s="9"/>
      <c r="C106" s="9"/>
      <c r="D106" s="10"/>
      <c r="E106" s="10"/>
      <c r="F106" s="10">
        <v>105300</v>
      </c>
      <c r="G106" s="10"/>
      <c r="H106" s="10"/>
      <c r="I106" s="10"/>
      <c r="J106" s="265"/>
      <c r="K106" s="23">
        <v>538</v>
      </c>
      <c r="L106" s="11">
        <v>551.5</v>
      </c>
      <c r="M106" s="270">
        <f t="shared" si="1"/>
        <v>-5</v>
      </c>
      <c r="N106" s="7"/>
      <c r="O106" s="277"/>
      <c r="P106" s="345"/>
      <c r="V106" s="383"/>
    </row>
    <row r="107" spans="1:22" ht="15" customHeight="1">
      <c r="A107" s="8">
        <v>35950</v>
      </c>
      <c r="B107" s="9"/>
      <c r="C107" s="9"/>
      <c r="D107" s="10"/>
      <c r="E107" s="10"/>
      <c r="F107" s="10">
        <v>105950</v>
      </c>
      <c r="G107" s="10"/>
      <c r="H107" s="10"/>
      <c r="I107" s="10"/>
      <c r="J107" s="265"/>
      <c r="K107" s="23">
        <v>527.5</v>
      </c>
      <c r="L107" s="11">
        <v>538</v>
      </c>
      <c r="M107" s="270">
        <f t="shared" si="1"/>
        <v>-10.5</v>
      </c>
      <c r="N107" s="7"/>
      <c r="O107" s="277"/>
      <c r="P107" s="345"/>
      <c r="V107" s="383"/>
    </row>
    <row r="108" spans="1:22" ht="15" customHeight="1">
      <c r="A108" s="8">
        <v>35951</v>
      </c>
      <c r="B108" s="9"/>
      <c r="C108" s="9"/>
      <c r="D108" s="10"/>
      <c r="E108" s="10"/>
      <c r="F108" s="10">
        <v>105950</v>
      </c>
      <c r="G108" s="10"/>
      <c r="H108" s="10"/>
      <c r="I108" s="10"/>
      <c r="J108" s="265"/>
      <c r="K108" s="23">
        <v>534</v>
      </c>
      <c r="L108" s="11">
        <v>544.5</v>
      </c>
      <c r="M108" s="270">
        <f t="shared" si="1"/>
        <v>6.5</v>
      </c>
      <c r="N108" s="7"/>
      <c r="O108" s="277"/>
      <c r="P108" s="345"/>
      <c r="V108" s="383"/>
    </row>
    <row r="109" spans="1:22" ht="15" customHeight="1">
      <c r="A109" s="8">
        <v>35954</v>
      </c>
      <c r="B109" s="9"/>
      <c r="C109" s="9"/>
      <c r="D109" s="10"/>
      <c r="E109" s="10"/>
      <c r="F109" s="10">
        <v>105950</v>
      </c>
      <c r="G109" s="10"/>
      <c r="H109" s="10"/>
      <c r="I109" s="10"/>
      <c r="J109" s="265"/>
      <c r="K109" s="23">
        <v>527</v>
      </c>
      <c r="L109" s="11">
        <v>540.5</v>
      </c>
      <c r="M109" s="270">
        <f t="shared" si="1"/>
        <v>-7</v>
      </c>
      <c r="N109" s="7"/>
      <c r="O109" s="277"/>
      <c r="P109" s="345"/>
      <c r="V109" s="383"/>
    </row>
    <row r="110" spans="1:22" ht="15" customHeight="1">
      <c r="A110" s="8">
        <v>35955</v>
      </c>
      <c r="B110" s="9"/>
      <c r="C110" s="9"/>
      <c r="D110" s="10"/>
      <c r="E110" s="10"/>
      <c r="F110" s="10">
        <v>105550</v>
      </c>
      <c r="G110" s="10"/>
      <c r="H110" s="10"/>
      <c r="I110" s="10"/>
      <c r="J110" s="265"/>
      <c r="K110" s="23">
        <v>535</v>
      </c>
      <c r="L110" s="11">
        <v>547.5</v>
      </c>
      <c r="M110" s="270">
        <f t="shared" si="1"/>
        <v>8</v>
      </c>
      <c r="N110" s="7"/>
      <c r="O110" s="277"/>
      <c r="P110" s="345"/>
      <c r="V110" s="383"/>
    </row>
    <row r="111" spans="1:22" ht="15" customHeight="1">
      <c r="A111" s="8">
        <v>35956</v>
      </c>
      <c r="B111" s="9"/>
      <c r="C111" s="9"/>
      <c r="D111" s="10"/>
      <c r="E111" s="10"/>
      <c r="F111" s="10">
        <v>105550</v>
      </c>
      <c r="G111" s="10"/>
      <c r="H111" s="10"/>
      <c r="I111" s="10"/>
      <c r="J111" s="265"/>
      <c r="K111" s="23">
        <v>530</v>
      </c>
      <c r="L111" s="11">
        <v>544</v>
      </c>
      <c r="M111" s="270">
        <f t="shared" si="1"/>
        <v>-5</v>
      </c>
      <c r="N111" s="7"/>
      <c r="O111" s="277"/>
      <c r="P111" s="345"/>
      <c r="V111" s="383"/>
    </row>
    <row r="112" spans="1:22" ht="15" customHeight="1">
      <c r="A112" s="8">
        <v>35957</v>
      </c>
      <c r="B112" s="9"/>
      <c r="C112" s="9"/>
      <c r="D112" s="10"/>
      <c r="E112" s="10"/>
      <c r="F112" s="10">
        <v>105525</v>
      </c>
      <c r="G112" s="10"/>
      <c r="H112" s="10"/>
      <c r="I112" s="10"/>
      <c r="J112" s="265"/>
      <c r="K112" s="23">
        <v>530</v>
      </c>
      <c r="L112" s="11">
        <v>543</v>
      </c>
      <c r="M112" s="270">
        <f t="shared" si="1"/>
        <v>0</v>
      </c>
      <c r="N112" s="7"/>
      <c r="O112" s="277"/>
      <c r="P112" s="345"/>
      <c r="V112" s="383"/>
    </row>
    <row r="113" spans="1:22" ht="15" customHeight="1">
      <c r="A113" s="8">
        <v>35958</v>
      </c>
      <c r="B113" s="9"/>
      <c r="C113" s="9"/>
      <c r="D113" s="10"/>
      <c r="E113" s="10"/>
      <c r="F113" s="10">
        <v>105825</v>
      </c>
      <c r="G113" s="10"/>
      <c r="H113" s="10"/>
      <c r="I113" s="10"/>
      <c r="J113" s="265"/>
      <c r="K113" s="23">
        <v>527</v>
      </c>
      <c r="L113" s="11">
        <v>540.5</v>
      </c>
      <c r="M113" s="270">
        <f t="shared" si="1"/>
        <v>-3</v>
      </c>
      <c r="N113" s="7"/>
      <c r="O113" s="277"/>
      <c r="P113" s="345"/>
      <c r="V113" s="383"/>
    </row>
    <row r="114" spans="1:22" ht="15" customHeight="1">
      <c r="A114" s="8">
        <v>35961</v>
      </c>
      <c r="B114" s="9"/>
      <c r="C114" s="9"/>
      <c r="D114" s="10"/>
      <c r="E114" s="10"/>
      <c r="F114" s="10">
        <v>105800</v>
      </c>
      <c r="G114" s="10"/>
      <c r="H114" s="10"/>
      <c r="I114" s="10"/>
      <c r="J114" s="265"/>
      <c r="K114" s="23">
        <v>519</v>
      </c>
      <c r="L114" s="11">
        <v>534.5</v>
      </c>
      <c r="M114" s="270">
        <f t="shared" si="1"/>
        <v>-8</v>
      </c>
      <c r="N114" s="7"/>
      <c r="O114" s="277"/>
      <c r="P114" s="345"/>
      <c r="V114" s="383"/>
    </row>
    <row r="115" spans="1:22" ht="15" customHeight="1">
      <c r="A115" s="8">
        <v>35962</v>
      </c>
      <c r="B115" s="9"/>
      <c r="C115" s="9"/>
      <c r="D115" s="10"/>
      <c r="E115" s="10"/>
      <c r="F115" s="10">
        <v>105750</v>
      </c>
      <c r="G115" s="10"/>
      <c r="H115" s="10"/>
      <c r="I115" s="10"/>
      <c r="J115" s="265"/>
      <c r="K115" s="23">
        <v>516</v>
      </c>
      <c r="L115" s="11">
        <v>532</v>
      </c>
      <c r="M115" s="270">
        <f t="shared" si="1"/>
        <v>-3</v>
      </c>
      <c r="N115" s="7"/>
      <c r="O115" s="277"/>
      <c r="P115" s="345"/>
      <c r="V115" s="383"/>
    </row>
    <row r="116" spans="1:22" ht="15" customHeight="1">
      <c r="A116" s="8">
        <v>35963</v>
      </c>
      <c r="B116" s="9"/>
      <c r="C116" s="9"/>
      <c r="D116" s="10"/>
      <c r="E116" s="10"/>
      <c r="F116" s="10">
        <v>105675</v>
      </c>
      <c r="G116" s="10"/>
      <c r="H116" s="10"/>
      <c r="I116" s="10"/>
      <c r="J116" s="265"/>
      <c r="K116" s="23">
        <v>526.5</v>
      </c>
      <c r="L116" s="11">
        <v>542</v>
      </c>
      <c r="M116" s="270">
        <f t="shared" si="1"/>
        <v>10.5</v>
      </c>
      <c r="N116" s="7"/>
      <c r="O116" s="277"/>
      <c r="P116" s="345"/>
      <c r="V116" s="383"/>
    </row>
    <row r="117" spans="1:22" ht="15" customHeight="1">
      <c r="A117" s="8">
        <v>35964</v>
      </c>
      <c r="B117" s="9"/>
      <c r="C117" s="9"/>
      <c r="D117" s="10"/>
      <c r="E117" s="10"/>
      <c r="F117" s="10">
        <v>105350</v>
      </c>
      <c r="G117" s="10"/>
      <c r="H117" s="10"/>
      <c r="I117" s="10"/>
      <c r="J117" s="265"/>
      <c r="K117" s="23">
        <v>527</v>
      </c>
      <c r="L117" s="11">
        <v>542</v>
      </c>
      <c r="M117" s="270">
        <f t="shared" si="1"/>
        <v>0.5</v>
      </c>
      <c r="N117" s="7"/>
      <c r="O117" s="277"/>
      <c r="P117" s="345"/>
      <c r="V117" s="383"/>
    </row>
    <row r="118" spans="1:22" ht="15" customHeight="1">
      <c r="A118" s="8">
        <v>35965</v>
      </c>
      <c r="B118" s="9"/>
      <c r="C118" s="9"/>
      <c r="D118" s="10"/>
      <c r="E118" s="10"/>
      <c r="F118" s="10">
        <v>106200</v>
      </c>
      <c r="G118" s="10"/>
      <c r="H118" s="10"/>
      <c r="I118" s="10"/>
      <c r="J118" s="265"/>
      <c r="K118" s="23">
        <v>519</v>
      </c>
      <c r="L118" s="11">
        <v>534</v>
      </c>
      <c r="M118" s="270">
        <f t="shared" si="1"/>
        <v>-8</v>
      </c>
      <c r="N118" s="7"/>
      <c r="O118" s="277"/>
      <c r="P118" s="345"/>
      <c r="V118" s="383"/>
    </row>
    <row r="119" spans="1:22" ht="15" customHeight="1">
      <c r="A119" s="8">
        <v>35968</v>
      </c>
      <c r="B119" s="9"/>
      <c r="C119" s="9"/>
      <c r="D119" s="10"/>
      <c r="E119" s="10"/>
      <c r="F119" s="10">
        <v>106175</v>
      </c>
      <c r="G119" s="10"/>
      <c r="H119" s="10"/>
      <c r="I119" s="10"/>
      <c r="J119" s="265"/>
      <c r="K119" s="23">
        <v>521</v>
      </c>
      <c r="L119" s="11">
        <v>538</v>
      </c>
      <c r="M119" s="270">
        <f t="shared" si="1"/>
        <v>2</v>
      </c>
      <c r="N119" s="7"/>
      <c r="O119" s="277"/>
      <c r="P119" s="345"/>
      <c r="V119" s="383"/>
    </row>
    <row r="120" spans="1:22" ht="15" customHeight="1">
      <c r="A120" s="8">
        <v>35969</v>
      </c>
      <c r="B120" s="9"/>
      <c r="C120" s="9"/>
      <c r="D120" s="10"/>
      <c r="E120" s="10"/>
      <c r="F120" s="10">
        <v>106050</v>
      </c>
      <c r="G120" s="10"/>
      <c r="H120" s="10"/>
      <c r="I120" s="10"/>
      <c r="J120" s="265"/>
      <c r="K120" s="23">
        <v>523</v>
      </c>
      <c r="L120" s="11">
        <v>538</v>
      </c>
      <c r="M120" s="270">
        <f t="shared" si="1"/>
        <v>2</v>
      </c>
      <c r="N120" s="7"/>
      <c r="O120" s="277"/>
      <c r="P120" s="345"/>
      <c r="V120" s="383"/>
    </row>
    <row r="121" spans="1:22" ht="15" customHeight="1">
      <c r="A121" s="8">
        <v>35970</v>
      </c>
      <c r="B121" s="9"/>
      <c r="C121" s="9"/>
      <c r="D121" s="10"/>
      <c r="E121" s="10"/>
      <c r="F121" s="10">
        <v>105950</v>
      </c>
      <c r="G121" s="10"/>
      <c r="H121" s="10"/>
      <c r="I121" s="10"/>
      <c r="J121" s="265"/>
      <c r="K121" s="23">
        <v>522.5</v>
      </c>
      <c r="L121" s="11">
        <v>538</v>
      </c>
      <c r="M121" s="270">
        <f t="shared" si="1"/>
        <v>-0.5</v>
      </c>
      <c r="N121" s="7"/>
      <c r="O121" s="277"/>
      <c r="P121" s="345"/>
      <c r="V121" s="383"/>
    </row>
    <row r="122" spans="1:22" ht="15" customHeight="1">
      <c r="A122" s="8">
        <v>35971</v>
      </c>
      <c r="B122" s="9"/>
      <c r="C122" s="9"/>
      <c r="D122" s="10"/>
      <c r="E122" s="10"/>
      <c r="F122" s="10">
        <v>106100</v>
      </c>
      <c r="G122" s="10"/>
      <c r="H122" s="10"/>
      <c r="I122" s="10"/>
      <c r="J122" s="265"/>
      <c r="K122" s="23">
        <v>522.5</v>
      </c>
      <c r="L122" s="11">
        <v>539</v>
      </c>
      <c r="M122" s="270">
        <f t="shared" si="1"/>
        <v>0</v>
      </c>
      <c r="N122" s="7"/>
      <c r="O122" s="277"/>
      <c r="P122" s="345"/>
      <c r="V122" s="383"/>
    </row>
    <row r="123" spans="1:22" ht="15" customHeight="1">
      <c r="A123" s="8">
        <v>35972</v>
      </c>
      <c r="B123" s="9"/>
      <c r="C123" s="9"/>
      <c r="D123" s="10"/>
      <c r="E123" s="10"/>
      <c r="F123" s="10">
        <v>105050</v>
      </c>
      <c r="G123" s="10"/>
      <c r="H123" s="10"/>
      <c r="I123" s="10"/>
      <c r="J123" s="265"/>
      <c r="K123" s="23">
        <v>522</v>
      </c>
      <c r="L123" s="11">
        <v>538</v>
      </c>
      <c r="M123" s="270">
        <f t="shared" si="1"/>
        <v>-0.5</v>
      </c>
      <c r="N123" s="7"/>
      <c r="O123" s="277"/>
      <c r="P123" s="345"/>
      <c r="V123" s="383"/>
    </row>
    <row r="124" spans="1:22" ht="15" customHeight="1">
      <c r="A124" s="8">
        <v>35975</v>
      </c>
      <c r="B124" s="9"/>
      <c r="C124" s="9"/>
      <c r="D124" s="10"/>
      <c r="E124" s="10"/>
      <c r="F124" s="10">
        <v>105050</v>
      </c>
      <c r="G124" s="10"/>
      <c r="H124" s="10"/>
      <c r="I124" s="10"/>
      <c r="J124" s="265"/>
      <c r="K124" s="23">
        <v>521</v>
      </c>
      <c r="L124" s="11">
        <v>535</v>
      </c>
      <c r="M124" s="270">
        <f t="shared" si="1"/>
        <v>-1</v>
      </c>
      <c r="N124" s="7"/>
      <c r="O124" s="277"/>
      <c r="P124" s="345"/>
      <c r="V124" s="383"/>
    </row>
    <row r="125" spans="1:22" ht="15" customHeight="1">
      <c r="A125" s="8">
        <v>35976</v>
      </c>
      <c r="B125" s="9"/>
      <c r="C125" s="9"/>
      <c r="D125" s="10"/>
      <c r="E125" s="10"/>
      <c r="F125" s="10">
        <v>104975</v>
      </c>
      <c r="G125" s="10"/>
      <c r="H125" s="10"/>
      <c r="I125" s="10"/>
      <c r="J125" s="265"/>
      <c r="K125" s="23">
        <v>545</v>
      </c>
      <c r="L125" s="11">
        <v>546</v>
      </c>
      <c r="M125" s="270">
        <f t="shared" si="1"/>
        <v>24</v>
      </c>
      <c r="N125" s="7"/>
      <c r="O125" s="277"/>
      <c r="P125" s="345"/>
      <c r="V125" s="383"/>
    </row>
    <row r="126" spans="1:22" ht="15" customHeight="1">
      <c r="A126" s="8">
        <v>35977</v>
      </c>
      <c r="B126" s="9"/>
      <c r="C126" s="9"/>
      <c r="D126" s="10"/>
      <c r="E126" s="10"/>
      <c r="F126" s="10">
        <v>104975</v>
      </c>
      <c r="G126" s="10"/>
      <c r="H126" s="10"/>
      <c r="I126" s="10"/>
      <c r="J126" s="265"/>
      <c r="K126" s="23">
        <v>557.5</v>
      </c>
      <c r="L126" s="11">
        <v>556</v>
      </c>
      <c r="M126" s="270">
        <f t="shared" si="1"/>
        <v>12.5</v>
      </c>
      <c r="N126" s="7"/>
      <c r="O126" s="277"/>
      <c r="P126" s="345"/>
      <c r="V126" s="383"/>
    </row>
    <row r="127" spans="1:22" ht="15" customHeight="1">
      <c r="A127" s="8">
        <v>35978</v>
      </c>
      <c r="B127" s="9"/>
      <c r="C127" s="9"/>
      <c r="D127" s="10"/>
      <c r="E127" s="10"/>
      <c r="F127" s="10">
        <v>104950</v>
      </c>
      <c r="G127" s="10"/>
      <c r="H127" s="10"/>
      <c r="I127" s="10"/>
      <c r="J127" s="265"/>
      <c r="K127" s="23">
        <v>554</v>
      </c>
      <c r="L127" s="11">
        <v>545.5</v>
      </c>
      <c r="M127" s="270">
        <f t="shared" si="1"/>
        <v>-3.5</v>
      </c>
      <c r="N127" s="7"/>
      <c r="O127" s="277"/>
      <c r="P127" s="345"/>
      <c r="V127" s="383"/>
    </row>
    <row r="128" spans="1:22" ht="15" customHeight="1">
      <c r="A128" s="8">
        <v>35979</v>
      </c>
      <c r="B128" s="9"/>
      <c r="C128" s="9"/>
      <c r="D128" s="10"/>
      <c r="E128" s="10"/>
      <c r="F128" s="10">
        <v>103925</v>
      </c>
      <c r="G128" s="10"/>
      <c r="H128" s="10"/>
      <c r="I128" s="10"/>
      <c r="J128" s="265"/>
      <c r="K128" s="23">
        <v>572.5</v>
      </c>
      <c r="L128" s="11">
        <v>549</v>
      </c>
      <c r="M128" s="270">
        <f t="shared" si="1"/>
        <v>18.5</v>
      </c>
      <c r="N128" s="7"/>
      <c r="O128" s="277"/>
      <c r="P128" s="345"/>
      <c r="V128" s="383"/>
    </row>
    <row r="129" spans="1:22" ht="15" customHeight="1">
      <c r="A129" s="8">
        <v>35982</v>
      </c>
      <c r="B129" s="9"/>
      <c r="C129" s="9"/>
      <c r="D129" s="10"/>
      <c r="E129" s="10"/>
      <c r="F129" s="10">
        <v>103925</v>
      </c>
      <c r="G129" s="10"/>
      <c r="H129" s="10"/>
      <c r="I129" s="10"/>
      <c r="J129" s="265"/>
      <c r="K129" s="23">
        <v>563</v>
      </c>
      <c r="L129" s="11">
        <v>540.5</v>
      </c>
      <c r="M129" s="270">
        <f t="shared" si="1"/>
        <v>-9.5</v>
      </c>
      <c r="N129" s="7"/>
      <c r="O129" s="277"/>
      <c r="P129" s="345"/>
      <c r="V129" s="383"/>
    </row>
    <row r="130" spans="1:22" ht="15" customHeight="1">
      <c r="A130" s="8">
        <v>35983</v>
      </c>
      <c r="B130" s="9"/>
      <c r="C130" s="9"/>
      <c r="D130" s="10"/>
      <c r="E130" s="10"/>
      <c r="F130" s="10">
        <v>103725</v>
      </c>
      <c r="G130" s="10"/>
      <c r="H130" s="10"/>
      <c r="I130" s="10"/>
      <c r="J130" s="265"/>
      <c r="K130" s="23">
        <v>536</v>
      </c>
      <c r="L130" s="11">
        <v>527</v>
      </c>
      <c r="M130" s="270">
        <f t="shared" si="1"/>
        <v>-27</v>
      </c>
      <c r="N130" s="7"/>
      <c r="O130" s="277"/>
      <c r="P130" s="345"/>
      <c r="V130" s="383"/>
    </row>
    <row r="131" spans="1:22" ht="15" customHeight="1">
      <c r="A131" s="8">
        <v>35984</v>
      </c>
      <c r="B131" s="9"/>
      <c r="C131" s="9"/>
      <c r="D131" s="10"/>
      <c r="E131" s="10"/>
      <c r="F131" s="10">
        <v>103725</v>
      </c>
      <c r="G131" s="10"/>
      <c r="H131" s="10"/>
      <c r="I131" s="10"/>
      <c r="J131" s="265"/>
      <c r="K131" s="23">
        <v>528</v>
      </c>
      <c r="L131" s="11">
        <v>524</v>
      </c>
      <c r="M131" s="270">
        <f t="shared" si="1"/>
        <v>-8</v>
      </c>
      <c r="N131" s="7"/>
      <c r="O131" s="277"/>
      <c r="P131" s="345"/>
      <c r="V131" s="383"/>
    </row>
    <row r="132" spans="1:22" ht="15" customHeight="1">
      <c r="A132" s="8">
        <v>35985</v>
      </c>
      <c r="B132" s="9"/>
      <c r="C132" s="9"/>
      <c r="D132" s="10"/>
      <c r="E132" s="10"/>
      <c r="F132" s="10">
        <v>103725</v>
      </c>
      <c r="G132" s="10"/>
      <c r="H132" s="10"/>
      <c r="I132" s="10"/>
      <c r="J132" s="265"/>
      <c r="K132" s="23">
        <v>528</v>
      </c>
      <c r="L132" s="11">
        <v>529</v>
      </c>
      <c r="M132" s="270">
        <f t="shared" si="1"/>
        <v>0</v>
      </c>
      <c r="N132" s="7"/>
      <c r="O132" s="277"/>
      <c r="P132" s="345"/>
      <c r="V132" s="383"/>
    </row>
    <row r="133" spans="1:22" ht="15" customHeight="1">
      <c r="A133" s="8">
        <v>35986</v>
      </c>
      <c r="B133" s="9"/>
      <c r="C133" s="9"/>
      <c r="D133" s="10"/>
      <c r="E133" s="10"/>
      <c r="F133" s="10">
        <v>104075</v>
      </c>
      <c r="G133" s="10"/>
      <c r="H133" s="10"/>
      <c r="I133" s="10"/>
      <c r="J133" s="265"/>
      <c r="K133" s="23">
        <v>541</v>
      </c>
      <c r="L133" s="11">
        <v>532.5</v>
      </c>
      <c r="M133" s="270">
        <f t="shared" ref="M133:M196" si="2">+K133-K132</f>
        <v>13</v>
      </c>
      <c r="N133" s="7"/>
      <c r="O133" s="277"/>
      <c r="P133" s="345"/>
      <c r="V133" s="383"/>
    </row>
    <row r="134" spans="1:22" ht="15" customHeight="1">
      <c r="A134" s="8">
        <v>35989</v>
      </c>
      <c r="B134" s="9"/>
      <c r="C134" s="9"/>
      <c r="D134" s="10"/>
      <c r="E134" s="10"/>
      <c r="F134" s="10">
        <v>104075</v>
      </c>
      <c r="G134" s="10"/>
      <c r="H134" s="10"/>
      <c r="I134" s="10"/>
      <c r="J134" s="265"/>
      <c r="K134" s="23">
        <v>523</v>
      </c>
      <c r="L134" s="11">
        <v>518.5</v>
      </c>
      <c r="M134" s="270">
        <f t="shared" si="2"/>
        <v>-18</v>
      </c>
      <c r="N134" s="7"/>
      <c r="O134" s="277"/>
      <c r="P134" s="345"/>
      <c r="V134" s="383"/>
    </row>
    <row r="135" spans="1:22" ht="15" customHeight="1">
      <c r="A135" s="8">
        <v>35990</v>
      </c>
      <c r="B135" s="9"/>
      <c r="C135" s="9"/>
      <c r="D135" s="10"/>
      <c r="E135" s="10"/>
      <c r="F135" s="10">
        <v>104050</v>
      </c>
      <c r="G135" s="10"/>
      <c r="H135" s="10"/>
      <c r="I135" s="10"/>
      <c r="J135" s="265"/>
      <c r="K135" s="23">
        <v>542.5</v>
      </c>
      <c r="L135" s="11">
        <v>530</v>
      </c>
      <c r="M135" s="270">
        <f t="shared" si="2"/>
        <v>19.5</v>
      </c>
      <c r="N135" s="7"/>
      <c r="O135" s="277"/>
      <c r="P135" s="345"/>
      <c r="V135" s="383"/>
    </row>
    <row r="136" spans="1:22" ht="15" customHeight="1">
      <c r="A136" s="8">
        <v>35991</v>
      </c>
      <c r="B136" s="9"/>
      <c r="C136" s="9"/>
      <c r="D136" s="10"/>
      <c r="E136" s="10"/>
      <c r="F136" s="10">
        <v>104025</v>
      </c>
      <c r="G136" s="10"/>
      <c r="H136" s="10"/>
      <c r="I136" s="10"/>
      <c r="J136" s="265"/>
      <c r="K136" s="23">
        <v>544.5</v>
      </c>
      <c r="L136" s="11">
        <v>539</v>
      </c>
      <c r="M136" s="270">
        <f t="shared" si="2"/>
        <v>2</v>
      </c>
      <c r="N136" s="7"/>
      <c r="O136" s="277"/>
      <c r="P136" s="345"/>
      <c r="V136" s="383"/>
    </row>
    <row r="137" spans="1:22" ht="15" customHeight="1">
      <c r="A137" s="8">
        <v>35992</v>
      </c>
      <c r="B137" s="9"/>
      <c r="C137" s="9"/>
      <c r="D137" s="10"/>
      <c r="E137" s="10"/>
      <c r="F137" s="10">
        <v>105600</v>
      </c>
      <c r="G137" s="10"/>
      <c r="H137" s="10"/>
      <c r="I137" s="10"/>
      <c r="J137" s="265"/>
      <c r="K137" s="23">
        <v>550</v>
      </c>
      <c r="L137" s="11">
        <v>547</v>
      </c>
      <c r="M137" s="270">
        <f t="shared" si="2"/>
        <v>5.5</v>
      </c>
      <c r="N137" s="7"/>
      <c r="O137" s="277"/>
      <c r="P137" s="345"/>
      <c r="V137" s="383"/>
    </row>
    <row r="138" spans="1:22" ht="15" customHeight="1">
      <c r="A138" s="8">
        <v>35993</v>
      </c>
      <c r="B138" s="9"/>
      <c r="C138" s="9"/>
      <c r="D138" s="10"/>
      <c r="E138" s="10"/>
      <c r="F138" s="10">
        <v>105950</v>
      </c>
      <c r="G138" s="10"/>
      <c r="H138" s="10"/>
      <c r="I138" s="10"/>
      <c r="J138" s="265"/>
      <c r="K138" s="23">
        <v>542</v>
      </c>
      <c r="L138" s="11">
        <v>539</v>
      </c>
      <c r="M138" s="270">
        <f t="shared" si="2"/>
        <v>-8</v>
      </c>
      <c r="N138" s="7"/>
      <c r="O138" s="277"/>
      <c r="P138" s="345"/>
      <c r="V138" s="383"/>
    </row>
    <row r="139" spans="1:22" ht="15" customHeight="1">
      <c r="A139" s="8">
        <v>35996</v>
      </c>
      <c r="B139" s="9"/>
      <c r="C139" s="9"/>
      <c r="D139" s="10"/>
      <c r="E139" s="10"/>
      <c r="F139" s="10">
        <v>106700</v>
      </c>
      <c r="G139" s="10"/>
      <c r="H139" s="10"/>
      <c r="I139" s="10"/>
      <c r="J139" s="265"/>
      <c r="K139" s="23">
        <v>536</v>
      </c>
      <c r="L139" s="11">
        <v>537</v>
      </c>
      <c r="M139" s="270">
        <f t="shared" si="2"/>
        <v>-6</v>
      </c>
      <c r="N139" s="7"/>
      <c r="O139" s="277"/>
      <c r="P139" s="345"/>
      <c r="V139" s="383"/>
    </row>
    <row r="140" spans="1:22" ht="15" customHeight="1">
      <c r="A140" s="8">
        <v>35997</v>
      </c>
      <c r="B140" s="9"/>
      <c r="C140" s="9"/>
      <c r="D140" s="10"/>
      <c r="E140" s="10"/>
      <c r="F140" s="10">
        <v>106050</v>
      </c>
      <c r="G140" s="10"/>
      <c r="H140" s="10"/>
      <c r="I140" s="10"/>
      <c r="J140" s="265"/>
      <c r="K140" s="23">
        <v>534</v>
      </c>
      <c r="L140" s="11">
        <v>535</v>
      </c>
      <c r="M140" s="270">
        <f t="shared" si="2"/>
        <v>-2</v>
      </c>
      <c r="N140" s="7"/>
      <c r="O140" s="277"/>
      <c r="P140" s="345"/>
      <c r="V140" s="383"/>
    </row>
    <row r="141" spans="1:22" ht="15" customHeight="1">
      <c r="A141" s="8">
        <v>35998</v>
      </c>
      <c r="B141" s="9"/>
      <c r="C141" s="9"/>
      <c r="D141" s="10"/>
      <c r="E141" s="10"/>
      <c r="F141" s="10">
        <v>106675</v>
      </c>
      <c r="G141" s="10"/>
      <c r="H141" s="10"/>
      <c r="I141" s="10"/>
      <c r="J141" s="265"/>
      <c r="K141" s="23">
        <v>529</v>
      </c>
      <c r="L141" s="11">
        <v>532</v>
      </c>
      <c r="M141" s="270">
        <f t="shared" si="2"/>
        <v>-5</v>
      </c>
      <c r="N141" s="7"/>
      <c r="O141" s="277"/>
      <c r="P141" s="345"/>
      <c r="V141" s="383"/>
    </row>
    <row r="142" spans="1:22" ht="15" customHeight="1">
      <c r="A142" s="8">
        <v>35999</v>
      </c>
      <c r="B142" s="9"/>
      <c r="C142" s="9"/>
      <c r="D142" s="10"/>
      <c r="E142" s="10"/>
      <c r="F142" s="10">
        <v>106550</v>
      </c>
      <c r="G142" s="10"/>
      <c r="H142" s="10"/>
      <c r="I142" s="10"/>
      <c r="J142" s="265"/>
      <c r="K142" s="23">
        <v>543</v>
      </c>
      <c r="L142" s="11">
        <v>542</v>
      </c>
      <c r="M142" s="270">
        <f t="shared" si="2"/>
        <v>14</v>
      </c>
      <c r="N142" s="7"/>
      <c r="O142" s="277"/>
      <c r="P142" s="345"/>
      <c r="V142" s="383"/>
    </row>
    <row r="143" spans="1:22" ht="15" customHeight="1">
      <c r="A143" s="8">
        <v>36000</v>
      </c>
      <c r="B143" s="9"/>
      <c r="C143" s="9"/>
      <c r="D143" s="10"/>
      <c r="E143" s="10"/>
      <c r="F143" s="10">
        <v>107000</v>
      </c>
      <c r="G143" s="10"/>
      <c r="H143" s="10"/>
      <c r="I143" s="10"/>
      <c r="J143" s="265"/>
      <c r="K143" s="23">
        <v>572</v>
      </c>
      <c r="L143" s="11">
        <v>564</v>
      </c>
      <c r="M143" s="270">
        <f t="shared" si="2"/>
        <v>29</v>
      </c>
      <c r="N143" s="7"/>
      <c r="O143" s="277"/>
      <c r="P143" s="345"/>
      <c r="V143" s="383"/>
    </row>
    <row r="144" spans="1:22" ht="15" customHeight="1">
      <c r="A144" s="8">
        <v>36003</v>
      </c>
      <c r="B144" s="9"/>
      <c r="C144" s="9"/>
      <c r="D144" s="10"/>
      <c r="E144" s="10"/>
      <c r="F144" s="10">
        <v>107375</v>
      </c>
      <c r="G144" s="10"/>
      <c r="H144" s="10"/>
      <c r="I144" s="10"/>
      <c r="J144" s="265"/>
      <c r="K144" s="23">
        <v>565.5</v>
      </c>
      <c r="L144" s="11">
        <v>564</v>
      </c>
      <c r="M144" s="270">
        <f t="shared" si="2"/>
        <v>-6.5</v>
      </c>
      <c r="N144" s="7"/>
      <c r="O144" s="277"/>
      <c r="P144" s="345"/>
      <c r="V144" s="383"/>
    </row>
    <row r="145" spans="1:22" ht="15" customHeight="1">
      <c r="A145" s="8">
        <v>36004</v>
      </c>
      <c r="B145" s="9"/>
      <c r="C145" s="9"/>
      <c r="D145" s="10"/>
      <c r="E145" s="10"/>
      <c r="F145" s="10">
        <v>107250</v>
      </c>
      <c r="G145" s="10"/>
      <c r="H145" s="10"/>
      <c r="I145" s="10"/>
      <c r="J145" s="265"/>
      <c r="K145" s="23">
        <v>554</v>
      </c>
      <c r="L145" s="11">
        <v>558.5</v>
      </c>
      <c r="M145" s="270">
        <f t="shared" si="2"/>
        <v>-11.5</v>
      </c>
      <c r="N145" s="7"/>
      <c r="O145" s="277"/>
      <c r="P145" s="345"/>
      <c r="V145" s="383"/>
    </row>
    <row r="146" spans="1:22" ht="15" customHeight="1">
      <c r="A146" s="8">
        <v>36005</v>
      </c>
      <c r="B146" s="9"/>
      <c r="C146" s="9"/>
      <c r="D146" s="10"/>
      <c r="E146" s="10"/>
      <c r="F146" s="10">
        <v>107750</v>
      </c>
      <c r="G146" s="10"/>
      <c r="H146" s="10"/>
      <c r="I146" s="10"/>
      <c r="J146" s="265"/>
      <c r="K146" s="23">
        <v>550</v>
      </c>
      <c r="L146" s="11">
        <v>555</v>
      </c>
      <c r="M146" s="270">
        <f t="shared" si="2"/>
        <v>-4</v>
      </c>
      <c r="N146" s="7"/>
      <c r="O146" s="277"/>
      <c r="P146" s="345"/>
      <c r="V146" s="383"/>
    </row>
    <row r="147" spans="1:22" ht="15" customHeight="1">
      <c r="A147" s="8">
        <v>36006</v>
      </c>
      <c r="B147" s="9"/>
      <c r="C147" s="9"/>
      <c r="D147" s="10"/>
      <c r="E147" s="10"/>
      <c r="F147" s="10">
        <v>107750</v>
      </c>
      <c r="G147" s="10"/>
      <c r="H147" s="10"/>
      <c r="I147" s="10"/>
      <c r="J147" s="265"/>
      <c r="K147" s="23">
        <v>547</v>
      </c>
      <c r="L147" s="11">
        <v>553</v>
      </c>
      <c r="M147" s="270">
        <f t="shared" si="2"/>
        <v>-3</v>
      </c>
      <c r="N147" s="7"/>
      <c r="O147" s="277"/>
      <c r="P147" s="345"/>
      <c r="V147" s="383"/>
    </row>
    <row r="148" spans="1:22" ht="15" customHeight="1">
      <c r="A148" s="8">
        <v>36007</v>
      </c>
      <c r="B148" s="9"/>
      <c r="C148" s="9"/>
      <c r="D148" s="10"/>
      <c r="E148" s="10"/>
      <c r="F148" s="10">
        <v>107825</v>
      </c>
      <c r="G148" s="10"/>
      <c r="H148" s="10"/>
      <c r="I148" s="10"/>
      <c r="J148" s="265"/>
      <c r="K148" s="23">
        <v>550</v>
      </c>
      <c r="L148" s="11">
        <v>555.5</v>
      </c>
      <c r="M148" s="270">
        <f t="shared" si="2"/>
        <v>3</v>
      </c>
      <c r="N148" s="7"/>
      <c r="O148" s="277"/>
      <c r="P148" s="345"/>
      <c r="V148" s="383"/>
    </row>
    <row r="149" spans="1:22" ht="15" customHeight="1">
      <c r="A149" s="8">
        <v>36010</v>
      </c>
      <c r="B149" s="9"/>
      <c r="C149" s="9"/>
      <c r="D149" s="10"/>
      <c r="E149" s="10"/>
      <c r="F149" s="10">
        <v>107800</v>
      </c>
      <c r="G149" s="10"/>
      <c r="H149" s="10"/>
      <c r="I149" s="10"/>
      <c r="J149" s="265"/>
      <c r="K149" s="23">
        <v>544</v>
      </c>
      <c r="L149" s="11">
        <v>550</v>
      </c>
      <c r="M149" s="270">
        <f t="shared" si="2"/>
        <v>-6</v>
      </c>
      <c r="N149" s="7"/>
      <c r="O149" s="277"/>
      <c r="P149" s="345"/>
      <c r="V149" s="383"/>
    </row>
    <row r="150" spans="1:22" ht="15" customHeight="1">
      <c r="A150" s="8">
        <v>36011</v>
      </c>
      <c r="B150" s="9"/>
      <c r="C150" s="9"/>
      <c r="D150" s="10"/>
      <c r="E150" s="10"/>
      <c r="F150" s="10">
        <v>107700</v>
      </c>
      <c r="G150" s="10"/>
      <c r="H150" s="10"/>
      <c r="I150" s="10"/>
      <c r="J150" s="265"/>
      <c r="K150" s="23">
        <v>547</v>
      </c>
      <c r="L150" s="11">
        <v>553.5</v>
      </c>
      <c r="M150" s="270">
        <f t="shared" si="2"/>
        <v>3</v>
      </c>
      <c r="N150" s="7"/>
      <c r="O150" s="277"/>
      <c r="P150" s="345"/>
      <c r="V150" s="383"/>
    </row>
    <row r="151" spans="1:22" ht="15" customHeight="1">
      <c r="A151" s="8">
        <v>36012</v>
      </c>
      <c r="B151" s="9"/>
      <c r="C151" s="9"/>
      <c r="D151" s="10"/>
      <c r="E151" s="10"/>
      <c r="F151" s="10">
        <v>107700</v>
      </c>
      <c r="G151" s="10"/>
      <c r="H151" s="10"/>
      <c r="I151" s="10"/>
      <c r="J151" s="265"/>
      <c r="K151" s="23">
        <v>551.5</v>
      </c>
      <c r="L151" s="11">
        <v>557</v>
      </c>
      <c r="M151" s="270">
        <f t="shared" si="2"/>
        <v>4.5</v>
      </c>
      <c r="N151" s="7"/>
      <c r="O151" s="277"/>
      <c r="P151" s="345"/>
      <c r="V151" s="383"/>
    </row>
    <row r="152" spans="1:22" ht="15" customHeight="1">
      <c r="A152" s="8">
        <v>36013</v>
      </c>
      <c r="B152" s="9"/>
      <c r="C152" s="9"/>
      <c r="D152" s="10"/>
      <c r="E152" s="10"/>
      <c r="F152" s="10">
        <v>113525</v>
      </c>
      <c r="G152" s="10"/>
      <c r="H152" s="10"/>
      <c r="I152" s="10"/>
      <c r="J152" s="265"/>
      <c r="K152" s="23">
        <v>529.5</v>
      </c>
      <c r="L152" s="11">
        <v>535.5</v>
      </c>
      <c r="M152" s="270">
        <f t="shared" si="2"/>
        <v>-22</v>
      </c>
      <c r="N152" s="7"/>
      <c r="O152" s="277"/>
      <c r="P152" s="345"/>
      <c r="V152" s="383"/>
    </row>
    <row r="153" spans="1:22" ht="15" customHeight="1">
      <c r="A153" s="8">
        <v>36014</v>
      </c>
      <c r="B153" s="9"/>
      <c r="C153" s="9"/>
      <c r="D153" s="10"/>
      <c r="E153" s="10"/>
      <c r="F153" s="10">
        <v>113500</v>
      </c>
      <c r="G153" s="10"/>
      <c r="H153" s="10"/>
      <c r="I153" s="10"/>
      <c r="J153" s="265"/>
      <c r="K153" s="23">
        <v>540</v>
      </c>
      <c r="L153" s="11">
        <v>545</v>
      </c>
      <c r="M153" s="270">
        <f t="shared" si="2"/>
        <v>10.5</v>
      </c>
      <c r="N153" s="7"/>
      <c r="O153" s="277"/>
      <c r="P153" s="345"/>
      <c r="V153" s="383"/>
    </row>
    <row r="154" spans="1:22" ht="15" customHeight="1">
      <c r="A154" s="8">
        <v>36017</v>
      </c>
      <c r="B154" s="9"/>
      <c r="C154" s="9"/>
      <c r="D154" s="10"/>
      <c r="E154" s="10"/>
      <c r="F154" s="10">
        <v>113325</v>
      </c>
      <c r="G154" s="10"/>
      <c r="H154" s="10"/>
      <c r="I154" s="10"/>
      <c r="J154" s="265"/>
      <c r="K154" s="23">
        <v>548</v>
      </c>
      <c r="L154" s="11">
        <v>554</v>
      </c>
      <c r="M154" s="270">
        <f t="shared" si="2"/>
        <v>8</v>
      </c>
      <c r="N154" s="7"/>
      <c r="O154" s="277"/>
      <c r="P154" s="345"/>
      <c r="V154" s="383"/>
    </row>
    <row r="155" spans="1:22" ht="15" customHeight="1">
      <c r="A155" s="8">
        <v>36018</v>
      </c>
      <c r="B155" s="9"/>
      <c r="C155" s="9"/>
      <c r="D155" s="10"/>
      <c r="E155" s="10"/>
      <c r="F155" s="10">
        <v>114100</v>
      </c>
      <c r="G155" s="10"/>
      <c r="H155" s="10"/>
      <c r="I155" s="10"/>
      <c r="J155" s="265"/>
      <c r="K155" s="23">
        <v>538</v>
      </c>
      <c r="L155" s="11">
        <v>546</v>
      </c>
      <c r="M155" s="270">
        <f t="shared" si="2"/>
        <v>-10</v>
      </c>
      <c r="N155" s="7"/>
      <c r="O155" s="277"/>
      <c r="P155" s="345"/>
      <c r="V155" s="383"/>
    </row>
    <row r="156" spans="1:22" ht="15" customHeight="1">
      <c r="A156" s="8">
        <v>36019</v>
      </c>
      <c r="B156" s="9"/>
      <c r="C156" s="9"/>
      <c r="D156" s="10"/>
      <c r="E156" s="10"/>
      <c r="F156" s="10">
        <v>113850</v>
      </c>
      <c r="G156" s="10"/>
      <c r="H156" s="10"/>
      <c r="I156" s="10"/>
      <c r="J156" s="265"/>
      <c r="K156" s="23">
        <v>537.5</v>
      </c>
      <c r="L156" s="11">
        <v>548</v>
      </c>
      <c r="M156" s="270">
        <f t="shared" si="2"/>
        <v>-0.5</v>
      </c>
      <c r="N156" s="7"/>
      <c r="O156" s="277"/>
      <c r="P156" s="345"/>
      <c r="V156" s="383"/>
    </row>
    <row r="157" spans="1:22" ht="15" customHeight="1">
      <c r="A157" s="8">
        <v>36020</v>
      </c>
      <c r="B157" s="9"/>
      <c r="C157" s="9"/>
      <c r="D157" s="10"/>
      <c r="E157" s="10"/>
      <c r="F157" s="10">
        <v>113825</v>
      </c>
      <c r="G157" s="10"/>
      <c r="H157" s="10"/>
      <c r="I157" s="10"/>
      <c r="J157" s="265"/>
      <c r="K157" s="23">
        <v>536</v>
      </c>
      <c r="L157" s="11">
        <v>546.5</v>
      </c>
      <c r="M157" s="270">
        <f t="shared" si="2"/>
        <v>-1.5</v>
      </c>
      <c r="N157" s="7"/>
      <c r="O157" s="277"/>
      <c r="P157" s="345"/>
      <c r="V157" s="383"/>
    </row>
    <row r="158" spans="1:22" ht="15" customHeight="1">
      <c r="A158" s="8">
        <v>36021</v>
      </c>
      <c r="B158" s="9"/>
      <c r="C158" s="9"/>
      <c r="D158" s="10"/>
      <c r="E158" s="10"/>
      <c r="F158" s="10">
        <v>112800</v>
      </c>
      <c r="G158" s="10"/>
      <c r="H158" s="10"/>
      <c r="I158" s="10"/>
      <c r="J158" s="265"/>
      <c r="K158" s="23">
        <v>546</v>
      </c>
      <c r="L158" s="11">
        <v>553</v>
      </c>
      <c r="M158" s="270">
        <f t="shared" si="2"/>
        <v>10</v>
      </c>
      <c r="N158" s="7"/>
      <c r="O158" s="277"/>
      <c r="P158" s="345"/>
      <c r="V158" s="383"/>
    </row>
    <row r="159" spans="1:22" ht="15" customHeight="1">
      <c r="A159" s="8">
        <v>36024</v>
      </c>
      <c r="B159" s="9"/>
      <c r="C159" s="9"/>
      <c r="D159" s="10"/>
      <c r="E159" s="10"/>
      <c r="F159" s="10">
        <v>112525</v>
      </c>
      <c r="G159" s="10"/>
      <c r="H159" s="10"/>
      <c r="I159" s="10"/>
      <c r="J159" s="265"/>
      <c r="K159" s="23">
        <v>549</v>
      </c>
      <c r="L159" s="11">
        <v>553</v>
      </c>
      <c r="M159" s="270">
        <f t="shared" si="2"/>
        <v>3</v>
      </c>
      <c r="N159" s="7"/>
      <c r="O159" s="277"/>
      <c r="P159" s="345"/>
      <c r="V159" s="383"/>
    </row>
    <row r="160" spans="1:22" ht="15" customHeight="1">
      <c r="A160" s="8">
        <v>36025</v>
      </c>
      <c r="B160" s="9"/>
      <c r="C160" s="9"/>
      <c r="D160" s="10"/>
      <c r="E160" s="10"/>
      <c r="F160" s="10">
        <v>117700</v>
      </c>
      <c r="G160" s="10"/>
      <c r="H160" s="10"/>
      <c r="I160" s="10"/>
      <c r="J160" s="265"/>
      <c r="K160" s="23">
        <v>538</v>
      </c>
      <c r="L160" s="11">
        <v>545</v>
      </c>
      <c r="M160" s="270">
        <f t="shared" si="2"/>
        <v>-11</v>
      </c>
      <c r="N160" s="7"/>
      <c r="O160" s="277"/>
      <c r="P160" s="345"/>
      <c r="V160" s="383"/>
    </row>
    <row r="161" spans="1:22" ht="15" customHeight="1">
      <c r="A161" s="8">
        <v>36026</v>
      </c>
      <c r="B161" s="9"/>
      <c r="C161" s="9"/>
      <c r="D161" s="10"/>
      <c r="E161" s="10"/>
      <c r="F161" s="10">
        <v>117700</v>
      </c>
      <c r="G161" s="10"/>
      <c r="H161" s="10"/>
      <c r="I161" s="10"/>
      <c r="J161" s="265"/>
      <c r="K161" s="23">
        <v>531</v>
      </c>
      <c r="L161" s="11">
        <v>540</v>
      </c>
      <c r="M161" s="270">
        <f t="shared" si="2"/>
        <v>-7</v>
      </c>
      <c r="N161" s="7"/>
      <c r="O161" s="277"/>
      <c r="P161" s="345"/>
      <c r="V161" s="383"/>
    </row>
    <row r="162" spans="1:22" ht="15" customHeight="1">
      <c r="A162" s="8">
        <v>36027</v>
      </c>
      <c r="B162" s="9"/>
      <c r="C162" s="9"/>
      <c r="D162" s="10"/>
      <c r="E162" s="10"/>
      <c r="F162" s="10">
        <v>117400</v>
      </c>
      <c r="G162" s="10"/>
      <c r="H162" s="10"/>
      <c r="I162" s="10"/>
      <c r="J162" s="265"/>
      <c r="K162" s="23">
        <v>535</v>
      </c>
      <c r="L162" s="11">
        <v>545</v>
      </c>
      <c r="M162" s="270">
        <f t="shared" si="2"/>
        <v>4</v>
      </c>
      <c r="N162" s="7"/>
      <c r="O162" s="277"/>
      <c r="P162" s="345"/>
      <c r="V162" s="383"/>
    </row>
    <row r="163" spans="1:22" ht="15" customHeight="1">
      <c r="A163" s="8">
        <v>36028</v>
      </c>
      <c r="B163" s="9"/>
      <c r="C163" s="9"/>
      <c r="D163" s="10"/>
      <c r="E163" s="10"/>
      <c r="F163" s="10">
        <v>117175</v>
      </c>
      <c r="G163" s="10"/>
      <c r="H163" s="10"/>
      <c r="I163" s="10"/>
      <c r="J163" s="265"/>
      <c r="K163" s="23">
        <v>523</v>
      </c>
      <c r="L163" s="11">
        <v>534.5</v>
      </c>
      <c r="M163" s="270">
        <f t="shared" si="2"/>
        <v>-12</v>
      </c>
      <c r="N163" s="7"/>
      <c r="O163" s="277"/>
      <c r="P163" s="345"/>
      <c r="V163" s="383"/>
    </row>
    <row r="164" spans="1:22" ht="15" customHeight="1">
      <c r="A164" s="8">
        <v>36031</v>
      </c>
      <c r="B164" s="9"/>
      <c r="C164" s="9"/>
      <c r="D164" s="10"/>
      <c r="E164" s="10"/>
      <c r="F164" s="10">
        <v>116625</v>
      </c>
      <c r="G164" s="10"/>
      <c r="H164" s="10"/>
      <c r="I164" s="10"/>
      <c r="J164" s="265"/>
      <c r="K164" s="23">
        <v>528.5</v>
      </c>
      <c r="L164" s="11">
        <v>539</v>
      </c>
      <c r="M164" s="270">
        <f t="shared" si="2"/>
        <v>5.5</v>
      </c>
      <c r="N164" s="7"/>
      <c r="O164" s="277"/>
      <c r="P164" s="345"/>
      <c r="V164" s="383"/>
    </row>
    <row r="165" spans="1:22" ht="15" customHeight="1">
      <c r="A165" s="8">
        <v>36032</v>
      </c>
      <c r="B165" s="9"/>
      <c r="C165" s="9"/>
      <c r="D165" s="10"/>
      <c r="E165" s="10"/>
      <c r="F165" s="10">
        <v>116550</v>
      </c>
      <c r="G165" s="10"/>
      <c r="H165" s="10"/>
      <c r="I165" s="10"/>
      <c r="J165" s="265"/>
      <c r="K165" s="23">
        <v>528</v>
      </c>
      <c r="L165" s="11">
        <v>537.5</v>
      </c>
      <c r="M165" s="270">
        <f t="shared" si="2"/>
        <v>-0.5</v>
      </c>
      <c r="N165" s="7"/>
      <c r="O165" s="277"/>
      <c r="P165" s="345"/>
      <c r="V165" s="383"/>
    </row>
    <row r="166" spans="1:22" ht="15" customHeight="1">
      <c r="A166" s="8">
        <v>36033</v>
      </c>
      <c r="B166" s="9"/>
      <c r="C166" s="9"/>
      <c r="D166" s="10"/>
      <c r="E166" s="10"/>
      <c r="F166" s="10">
        <v>116475</v>
      </c>
      <c r="G166" s="10"/>
      <c r="H166" s="10"/>
      <c r="I166" s="10"/>
      <c r="J166" s="265"/>
      <c r="K166" s="23">
        <v>525</v>
      </c>
      <c r="L166" s="11">
        <v>536</v>
      </c>
      <c r="M166" s="270">
        <f t="shared" si="2"/>
        <v>-3</v>
      </c>
      <c r="N166" s="7"/>
      <c r="O166" s="277"/>
      <c r="P166" s="345"/>
      <c r="V166" s="383"/>
    </row>
    <row r="167" spans="1:22" ht="15" customHeight="1">
      <c r="A167" s="8">
        <v>36034</v>
      </c>
      <c r="B167" s="9"/>
      <c r="C167" s="9"/>
      <c r="D167" s="10"/>
      <c r="E167" s="10"/>
      <c r="F167" s="10">
        <v>116450</v>
      </c>
      <c r="G167" s="10"/>
      <c r="H167" s="10"/>
      <c r="I167" s="10"/>
      <c r="J167" s="265"/>
      <c r="K167" s="23">
        <v>527</v>
      </c>
      <c r="L167" s="11">
        <v>537.5</v>
      </c>
      <c r="M167" s="270">
        <f t="shared" si="2"/>
        <v>2</v>
      </c>
      <c r="N167" s="7"/>
      <c r="O167" s="277"/>
      <c r="P167" s="345"/>
      <c r="V167" s="383"/>
    </row>
    <row r="168" spans="1:22" ht="15" customHeight="1">
      <c r="A168" s="8">
        <v>36035</v>
      </c>
      <c r="B168" s="9"/>
      <c r="C168" s="9"/>
      <c r="D168" s="10"/>
      <c r="E168" s="10"/>
      <c r="F168" s="10">
        <v>114550</v>
      </c>
      <c r="G168" s="10"/>
      <c r="H168" s="10"/>
      <c r="I168" s="10"/>
      <c r="J168" s="265"/>
      <c r="K168" s="23">
        <v>532</v>
      </c>
      <c r="L168" s="11">
        <v>542.5</v>
      </c>
      <c r="M168" s="270">
        <f t="shared" si="2"/>
        <v>5</v>
      </c>
      <c r="N168" s="7"/>
      <c r="O168" s="277"/>
      <c r="P168" s="345"/>
      <c r="V168" s="383"/>
    </row>
    <row r="169" spans="1:22" ht="15" customHeight="1">
      <c r="A169" s="8">
        <v>36039</v>
      </c>
      <c r="B169" s="9"/>
      <c r="C169" s="9"/>
      <c r="D169" s="10"/>
      <c r="E169" s="10"/>
      <c r="F169" s="10">
        <v>114525</v>
      </c>
      <c r="G169" s="10"/>
      <c r="H169" s="10"/>
      <c r="I169" s="10"/>
      <c r="J169" s="265"/>
      <c r="K169" s="23">
        <v>530</v>
      </c>
      <c r="L169" s="11">
        <v>540.5</v>
      </c>
      <c r="M169" s="270">
        <f t="shared" si="2"/>
        <v>-2</v>
      </c>
      <c r="N169" s="7"/>
      <c r="O169" s="277"/>
      <c r="P169" s="345"/>
      <c r="V169" s="383"/>
    </row>
    <row r="170" spans="1:22" ht="15" customHeight="1">
      <c r="A170" s="8">
        <v>36040</v>
      </c>
      <c r="B170" s="9"/>
      <c r="C170" s="9"/>
      <c r="D170" s="10"/>
      <c r="E170" s="10"/>
      <c r="F170" s="10">
        <v>113500</v>
      </c>
      <c r="G170" s="10"/>
      <c r="H170" s="10"/>
      <c r="I170" s="10"/>
      <c r="J170" s="265"/>
      <c r="K170" s="23">
        <v>526</v>
      </c>
      <c r="L170" s="11">
        <v>537</v>
      </c>
      <c r="M170" s="270">
        <f t="shared" si="2"/>
        <v>-4</v>
      </c>
      <c r="N170" s="7"/>
      <c r="O170" s="277"/>
      <c r="P170" s="345"/>
      <c r="V170" s="383"/>
    </row>
    <row r="171" spans="1:22" ht="15" customHeight="1">
      <c r="A171" s="8">
        <v>36041</v>
      </c>
      <c r="B171" s="9"/>
      <c r="C171" s="9"/>
      <c r="D171" s="10"/>
      <c r="E171" s="10"/>
      <c r="F171" s="10">
        <v>113500</v>
      </c>
      <c r="G171" s="10"/>
      <c r="H171" s="10"/>
      <c r="I171" s="10"/>
      <c r="J171" s="265"/>
      <c r="K171" s="23">
        <v>528.5</v>
      </c>
      <c r="L171" s="11">
        <v>538</v>
      </c>
      <c r="M171" s="270">
        <f t="shared" si="2"/>
        <v>2.5</v>
      </c>
      <c r="N171" s="7"/>
      <c r="O171" s="277"/>
      <c r="P171" s="345"/>
      <c r="V171" s="383"/>
    </row>
    <row r="172" spans="1:22" ht="15" customHeight="1">
      <c r="A172" s="8">
        <v>36042</v>
      </c>
      <c r="B172" s="9"/>
      <c r="C172" s="9"/>
      <c r="D172" s="10"/>
      <c r="E172" s="10"/>
      <c r="F172" s="10">
        <v>113500</v>
      </c>
      <c r="G172" s="10"/>
      <c r="H172" s="10"/>
      <c r="I172" s="10"/>
      <c r="J172" s="265"/>
      <c r="K172" s="23">
        <v>531.5</v>
      </c>
      <c r="L172" s="11">
        <v>542</v>
      </c>
      <c r="M172" s="270">
        <f t="shared" si="2"/>
        <v>3</v>
      </c>
      <c r="N172" s="7"/>
      <c r="O172" s="277"/>
      <c r="P172" s="345"/>
      <c r="V172" s="383"/>
    </row>
    <row r="173" spans="1:22" ht="15" customHeight="1">
      <c r="A173" s="8">
        <v>36045</v>
      </c>
      <c r="B173" s="9"/>
      <c r="C173" s="9"/>
      <c r="D173" s="10"/>
      <c r="E173" s="10"/>
      <c r="F173" s="10">
        <v>113425</v>
      </c>
      <c r="G173" s="10"/>
      <c r="H173" s="10"/>
      <c r="I173" s="10"/>
      <c r="J173" s="265"/>
      <c r="K173" s="23">
        <v>529.5</v>
      </c>
      <c r="L173" s="11">
        <v>539.5</v>
      </c>
      <c r="M173" s="270">
        <f t="shared" si="2"/>
        <v>-2</v>
      </c>
      <c r="N173" s="7"/>
      <c r="O173" s="277"/>
      <c r="P173" s="345"/>
      <c r="V173" s="383"/>
    </row>
    <row r="174" spans="1:22" ht="15" customHeight="1">
      <c r="A174" s="8">
        <v>36046</v>
      </c>
      <c r="B174" s="9"/>
      <c r="C174" s="9"/>
      <c r="D174" s="10"/>
      <c r="E174" s="10"/>
      <c r="F174" s="10">
        <v>113275</v>
      </c>
      <c r="G174" s="10"/>
      <c r="H174" s="10"/>
      <c r="I174" s="10"/>
      <c r="J174" s="265"/>
      <c r="K174" s="23">
        <v>531.5</v>
      </c>
      <c r="L174" s="11">
        <v>541</v>
      </c>
      <c r="M174" s="270">
        <f t="shared" si="2"/>
        <v>2</v>
      </c>
      <c r="N174" s="7"/>
      <c r="O174" s="277"/>
      <c r="P174" s="345"/>
      <c r="V174" s="383"/>
    </row>
    <row r="175" spans="1:22" ht="15" customHeight="1">
      <c r="A175" s="8">
        <v>36047</v>
      </c>
      <c r="B175" s="9"/>
      <c r="C175" s="9"/>
      <c r="D175" s="10"/>
      <c r="E175" s="10"/>
      <c r="F175" s="10">
        <v>113125</v>
      </c>
      <c r="G175" s="10"/>
      <c r="H175" s="10"/>
      <c r="I175" s="10"/>
      <c r="J175" s="265"/>
      <c r="K175" s="23">
        <v>528.5</v>
      </c>
      <c r="L175" s="11">
        <v>539.5</v>
      </c>
      <c r="M175" s="270">
        <f t="shared" si="2"/>
        <v>-3</v>
      </c>
      <c r="N175" s="7"/>
      <c r="O175" s="277"/>
      <c r="P175" s="345"/>
      <c r="V175" s="383"/>
    </row>
    <row r="176" spans="1:22" ht="15" customHeight="1">
      <c r="A176" s="8">
        <v>36048</v>
      </c>
      <c r="B176" s="9"/>
      <c r="C176" s="9"/>
      <c r="D176" s="10"/>
      <c r="E176" s="10"/>
      <c r="F176" s="10">
        <v>112875</v>
      </c>
      <c r="G176" s="10"/>
      <c r="H176" s="10"/>
      <c r="I176" s="10"/>
      <c r="J176" s="265"/>
      <c r="K176" s="23">
        <v>527</v>
      </c>
      <c r="L176" s="11">
        <v>538.5</v>
      </c>
      <c r="M176" s="270">
        <f t="shared" si="2"/>
        <v>-1.5</v>
      </c>
      <c r="N176" s="7"/>
      <c r="O176" s="277"/>
      <c r="P176" s="345"/>
      <c r="V176" s="383"/>
    </row>
    <row r="177" spans="1:22" ht="15" customHeight="1">
      <c r="A177" s="8">
        <v>36049</v>
      </c>
      <c r="B177" s="9"/>
      <c r="C177" s="9"/>
      <c r="D177" s="10"/>
      <c r="E177" s="10"/>
      <c r="F177" s="10">
        <v>112625</v>
      </c>
      <c r="G177" s="10"/>
      <c r="H177" s="10"/>
      <c r="I177" s="10"/>
      <c r="J177" s="265"/>
      <c r="K177" s="23">
        <v>516</v>
      </c>
      <c r="L177" s="11">
        <v>526.5</v>
      </c>
      <c r="M177" s="270">
        <f t="shared" si="2"/>
        <v>-11</v>
      </c>
      <c r="N177" s="7"/>
      <c r="O177" s="277"/>
      <c r="P177" s="345"/>
      <c r="V177" s="383"/>
    </row>
    <row r="178" spans="1:22" ht="15" customHeight="1">
      <c r="A178" s="8">
        <v>36052</v>
      </c>
      <c r="B178" s="9"/>
      <c r="C178" s="9"/>
      <c r="D178" s="10"/>
      <c r="E178" s="10"/>
      <c r="F178" s="10">
        <v>114575</v>
      </c>
      <c r="G178" s="10"/>
      <c r="H178" s="10"/>
      <c r="I178" s="10"/>
      <c r="J178" s="265"/>
      <c r="K178" s="23">
        <v>513</v>
      </c>
      <c r="L178" s="11">
        <v>526</v>
      </c>
      <c r="M178" s="270">
        <f t="shared" si="2"/>
        <v>-3</v>
      </c>
      <c r="N178" s="7"/>
      <c r="O178" s="277"/>
      <c r="P178" s="345"/>
      <c r="V178" s="383"/>
    </row>
    <row r="179" spans="1:22" ht="15" customHeight="1">
      <c r="A179" s="8">
        <v>36053</v>
      </c>
      <c r="B179" s="9"/>
      <c r="C179" s="9"/>
      <c r="D179" s="10"/>
      <c r="E179" s="10"/>
      <c r="F179" s="10">
        <v>115875</v>
      </c>
      <c r="G179" s="10"/>
      <c r="H179" s="10"/>
      <c r="I179" s="10"/>
      <c r="J179" s="265"/>
      <c r="K179" s="23">
        <v>516.5</v>
      </c>
      <c r="L179" s="11">
        <v>530.5</v>
      </c>
      <c r="M179" s="270">
        <f t="shared" si="2"/>
        <v>3.5</v>
      </c>
      <c r="N179" s="7"/>
      <c r="O179" s="277"/>
      <c r="P179" s="345"/>
      <c r="V179" s="383"/>
    </row>
    <row r="180" spans="1:22" ht="15" customHeight="1">
      <c r="A180" s="8">
        <v>36054</v>
      </c>
      <c r="B180" s="9"/>
      <c r="C180" s="9"/>
      <c r="D180" s="10"/>
      <c r="E180" s="10"/>
      <c r="F180" s="10">
        <v>115600</v>
      </c>
      <c r="G180" s="10"/>
      <c r="H180" s="10"/>
      <c r="I180" s="10"/>
      <c r="J180" s="265"/>
      <c r="K180" s="23">
        <v>516.5</v>
      </c>
      <c r="L180" s="11">
        <v>530.5</v>
      </c>
      <c r="M180" s="270">
        <f t="shared" si="2"/>
        <v>0</v>
      </c>
      <c r="N180" s="7"/>
      <c r="O180" s="277"/>
      <c r="P180" s="345"/>
      <c r="V180" s="383"/>
    </row>
    <row r="181" spans="1:22" ht="15" customHeight="1">
      <c r="A181" s="8">
        <v>36055</v>
      </c>
      <c r="B181" s="9"/>
      <c r="C181" s="9"/>
      <c r="D181" s="10"/>
      <c r="E181" s="10"/>
      <c r="F181" s="10">
        <v>115350</v>
      </c>
      <c r="G181" s="10"/>
      <c r="H181" s="10"/>
      <c r="I181" s="10"/>
      <c r="J181" s="265"/>
      <c r="K181" s="23">
        <v>512.5</v>
      </c>
      <c r="L181" s="11">
        <v>526</v>
      </c>
      <c r="M181" s="270">
        <f t="shared" si="2"/>
        <v>-4</v>
      </c>
      <c r="N181" s="7"/>
      <c r="O181" s="277"/>
      <c r="P181" s="345"/>
      <c r="V181" s="383"/>
    </row>
    <row r="182" spans="1:22" ht="15" customHeight="1">
      <c r="A182" s="8">
        <v>36056</v>
      </c>
      <c r="B182" s="9"/>
      <c r="C182" s="9"/>
      <c r="D182" s="10"/>
      <c r="E182" s="10"/>
      <c r="F182" s="10">
        <v>115275</v>
      </c>
      <c r="G182" s="10"/>
      <c r="H182" s="10"/>
      <c r="I182" s="10"/>
      <c r="J182" s="265"/>
      <c r="K182" s="23">
        <v>508</v>
      </c>
      <c r="L182" s="11">
        <v>522</v>
      </c>
      <c r="M182" s="270">
        <f t="shared" si="2"/>
        <v>-4.5</v>
      </c>
      <c r="N182" s="7"/>
      <c r="O182" s="277"/>
      <c r="P182" s="345"/>
      <c r="V182" s="383"/>
    </row>
    <row r="183" spans="1:22" ht="15" customHeight="1">
      <c r="A183" s="8">
        <v>36059</v>
      </c>
      <c r="B183" s="9"/>
      <c r="C183" s="9"/>
      <c r="D183" s="10"/>
      <c r="E183" s="10"/>
      <c r="F183" s="10">
        <v>115125</v>
      </c>
      <c r="G183" s="10"/>
      <c r="H183" s="10"/>
      <c r="I183" s="10"/>
      <c r="J183" s="265"/>
      <c r="K183" s="23">
        <v>515</v>
      </c>
      <c r="L183" s="11">
        <v>529</v>
      </c>
      <c r="M183" s="270">
        <f t="shared" si="2"/>
        <v>7</v>
      </c>
      <c r="N183" s="7"/>
      <c r="O183" s="277"/>
      <c r="P183" s="345"/>
      <c r="V183" s="383"/>
    </row>
    <row r="184" spans="1:22" ht="15" customHeight="1">
      <c r="A184" s="8">
        <v>36060</v>
      </c>
      <c r="B184" s="9"/>
      <c r="C184" s="9"/>
      <c r="D184" s="10"/>
      <c r="E184" s="10"/>
      <c r="F184" s="10">
        <v>115075</v>
      </c>
      <c r="G184" s="10"/>
      <c r="H184" s="10"/>
      <c r="I184" s="10"/>
      <c r="J184" s="265"/>
      <c r="K184" s="23">
        <v>512</v>
      </c>
      <c r="L184" s="11">
        <v>526.5</v>
      </c>
      <c r="M184" s="270">
        <f t="shared" si="2"/>
        <v>-3</v>
      </c>
      <c r="N184" s="7"/>
      <c r="O184" s="277"/>
      <c r="P184" s="345"/>
      <c r="V184" s="383"/>
    </row>
    <row r="185" spans="1:22" ht="15" customHeight="1">
      <c r="A185" s="8">
        <v>36061</v>
      </c>
      <c r="B185" s="9"/>
      <c r="C185" s="9"/>
      <c r="D185" s="10"/>
      <c r="E185" s="10"/>
      <c r="F185" s="10">
        <v>114925</v>
      </c>
      <c r="G185" s="10"/>
      <c r="H185" s="10"/>
      <c r="I185" s="10"/>
      <c r="J185" s="265"/>
      <c r="K185" s="23">
        <v>514</v>
      </c>
      <c r="L185" s="11">
        <v>529</v>
      </c>
      <c r="M185" s="270">
        <f t="shared" si="2"/>
        <v>2</v>
      </c>
      <c r="N185" s="7"/>
      <c r="O185" s="277"/>
      <c r="P185" s="345"/>
      <c r="V185" s="383"/>
    </row>
    <row r="186" spans="1:22" ht="15" customHeight="1">
      <c r="A186" s="8">
        <v>36062</v>
      </c>
      <c r="B186" s="9"/>
      <c r="C186" s="9"/>
      <c r="D186" s="10"/>
      <c r="E186" s="10"/>
      <c r="F186" s="10">
        <v>114550</v>
      </c>
      <c r="G186" s="10"/>
      <c r="H186" s="10"/>
      <c r="I186" s="10"/>
      <c r="J186" s="265"/>
      <c r="K186" s="23">
        <v>515</v>
      </c>
      <c r="L186" s="11">
        <v>528.5</v>
      </c>
      <c r="M186" s="270">
        <f t="shared" si="2"/>
        <v>1</v>
      </c>
      <c r="N186" s="7"/>
      <c r="O186" s="277"/>
      <c r="P186" s="345"/>
      <c r="V186" s="383"/>
    </row>
    <row r="187" spans="1:22" ht="15" customHeight="1">
      <c r="A187" s="8">
        <v>36063</v>
      </c>
      <c r="B187" s="9"/>
      <c r="C187" s="9"/>
      <c r="D187" s="10"/>
      <c r="E187" s="10"/>
      <c r="F187" s="10">
        <v>112750</v>
      </c>
      <c r="G187" s="10"/>
      <c r="H187" s="10"/>
      <c r="I187" s="10"/>
      <c r="J187" s="265"/>
      <c r="K187" s="23">
        <v>514.5</v>
      </c>
      <c r="L187" s="11">
        <v>528</v>
      </c>
      <c r="M187" s="270">
        <f t="shared" si="2"/>
        <v>-0.5</v>
      </c>
      <c r="N187" s="7"/>
      <c r="O187" s="277"/>
      <c r="P187" s="345"/>
      <c r="V187" s="383"/>
    </row>
    <row r="188" spans="1:22" ht="15" customHeight="1">
      <c r="A188" s="8">
        <v>36066</v>
      </c>
      <c r="B188" s="9"/>
      <c r="C188" s="9"/>
      <c r="D188" s="10"/>
      <c r="E188" s="10"/>
      <c r="F188" s="10">
        <v>112525</v>
      </c>
      <c r="G188" s="10"/>
      <c r="H188" s="10"/>
      <c r="I188" s="10"/>
      <c r="J188" s="265"/>
      <c r="K188" s="23">
        <v>512</v>
      </c>
      <c r="L188" s="11">
        <v>526</v>
      </c>
      <c r="M188" s="270">
        <f t="shared" si="2"/>
        <v>-2.5</v>
      </c>
      <c r="N188" s="7"/>
      <c r="O188" s="277"/>
      <c r="P188" s="345"/>
      <c r="V188" s="383"/>
    </row>
    <row r="189" spans="1:22" ht="15" customHeight="1">
      <c r="A189" s="8">
        <v>36067</v>
      </c>
      <c r="B189" s="9"/>
      <c r="C189" s="9"/>
      <c r="D189" s="10"/>
      <c r="E189" s="10"/>
      <c r="F189" s="10">
        <v>112100</v>
      </c>
      <c r="G189" s="10"/>
      <c r="H189" s="10"/>
      <c r="I189" s="10"/>
      <c r="J189" s="265"/>
      <c r="K189" s="23">
        <v>525</v>
      </c>
      <c r="L189" s="11">
        <v>538</v>
      </c>
      <c r="M189" s="270">
        <f t="shared" si="2"/>
        <v>13</v>
      </c>
      <c r="N189" s="7"/>
      <c r="O189" s="277"/>
      <c r="P189" s="345"/>
      <c r="V189" s="383"/>
    </row>
    <row r="190" spans="1:22" ht="15" customHeight="1">
      <c r="A190" s="8">
        <v>36068</v>
      </c>
      <c r="B190" s="9"/>
      <c r="C190" s="9"/>
      <c r="D190" s="10"/>
      <c r="E190" s="10"/>
      <c r="F190" s="10">
        <v>113175</v>
      </c>
      <c r="G190" s="10"/>
      <c r="H190" s="10"/>
      <c r="I190" s="10"/>
      <c r="J190" s="265"/>
      <c r="K190" s="23">
        <v>521</v>
      </c>
      <c r="L190" s="11">
        <v>534</v>
      </c>
      <c r="M190" s="270">
        <f t="shared" si="2"/>
        <v>-4</v>
      </c>
      <c r="N190" s="7"/>
      <c r="O190" s="277"/>
      <c r="P190" s="345"/>
      <c r="V190" s="383"/>
    </row>
    <row r="191" spans="1:22" ht="15" customHeight="1">
      <c r="A191" s="8">
        <v>36069</v>
      </c>
      <c r="B191" s="9"/>
      <c r="C191" s="9"/>
      <c r="D191" s="10"/>
      <c r="E191" s="10"/>
      <c r="F191" s="10">
        <v>112700</v>
      </c>
      <c r="G191" s="10"/>
      <c r="H191" s="10"/>
      <c r="I191" s="10"/>
      <c r="J191" s="265"/>
      <c r="K191" s="23">
        <v>510.5</v>
      </c>
      <c r="L191" s="11">
        <v>523</v>
      </c>
      <c r="M191" s="270">
        <f t="shared" si="2"/>
        <v>-10.5</v>
      </c>
      <c r="N191" s="7"/>
      <c r="O191" s="277"/>
      <c r="P191" s="345"/>
      <c r="V191" s="383"/>
    </row>
    <row r="192" spans="1:22" ht="15" customHeight="1">
      <c r="A192" s="8">
        <v>36070</v>
      </c>
      <c r="B192" s="9"/>
      <c r="C192" s="9"/>
      <c r="D192" s="10"/>
      <c r="E192" s="10"/>
      <c r="F192" s="10">
        <v>112500</v>
      </c>
      <c r="G192" s="10"/>
      <c r="H192" s="10"/>
      <c r="I192" s="10"/>
      <c r="J192" s="265"/>
      <c r="K192" s="23">
        <v>508</v>
      </c>
      <c r="L192" s="11">
        <v>520</v>
      </c>
      <c r="M192" s="270">
        <f t="shared" si="2"/>
        <v>-2.5</v>
      </c>
      <c r="N192" s="7"/>
      <c r="O192" s="277"/>
      <c r="P192" s="345"/>
      <c r="V192" s="383"/>
    </row>
    <row r="193" spans="1:22" ht="15" customHeight="1">
      <c r="A193" s="8">
        <v>36073</v>
      </c>
      <c r="B193" s="9"/>
      <c r="C193" s="9"/>
      <c r="D193" s="10"/>
      <c r="E193" s="10"/>
      <c r="F193" s="10">
        <v>113825</v>
      </c>
      <c r="G193" s="10"/>
      <c r="H193" s="10"/>
      <c r="I193" s="10"/>
      <c r="J193" s="265"/>
      <c r="K193" s="23">
        <v>498</v>
      </c>
      <c r="L193" s="11">
        <v>511</v>
      </c>
      <c r="M193" s="270">
        <f t="shared" si="2"/>
        <v>-10</v>
      </c>
      <c r="N193" s="7"/>
      <c r="O193" s="277"/>
      <c r="P193" s="345"/>
      <c r="V193" s="383"/>
    </row>
    <row r="194" spans="1:22" ht="15" customHeight="1">
      <c r="A194" s="8">
        <v>36074</v>
      </c>
      <c r="B194" s="9"/>
      <c r="C194" s="9"/>
      <c r="D194" s="10"/>
      <c r="E194" s="10"/>
      <c r="F194" s="10">
        <v>113225</v>
      </c>
      <c r="G194" s="10"/>
      <c r="H194" s="10"/>
      <c r="I194" s="10"/>
      <c r="J194" s="265"/>
      <c r="K194" s="23">
        <v>506</v>
      </c>
      <c r="L194" s="11">
        <v>517.5</v>
      </c>
      <c r="M194" s="270">
        <f t="shared" si="2"/>
        <v>8</v>
      </c>
      <c r="N194" s="7"/>
      <c r="O194" s="277"/>
      <c r="P194" s="345"/>
      <c r="V194" s="383"/>
    </row>
    <row r="195" spans="1:22" ht="15" customHeight="1">
      <c r="A195" s="8">
        <v>36075</v>
      </c>
      <c r="B195" s="9"/>
      <c r="C195" s="9"/>
      <c r="D195" s="10"/>
      <c r="E195" s="10"/>
      <c r="F195" s="10">
        <v>113075</v>
      </c>
      <c r="G195" s="10"/>
      <c r="H195" s="10"/>
      <c r="I195" s="10"/>
      <c r="J195" s="265"/>
      <c r="K195" s="23">
        <v>510</v>
      </c>
      <c r="L195" s="11">
        <v>521.5</v>
      </c>
      <c r="M195" s="270">
        <f t="shared" si="2"/>
        <v>4</v>
      </c>
      <c r="N195" s="7"/>
      <c r="O195" s="277"/>
      <c r="P195" s="345"/>
      <c r="V195" s="383"/>
    </row>
    <row r="196" spans="1:22" ht="15" customHeight="1">
      <c r="A196" s="8">
        <v>36076</v>
      </c>
      <c r="B196" s="9"/>
      <c r="C196" s="9"/>
      <c r="D196" s="10"/>
      <c r="E196" s="10"/>
      <c r="F196" s="10">
        <v>113175</v>
      </c>
      <c r="G196" s="10"/>
      <c r="H196" s="10"/>
      <c r="I196" s="10"/>
      <c r="J196" s="265"/>
      <c r="K196" s="23">
        <v>513</v>
      </c>
      <c r="L196" s="11">
        <v>523</v>
      </c>
      <c r="M196" s="270">
        <f t="shared" si="2"/>
        <v>3</v>
      </c>
      <c r="N196" s="7"/>
      <c r="O196" s="277"/>
      <c r="P196" s="345"/>
      <c r="V196" s="383"/>
    </row>
    <row r="197" spans="1:22" ht="15" customHeight="1">
      <c r="A197" s="8">
        <v>36077</v>
      </c>
      <c r="B197" s="9"/>
      <c r="C197" s="9"/>
      <c r="D197" s="10"/>
      <c r="E197" s="10"/>
      <c r="F197" s="10">
        <v>113050</v>
      </c>
      <c r="G197" s="10"/>
      <c r="H197" s="10"/>
      <c r="I197" s="10"/>
      <c r="J197" s="265"/>
      <c r="K197" s="23">
        <v>501.5</v>
      </c>
      <c r="L197" s="11">
        <v>513.5</v>
      </c>
      <c r="M197" s="270">
        <f t="shared" ref="M197:M260" si="3">+K197-K196</f>
        <v>-11.5</v>
      </c>
      <c r="N197" s="7"/>
      <c r="O197" s="277"/>
      <c r="P197" s="345"/>
      <c r="V197" s="383"/>
    </row>
    <row r="198" spans="1:22" ht="15" customHeight="1">
      <c r="A198" s="8">
        <v>36080</v>
      </c>
      <c r="B198" s="9"/>
      <c r="C198" s="9"/>
      <c r="D198" s="10"/>
      <c r="E198" s="10"/>
      <c r="F198" s="10">
        <v>112725</v>
      </c>
      <c r="G198" s="10"/>
      <c r="H198" s="10"/>
      <c r="I198" s="10"/>
      <c r="J198" s="265"/>
      <c r="K198" s="23">
        <v>496.5</v>
      </c>
      <c r="L198" s="11">
        <v>509</v>
      </c>
      <c r="M198" s="270">
        <f t="shared" si="3"/>
        <v>-5</v>
      </c>
      <c r="N198" s="7"/>
      <c r="O198" s="277"/>
      <c r="P198" s="345"/>
      <c r="V198" s="383"/>
    </row>
    <row r="199" spans="1:22" ht="15" customHeight="1">
      <c r="A199" s="8">
        <v>36081</v>
      </c>
      <c r="B199" s="9"/>
      <c r="C199" s="9"/>
      <c r="D199" s="10"/>
      <c r="E199" s="10"/>
      <c r="F199" s="10">
        <v>112425</v>
      </c>
      <c r="G199" s="10"/>
      <c r="H199" s="10"/>
      <c r="I199" s="10"/>
      <c r="J199" s="265"/>
      <c r="K199" s="23">
        <v>488.5</v>
      </c>
      <c r="L199" s="11">
        <v>501</v>
      </c>
      <c r="M199" s="270">
        <f t="shared" si="3"/>
        <v>-8</v>
      </c>
      <c r="N199" s="7"/>
      <c r="O199" s="277"/>
      <c r="P199" s="345"/>
      <c r="V199" s="383"/>
    </row>
    <row r="200" spans="1:22" ht="15" customHeight="1">
      <c r="A200" s="8">
        <v>36082</v>
      </c>
      <c r="B200" s="9"/>
      <c r="C200" s="9"/>
      <c r="D200" s="10"/>
      <c r="E200" s="10"/>
      <c r="F200" s="10">
        <v>112325</v>
      </c>
      <c r="G200" s="10"/>
      <c r="H200" s="10"/>
      <c r="I200" s="10"/>
      <c r="J200" s="265"/>
      <c r="K200" s="23">
        <v>491.5</v>
      </c>
      <c r="L200" s="11">
        <v>505.5</v>
      </c>
      <c r="M200" s="270">
        <f t="shared" si="3"/>
        <v>3</v>
      </c>
      <c r="N200" s="7"/>
      <c r="O200" s="277"/>
      <c r="P200" s="345"/>
      <c r="V200" s="383"/>
    </row>
    <row r="201" spans="1:22" ht="15" customHeight="1">
      <c r="A201" s="8">
        <v>36083</v>
      </c>
      <c r="B201" s="9"/>
      <c r="C201" s="9"/>
      <c r="D201" s="10"/>
      <c r="E201" s="10"/>
      <c r="F201" s="10">
        <v>111475</v>
      </c>
      <c r="G201" s="10"/>
      <c r="H201" s="10"/>
      <c r="I201" s="10"/>
      <c r="J201" s="265"/>
      <c r="K201" s="23">
        <v>487.5</v>
      </c>
      <c r="L201" s="11">
        <v>502</v>
      </c>
      <c r="M201" s="270">
        <f t="shared" si="3"/>
        <v>-4</v>
      </c>
      <c r="N201" s="7"/>
      <c r="O201" s="277"/>
      <c r="P201" s="345"/>
      <c r="V201" s="383"/>
    </row>
    <row r="202" spans="1:22" ht="15" customHeight="1">
      <c r="A202" s="8">
        <v>36084</v>
      </c>
      <c r="B202" s="9"/>
      <c r="C202" s="9"/>
      <c r="D202" s="10"/>
      <c r="E202" s="10"/>
      <c r="F202" s="10">
        <v>112050</v>
      </c>
      <c r="G202" s="10"/>
      <c r="H202" s="10"/>
      <c r="I202" s="10"/>
      <c r="J202" s="265"/>
      <c r="K202" s="23">
        <v>485.5</v>
      </c>
      <c r="L202" s="11">
        <v>500</v>
      </c>
      <c r="M202" s="270">
        <f t="shared" si="3"/>
        <v>-2</v>
      </c>
      <c r="N202" s="7"/>
      <c r="O202" s="277"/>
      <c r="P202" s="345"/>
      <c r="V202" s="383"/>
    </row>
    <row r="203" spans="1:22" ht="15" customHeight="1">
      <c r="A203" s="8">
        <v>36087</v>
      </c>
      <c r="B203" s="9"/>
      <c r="C203" s="9"/>
      <c r="D203" s="10"/>
      <c r="E203" s="10"/>
      <c r="F203" s="10">
        <v>111775</v>
      </c>
      <c r="G203" s="10"/>
      <c r="H203" s="10"/>
      <c r="I203" s="10"/>
      <c r="J203" s="265"/>
      <c r="K203" s="23">
        <v>487.5</v>
      </c>
      <c r="L203" s="11">
        <v>499</v>
      </c>
      <c r="M203" s="270">
        <f t="shared" si="3"/>
        <v>2</v>
      </c>
      <c r="N203" s="7"/>
      <c r="O203" s="277"/>
      <c r="P203" s="345"/>
      <c r="V203" s="383"/>
    </row>
    <row r="204" spans="1:22" ht="15" customHeight="1">
      <c r="A204" s="8">
        <v>36088</v>
      </c>
      <c r="B204" s="9"/>
      <c r="C204" s="9"/>
      <c r="D204" s="10"/>
      <c r="E204" s="10"/>
      <c r="F204" s="10">
        <v>111700</v>
      </c>
      <c r="G204" s="10"/>
      <c r="H204" s="10"/>
      <c r="I204" s="10"/>
      <c r="J204" s="265"/>
      <c r="K204" s="23">
        <v>487</v>
      </c>
      <c r="L204" s="11">
        <v>499</v>
      </c>
      <c r="M204" s="270">
        <f t="shared" si="3"/>
        <v>-0.5</v>
      </c>
      <c r="N204" s="7"/>
      <c r="O204" s="277"/>
      <c r="P204" s="345"/>
      <c r="V204" s="383"/>
    </row>
    <row r="205" spans="1:22" ht="15" customHeight="1">
      <c r="A205" s="8">
        <v>36089</v>
      </c>
      <c r="B205" s="9"/>
      <c r="C205" s="9"/>
      <c r="D205" s="10"/>
      <c r="E205" s="10"/>
      <c r="F205" s="10">
        <v>111250</v>
      </c>
      <c r="G205" s="10"/>
      <c r="H205" s="10"/>
      <c r="I205" s="10"/>
      <c r="J205" s="265"/>
      <c r="K205" s="23">
        <v>488</v>
      </c>
      <c r="L205" s="11">
        <v>498.5</v>
      </c>
      <c r="M205" s="270">
        <f t="shared" si="3"/>
        <v>1</v>
      </c>
      <c r="N205" s="7"/>
      <c r="O205" s="277"/>
      <c r="P205" s="345"/>
      <c r="V205" s="383"/>
    </row>
    <row r="206" spans="1:22" ht="15" customHeight="1">
      <c r="A206" s="8">
        <v>36090</v>
      </c>
      <c r="B206" s="9"/>
      <c r="C206" s="9"/>
      <c r="D206" s="10"/>
      <c r="E206" s="10"/>
      <c r="F206" s="10">
        <v>110300</v>
      </c>
      <c r="G206" s="10"/>
      <c r="H206" s="10"/>
      <c r="I206" s="10"/>
      <c r="J206" s="265"/>
      <c r="K206" s="23">
        <v>483.5</v>
      </c>
      <c r="L206" s="11">
        <v>496</v>
      </c>
      <c r="M206" s="270">
        <f t="shared" si="3"/>
        <v>-4.5</v>
      </c>
      <c r="N206" s="7"/>
      <c r="O206" s="277"/>
      <c r="P206" s="345"/>
      <c r="V206" s="383"/>
    </row>
    <row r="207" spans="1:22" ht="15" customHeight="1">
      <c r="A207" s="8">
        <v>36091</v>
      </c>
      <c r="B207" s="9"/>
      <c r="C207" s="9"/>
      <c r="D207" s="10"/>
      <c r="E207" s="10"/>
      <c r="F207" s="10">
        <v>110125</v>
      </c>
      <c r="G207" s="10"/>
      <c r="H207" s="10"/>
      <c r="I207" s="10"/>
      <c r="J207" s="265"/>
      <c r="K207" s="23">
        <v>488.5</v>
      </c>
      <c r="L207" s="11">
        <v>501</v>
      </c>
      <c r="M207" s="270">
        <f t="shared" si="3"/>
        <v>5</v>
      </c>
      <c r="N207" s="7"/>
      <c r="O207" s="277"/>
      <c r="P207" s="345"/>
      <c r="V207" s="383"/>
    </row>
    <row r="208" spans="1:22" ht="15" customHeight="1">
      <c r="A208" s="8">
        <v>36094</v>
      </c>
      <c r="B208" s="9"/>
      <c r="C208" s="9"/>
      <c r="D208" s="10"/>
      <c r="E208" s="10"/>
      <c r="F208" s="10">
        <v>109950</v>
      </c>
      <c r="G208" s="10"/>
      <c r="H208" s="10"/>
      <c r="I208" s="10"/>
      <c r="J208" s="265"/>
      <c r="K208" s="23">
        <v>484.5</v>
      </c>
      <c r="L208" s="11">
        <v>496.5</v>
      </c>
      <c r="M208" s="270">
        <f t="shared" si="3"/>
        <v>-4</v>
      </c>
      <c r="N208" s="7"/>
      <c r="O208" s="277"/>
      <c r="P208" s="345"/>
      <c r="V208" s="383"/>
    </row>
    <row r="209" spans="1:22" ht="15" customHeight="1">
      <c r="A209" s="8">
        <v>36095</v>
      </c>
      <c r="B209" s="9"/>
      <c r="C209" s="9"/>
      <c r="D209" s="10"/>
      <c r="E209" s="10"/>
      <c r="F209" s="10">
        <v>109875</v>
      </c>
      <c r="G209" s="10"/>
      <c r="H209" s="10"/>
      <c r="I209" s="10"/>
      <c r="J209" s="265"/>
      <c r="K209" s="23">
        <v>486</v>
      </c>
      <c r="L209" s="11">
        <v>496.5</v>
      </c>
      <c r="M209" s="270">
        <f t="shared" si="3"/>
        <v>1.5</v>
      </c>
      <c r="N209" s="7"/>
      <c r="O209" s="277"/>
      <c r="P209" s="345"/>
      <c r="V209" s="383"/>
    </row>
    <row r="210" spans="1:22" ht="15" customHeight="1">
      <c r="A210" s="8">
        <v>36096</v>
      </c>
      <c r="B210" s="9"/>
      <c r="C210" s="9"/>
      <c r="D210" s="10"/>
      <c r="E210" s="10"/>
      <c r="F210" s="10">
        <v>111325</v>
      </c>
      <c r="G210" s="10"/>
      <c r="H210" s="10"/>
      <c r="I210" s="10"/>
      <c r="J210" s="265"/>
      <c r="K210" s="23">
        <v>478</v>
      </c>
      <c r="L210" s="11">
        <v>489</v>
      </c>
      <c r="M210" s="270">
        <f t="shared" si="3"/>
        <v>-8</v>
      </c>
      <c r="N210" s="7"/>
      <c r="O210" s="277"/>
      <c r="P210" s="345"/>
      <c r="V210" s="383"/>
    </row>
    <row r="211" spans="1:22" ht="15" customHeight="1">
      <c r="A211" s="8">
        <v>36097</v>
      </c>
      <c r="B211" s="9"/>
      <c r="C211" s="9"/>
      <c r="D211" s="10"/>
      <c r="E211" s="10"/>
      <c r="F211" s="10">
        <v>110775</v>
      </c>
      <c r="G211" s="10"/>
      <c r="H211" s="10"/>
      <c r="I211" s="10"/>
      <c r="J211" s="265"/>
      <c r="K211" s="23">
        <v>482.5</v>
      </c>
      <c r="L211" s="11">
        <v>493</v>
      </c>
      <c r="M211" s="270">
        <f t="shared" si="3"/>
        <v>4.5</v>
      </c>
      <c r="N211" s="7"/>
      <c r="O211" s="277"/>
      <c r="P211" s="345"/>
      <c r="V211" s="383"/>
    </row>
    <row r="212" spans="1:22" ht="15" customHeight="1">
      <c r="A212" s="8">
        <v>36098</v>
      </c>
      <c r="B212" s="9"/>
      <c r="C212" s="9"/>
      <c r="D212" s="10"/>
      <c r="E212" s="10"/>
      <c r="F212" s="10">
        <v>110675</v>
      </c>
      <c r="G212" s="10"/>
      <c r="H212" s="10"/>
      <c r="I212" s="10"/>
      <c r="J212" s="265"/>
      <c r="K212" s="23">
        <v>480</v>
      </c>
      <c r="L212" s="11">
        <v>489</v>
      </c>
      <c r="M212" s="270">
        <f t="shared" si="3"/>
        <v>-2.5</v>
      </c>
      <c r="N212" s="7"/>
      <c r="O212" s="277"/>
      <c r="P212" s="345"/>
      <c r="V212" s="383"/>
    </row>
    <row r="213" spans="1:22" ht="15" customHeight="1">
      <c r="A213" s="8">
        <v>36101</v>
      </c>
      <c r="B213" s="9"/>
      <c r="C213" s="9"/>
      <c r="D213" s="10"/>
      <c r="E213" s="10"/>
      <c r="F213" s="10">
        <v>110550</v>
      </c>
      <c r="G213" s="10"/>
      <c r="H213" s="10"/>
      <c r="I213" s="10"/>
      <c r="J213" s="265"/>
      <c r="K213" s="23">
        <v>483</v>
      </c>
      <c r="L213" s="11">
        <v>493</v>
      </c>
      <c r="M213" s="270">
        <f t="shared" si="3"/>
        <v>3</v>
      </c>
      <c r="N213" s="7"/>
      <c r="O213" s="277"/>
      <c r="P213" s="345"/>
      <c r="V213" s="383"/>
    </row>
    <row r="214" spans="1:22" ht="15" customHeight="1">
      <c r="A214" s="8">
        <v>36102</v>
      </c>
      <c r="B214" s="9"/>
      <c r="C214" s="9"/>
      <c r="D214" s="10"/>
      <c r="E214" s="10"/>
      <c r="F214" s="10">
        <v>110350</v>
      </c>
      <c r="G214" s="10"/>
      <c r="H214" s="10"/>
      <c r="I214" s="10"/>
      <c r="J214" s="265"/>
      <c r="K214" s="23">
        <v>477.5</v>
      </c>
      <c r="L214" s="11">
        <v>487.5</v>
      </c>
      <c r="M214" s="270">
        <f t="shared" si="3"/>
        <v>-5.5</v>
      </c>
      <c r="N214" s="7"/>
      <c r="O214" s="277"/>
      <c r="P214" s="345"/>
      <c r="V214" s="383"/>
    </row>
    <row r="215" spans="1:22" ht="15" customHeight="1">
      <c r="A215" s="8">
        <v>36103</v>
      </c>
      <c r="B215" s="9"/>
      <c r="C215" s="9"/>
      <c r="D215" s="10"/>
      <c r="E215" s="10"/>
      <c r="F215" s="10">
        <v>110000</v>
      </c>
      <c r="G215" s="10"/>
      <c r="H215" s="10"/>
      <c r="I215" s="10"/>
      <c r="J215" s="265"/>
      <c r="K215" s="23">
        <v>483</v>
      </c>
      <c r="L215" s="11">
        <v>493</v>
      </c>
      <c r="M215" s="270">
        <f t="shared" si="3"/>
        <v>5.5</v>
      </c>
      <c r="N215" s="7"/>
      <c r="O215" s="277"/>
      <c r="P215" s="345"/>
      <c r="V215" s="383"/>
    </row>
    <row r="216" spans="1:22" ht="15" customHeight="1">
      <c r="A216" s="8">
        <v>36104</v>
      </c>
      <c r="B216" s="9"/>
      <c r="C216" s="9"/>
      <c r="D216" s="10"/>
      <c r="E216" s="10"/>
      <c r="F216" s="10">
        <v>109875</v>
      </c>
      <c r="G216" s="10"/>
      <c r="H216" s="10"/>
      <c r="I216" s="10"/>
      <c r="J216" s="265"/>
      <c r="K216" s="23">
        <v>488.5</v>
      </c>
      <c r="L216" s="11">
        <v>498.5</v>
      </c>
      <c r="M216" s="270">
        <f t="shared" si="3"/>
        <v>5.5</v>
      </c>
      <c r="N216" s="7"/>
      <c r="O216" s="277"/>
      <c r="P216" s="345"/>
      <c r="V216" s="383"/>
    </row>
    <row r="217" spans="1:22" ht="15" customHeight="1">
      <c r="A217" s="8">
        <v>36105</v>
      </c>
      <c r="B217" s="9"/>
      <c r="C217" s="9"/>
      <c r="D217" s="10"/>
      <c r="E217" s="10"/>
      <c r="F217" s="10">
        <v>110125</v>
      </c>
      <c r="G217" s="10"/>
      <c r="H217" s="10"/>
      <c r="I217" s="10"/>
      <c r="J217" s="265"/>
      <c r="K217" s="23">
        <v>489</v>
      </c>
      <c r="L217" s="11">
        <v>499</v>
      </c>
      <c r="M217" s="270">
        <f t="shared" si="3"/>
        <v>0.5</v>
      </c>
      <c r="N217" s="7"/>
      <c r="O217" s="277"/>
      <c r="P217" s="345"/>
      <c r="V217" s="383"/>
    </row>
    <row r="218" spans="1:22" ht="15" customHeight="1">
      <c r="A218" s="8">
        <v>36108</v>
      </c>
      <c r="B218" s="9"/>
      <c r="C218" s="9"/>
      <c r="D218" s="10"/>
      <c r="E218" s="10"/>
      <c r="F218" s="10">
        <v>110375</v>
      </c>
      <c r="G218" s="10"/>
      <c r="H218" s="10"/>
      <c r="I218" s="10"/>
      <c r="J218" s="265"/>
      <c r="K218" s="23">
        <v>496</v>
      </c>
      <c r="L218" s="11">
        <v>505.5</v>
      </c>
      <c r="M218" s="270">
        <f t="shared" si="3"/>
        <v>7</v>
      </c>
      <c r="N218" s="7"/>
      <c r="O218" s="277"/>
      <c r="P218" s="345"/>
      <c r="V218" s="383"/>
    </row>
    <row r="219" spans="1:22" ht="15" customHeight="1">
      <c r="A219" s="8">
        <v>36109</v>
      </c>
      <c r="B219" s="9"/>
      <c r="C219" s="9"/>
      <c r="D219" s="10"/>
      <c r="E219" s="10"/>
      <c r="F219" s="10">
        <v>110200</v>
      </c>
      <c r="G219" s="10"/>
      <c r="H219" s="10"/>
      <c r="I219" s="10"/>
      <c r="J219" s="265"/>
      <c r="K219" s="23">
        <v>486.5</v>
      </c>
      <c r="L219" s="11">
        <v>497</v>
      </c>
      <c r="M219" s="270">
        <f t="shared" si="3"/>
        <v>-9.5</v>
      </c>
      <c r="N219" s="7"/>
      <c r="O219" s="277"/>
      <c r="P219" s="345"/>
      <c r="V219" s="383"/>
    </row>
    <row r="220" spans="1:22" ht="15" customHeight="1">
      <c r="A220" s="8">
        <v>36110</v>
      </c>
      <c r="B220" s="9"/>
      <c r="C220" s="9"/>
      <c r="D220" s="10"/>
      <c r="E220" s="10"/>
      <c r="F220" s="10">
        <v>109225</v>
      </c>
      <c r="G220" s="10"/>
      <c r="H220" s="10"/>
      <c r="I220" s="10"/>
      <c r="J220" s="265"/>
      <c r="K220" s="23">
        <v>484.5</v>
      </c>
      <c r="L220" s="11">
        <v>495</v>
      </c>
      <c r="M220" s="270">
        <f t="shared" si="3"/>
        <v>-2</v>
      </c>
      <c r="N220" s="7"/>
      <c r="O220" s="277"/>
      <c r="P220" s="345"/>
      <c r="V220" s="383"/>
    </row>
    <row r="221" spans="1:22" ht="15" customHeight="1">
      <c r="A221" s="8">
        <v>36111</v>
      </c>
      <c r="B221" s="9"/>
      <c r="C221" s="9"/>
      <c r="D221" s="10"/>
      <c r="E221" s="10"/>
      <c r="F221" s="10">
        <v>109150</v>
      </c>
      <c r="G221" s="10"/>
      <c r="H221" s="10"/>
      <c r="I221" s="10"/>
      <c r="J221" s="265"/>
      <c r="K221" s="23">
        <v>485</v>
      </c>
      <c r="L221" s="11">
        <v>496</v>
      </c>
      <c r="M221" s="270">
        <f t="shared" si="3"/>
        <v>0.5</v>
      </c>
      <c r="N221" s="7"/>
      <c r="O221" s="277"/>
      <c r="P221" s="345"/>
      <c r="V221" s="383"/>
    </row>
    <row r="222" spans="1:22" ht="15" customHeight="1">
      <c r="A222" s="8">
        <v>36112</v>
      </c>
      <c r="B222" s="9"/>
      <c r="C222" s="9"/>
      <c r="D222" s="10"/>
      <c r="E222" s="10"/>
      <c r="F222" s="10">
        <v>109350</v>
      </c>
      <c r="G222" s="10"/>
      <c r="H222" s="10"/>
      <c r="I222" s="10"/>
      <c r="J222" s="265"/>
      <c r="K222" s="23">
        <v>485</v>
      </c>
      <c r="L222" s="11">
        <v>495</v>
      </c>
      <c r="M222" s="270">
        <f t="shared" si="3"/>
        <v>0</v>
      </c>
      <c r="N222" s="7"/>
      <c r="O222" s="277"/>
      <c r="P222" s="345"/>
      <c r="V222" s="383"/>
    </row>
    <row r="223" spans="1:22" ht="15" customHeight="1">
      <c r="A223" s="8">
        <v>36115</v>
      </c>
      <c r="B223" s="9"/>
      <c r="C223" s="9"/>
      <c r="D223" s="10"/>
      <c r="E223" s="10"/>
      <c r="F223" s="10">
        <v>109175</v>
      </c>
      <c r="G223" s="10"/>
      <c r="H223" s="10"/>
      <c r="I223" s="10"/>
      <c r="J223" s="265"/>
      <c r="K223" s="23">
        <v>485</v>
      </c>
      <c r="L223" s="11">
        <v>495.5</v>
      </c>
      <c r="M223" s="270">
        <f t="shared" si="3"/>
        <v>0</v>
      </c>
      <c r="N223" s="7"/>
      <c r="O223" s="277"/>
      <c r="P223" s="345"/>
      <c r="V223" s="383"/>
    </row>
    <row r="224" spans="1:22" ht="15" customHeight="1">
      <c r="A224" s="8">
        <v>36116</v>
      </c>
      <c r="B224" s="9"/>
      <c r="C224" s="9"/>
      <c r="D224" s="10"/>
      <c r="E224" s="10"/>
      <c r="F224" s="10">
        <v>108950</v>
      </c>
      <c r="G224" s="10"/>
      <c r="H224" s="10"/>
      <c r="I224" s="10"/>
      <c r="J224" s="265"/>
      <c r="K224" s="23">
        <v>488</v>
      </c>
      <c r="L224" s="11">
        <v>498</v>
      </c>
      <c r="M224" s="270">
        <f t="shared" si="3"/>
        <v>3</v>
      </c>
      <c r="N224" s="7"/>
      <c r="O224" s="277"/>
      <c r="P224" s="345"/>
      <c r="V224" s="383"/>
    </row>
    <row r="225" spans="1:22" ht="15" customHeight="1">
      <c r="A225" s="8">
        <v>36117</v>
      </c>
      <c r="B225" s="9"/>
      <c r="C225" s="9"/>
      <c r="D225" s="10"/>
      <c r="E225" s="10"/>
      <c r="F225" s="10">
        <v>108525</v>
      </c>
      <c r="G225" s="10"/>
      <c r="H225" s="10"/>
      <c r="I225" s="10"/>
      <c r="J225" s="265"/>
      <c r="K225" s="23">
        <v>494</v>
      </c>
      <c r="L225" s="11">
        <v>498.5</v>
      </c>
      <c r="M225" s="270">
        <f t="shared" si="3"/>
        <v>6</v>
      </c>
      <c r="N225" s="7"/>
      <c r="O225" s="277"/>
      <c r="P225" s="345"/>
      <c r="V225" s="383"/>
    </row>
    <row r="226" spans="1:22" ht="15" customHeight="1">
      <c r="A226" s="8">
        <v>36118</v>
      </c>
      <c r="B226" s="9"/>
      <c r="C226" s="9"/>
      <c r="D226" s="10"/>
      <c r="E226" s="10"/>
      <c r="F226" s="10">
        <v>108000</v>
      </c>
      <c r="G226" s="10"/>
      <c r="H226" s="10"/>
      <c r="I226" s="10"/>
      <c r="J226" s="265"/>
      <c r="K226" s="23">
        <v>505</v>
      </c>
      <c r="L226" s="11">
        <v>505</v>
      </c>
      <c r="M226" s="270">
        <f t="shared" si="3"/>
        <v>11</v>
      </c>
      <c r="N226" s="7"/>
      <c r="O226" s="277"/>
      <c r="P226" s="345"/>
      <c r="V226" s="383"/>
    </row>
    <row r="227" spans="1:22" ht="15" customHeight="1">
      <c r="A227" s="8">
        <v>36119</v>
      </c>
      <c r="B227" s="9"/>
      <c r="C227" s="9"/>
      <c r="D227" s="10"/>
      <c r="E227" s="10"/>
      <c r="F227" s="10">
        <v>107575</v>
      </c>
      <c r="G227" s="10"/>
      <c r="H227" s="10"/>
      <c r="I227" s="10"/>
      <c r="J227" s="265"/>
      <c r="K227" s="23">
        <v>514</v>
      </c>
      <c r="L227" s="11">
        <v>507</v>
      </c>
      <c r="M227" s="270">
        <f t="shared" si="3"/>
        <v>9</v>
      </c>
      <c r="N227" s="7"/>
      <c r="O227" s="277"/>
      <c r="P227" s="345"/>
      <c r="V227" s="383"/>
    </row>
    <row r="228" spans="1:22" ht="15" customHeight="1">
      <c r="A228" s="8">
        <v>36122</v>
      </c>
      <c r="B228" s="9"/>
      <c r="C228" s="9"/>
      <c r="D228" s="10"/>
      <c r="E228" s="10"/>
      <c r="F228" s="10">
        <v>106075</v>
      </c>
      <c r="G228" s="10"/>
      <c r="H228" s="10"/>
      <c r="I228" s="10"/>
      <c r="J228" s="265"/>
      <c r="K228" s="23">
        <v>518.5</v>
      </c>
      <c r="L228" s="11">
        <v>507</v>
      </c>
      <c r="M228" s="270">
        <f t="shared" si="3"/>
        <v>4.5</v>
      </c>
      <c r="N228" s="7"/>
      <c r="O228" s="277"/>
      <c r="P228" s="345"/>
      <c r="V228" s="383"/>
    </row>
    <row r="229" spans="1:22" ht="15" customHeight="1">
      <c r="A229" s="8">
        <v>36123</v>
      </c>
      <c r="B229" s="9"/>
      <c r="C229" s="9"/>
      <c r="D229" s="10"/>
      <c r="E229" s="10"/>
      <c r="F229" s="10">
        <v>105950</v>
      </c>
      <c r="G229" s="10"/>
      <c r="H229" s="10"/>
      <c r="I229" s="10"/>
      <c r="J229" s="265"/>
      <c r="K229" s="23">
        <v>507</v>
      </c>
      <c r="L229" s="11">
        <v>499.5</v>
      </c>
      <c r="M229" s="270">
        <f t="shared" si="3"/>
        <v>-11.5</v>
      </c>
      <c r="N229" s="7"/>
      <c r="O229" s="277"/>
      <c r="P229" s="345"/>
      <c r="V229" s="383"/>
    </row>
    <row r="230" spans="1:22" ht="15" customHeight="1">
      <c r="A230" s="8">
        <v>36124</v>
      </c>
      <c r="B230" s="9"/>
      <c r="C230" s="9"/>
      <c r="D230" s="10"/>
      <c r="E230" s="10"/>
      <c r="F230" s="10">
        <v>105800</v>
      </c>
      <c r="G230" s="10"/>
      <c r="H230" s="10"/>
      <c r="I230" s="10"/>
      <c r="J230" s="265"/>
      <c r="K230" s="23">
        <v>503</v>
      </c>
      <c r="L230" s="11">
        <v>493</v>
      </c>
      <c r="M230" s="270">
        <f t="shared" si="3"/>
        <v>-4</v>
      </c>
      <c r="N230" s="7"/>
      <c r="O230" s="277"/>
      <c r="P230" s="345"/>
      <c r="V230" s="383"/>
    </row>
    <row r="231" spans="1:22" ht="15" customHeight="1">
      <c r="A231" s="8">
        <v>36125</v>
      </c>
      <c r="B231" s="9"/>
      <c r="C231" s="9"/>
      <c r="D231" s="10"/>
      <c r="E231" s="10"/>
      <c r="F231" s="10">
        <v>105800</v>
      </c>
      <c r="G231" s="10"/>
      <c r="H231" s="10"/>
      <c r="I231" s="10"/>
      <c r="J231" s="265"/>
      <c r="K231" s="23">
        <v>501.5</v>
      </c>
      <c r="L231" s="11">
        <v>494</v>
      </c>
      <c r="M231" s="270">
        <f t="shared" si="3"/>
        <v>-1.5</v>
      </c>
      <c r="N231" s="7"/>
      <c r="O231" s="277"/>
      <c r="P231" s="345"/>
      <c r="V231" s="383"/>
    </row>
    <row r="232" spans="1:22" ht="15" customHeight="1">
      <c r="A232" s="8">
        <v>36126</v>
      </c>
      <c r="B232" s="9"/>
      <c r="C232" s="9"/>
      <c r="D232" s="10"/>
      <c r="E232" s="10"/>
      <c r="F232" s="10">
        <v>105650</v>
      </c>
      <c r="G232" s="10"/>
      <c r="H232" s="10"/>
      <c r="I232" s="10"/>
      <c r="J232" s="265"/>
      <c r="K232" s="23">
        <v>501.5</v>
      </c>
      <c r="L232" s="11">
        <v>498</v>
      </c>
      <c r="M232" s="270">
        <f t="shared" si="3"/>
        <v>0</v>
      </c>
      <c r="N232" s="7"/>
      <c r="O232" s="277"/>
      <c r="P232" s="345"/>
      <c r="V232" s="383"/>
    </row>
    <row r="233" spans="1:22" ht="15" customHeight="1">
      <c r="A233" s="8">
        <v>36129</v>
      </c>
      <c r="B233" s="9"/>
      <c r="C233" s="9"/>
      <c r="D233" s="10"/>
      <c r="E233" s="10"/>
      <c r="F233" s="10">
        <v>105525</v>
      </c>
      <c r="G233" s="10"/>
      <c r="H233" s="10"/>
      <c r="I233" s="10"/>
      <c r="J233" s="265"/>
      <c r="K233" s="23">
        <v>502</v>
      </c>
      <c r="L233" s="11">
        <v>495.5</v>
      </c>
      <c r="M233" s="270">
        <f t="shared" si="3"/>
        <v>0.5</v>
      </c>
      <c r="N233" s="7"/>
      <c r="O233" s="277"/>
      <c r="P233" s="345"/>
      <c r="V233" s="383"/>
    </row>
    <row r="234" spans="1:22" ht="15" customHeight="1">
      <c r="A234" s="8">
        <v>36130</v>
      </c>
      <c r="B234" s="9"/>
      <c r="C234" s="9"/>
      <c r="D234" s="10"/>
      <c r="E234" s="10"/>
      <c r="F234" s="10">
        <v>105375</v>
      </c>
      <c r="G234" s="10"/>
      <c r="H234" s="10"/>
      <c r="I234" s="10"/>
      <c r="J234" s="265"/>
      <c r="K234" s="24">
        <v>497</v>
      </c>
      <c r="L234" s="6">
        <v>492</v>
      </c>
      <c r="M234" s="270">
        <f t="shared" si="3"/>
        <v>-5</v>
      </c>
      <c r="N234" s="7"/>
      <c r="O234" s="277"/>
      <c r="P234" s="345"/>
      <c r="V234" s="383"/>
    </row>
    <row r="235" spans="1:22" ht="15" customHeight="1">
      <c r="A235" s="8">
        <v>36131</v>
      </c>
      <c r="B235" s="9"/>
      <c r="C235" s="9"/>
      <c r="D235" s="10"/>
      <c r="E235" s="10"/>
      <c r="F235" s="10">
        <v>105750</v>
      </c>
      <c r="G235" s="10"/>
      <c r="H235" s="10"/>
      <c r="I235" s="10"/>
      <c r="J235" s="265"/>
      <c r="K235" s="24">
        <v>490</v>
      </c>
      <c r="L235" s="6">
        <v>485</v>
      </c>
      <c r="M235" s="270">
        <f t="shared" si="3"/>
        <v>-7</v>
      </c>
      <c r="N235" s="7"/>
      <c r="O235" s="277"/>
      <c r="P235" s="345"/>
      <c r="V235" s="383"/>
    </row>
    <row r="236" spans="1:22" ht="15" customHeight="1">
      <c r="A236" s="8">
        <v>36132</v>
      </c>
      <c r="B236" s="9"/>
      <c r="C236" s="9"/>
      <c r="D236" s="10"/>
      <c r="E236" s="10"/>
      <c r="F236" s="10">
        <v>105750</v>
      </c>
      <c r="G236" s="10"/>
      <c r="H236" s="10"/>
      <c r="I236" s="10"/>
      <c r="J236" s="265"/>
      <c r="K236" s="24">
        <v>488</v>
      </c>
      <c r="L236" s="6">
        <v>481</v>
      </c>
      <c r="M236" s="270">
        <f t="shared" si="3"/>
        <v>-2</v>
      </c>
      <c r="N236" s="7"/>
      <c r="O236" s="277"/>
      <c r="P236" s="345"/>
      <c r="V236" s="383"/>
    </row>
    <row r="237" spans="1:22" ht="15" customHeight="1">
      <c r="A237" s="8">
        <v>36133</v>
      </c>
      <c r="B237" s="9"/>
      <c r="C237" s="9"/>
      <c r="D237" s="10"/>
      <c r="E237" s="10"/>
      <c r="F237" s="10">
        <v>105775</v>
      </c>
      <c r="G237" s="10"/>
      <c r="H237" s="10"/>
      <c r="I237" s="10"/>
      <c r="J237" s="265"/>
      <c r="K237" s="24">
        <v>506</v>
      </c>
      <c r="L237" s="6">
        <v>487</v>
      </c>
      <c r="M237" s="270">
        <f t="shared" si="3"/>
        <v>18</v>
      </c>
      <c r="N237" s="7"/>
      <c r="O237" s="277"/>
      <c r="P237" s="345"/>
      <c r="V237" s="383"/>
    </row>
    <row r="238" spans="1:22" ht="15" customHeight="1">
      <c r="A238" s="8">
        <v>36136</v>
      </c>
      <c r="B238" s="9"/>
      <c r="C238" s="9"/>
      <c r="D238" s="10"/>
      <c r="E238" s="10"/>
      <c r="F238" s="10">
        <v>105775</v>
      </c>
      <c r="G238" s="10"/>
      <c r="H238" s="10"/>
      <c r="I238" s="10"/>
      <c r="J238" s="265"/>
      <c r="K238" s="24">
        <v>510</v>
      </c>
      <c r="L238" s="6">
        <v>487</v>
      </c>
      <c r="M238" s="270">
        <f t="shared" si="3"/>
        <v>4</v>
      </c>
      <c r="N238" s="7"/>
      <c r="O238" s="277"/>
      <c r="P238" s="345"/>
      <c r="V238" s="383"/>
    </row>
    <row r="239" spans="1:22" ht="15" customHeight="1">
      <c r="A239" s="8">
        <v>36137</v>
      </c>
      <c r="B239" s="9"/>
      <c r="C239" s="9"/>
      <c r="D239" s="10"/>
      <c r="E239" s="10"/>
      <c r="F239" s="10">
        <v>107100</v>
      </c>
      <c r="G239" s="10"/>
      <c r="H239" s="10"/>
      <c r="I239" s="10"/>
      <c r="J239" s="265"/>
      <c r="K239" s="24">
        <v>524</v>
      </c>
      <c r="L239" s="6">
        <v>494</v>
      </c>
      <c r="M239" s="270">
        <f t="shared" si="3"/>
        <v>14</v>
      </c>
      <c r="N239" s="7"/>
      <c r="O239" s="277"/>
      <c r="P239" s="345"/>
      <c r="V239" s="383"/>
    </row>
    <row r="240" spans="1:22" ht="15" customHeight="1">
      <c r="A240" s="8">
        <v>36138</v>
      </c>
      <c r="B240" s="9"/>
      <c r="C240" s="9"/>
      <c r="D240" s="10"/>
      <c r="E240" s="10"/>
      <c r="F240" s="10">
        <v>108575</v>
      </c>
      <c r="G240" s="10"/>
      <c r="H240" s="10"/>
      <c r="I240" s="10"/>
      <c r="J240" s="265"/>
      <c r="K240" s="24">
        <v>522</v>
      </c>
      <c r="L240" s="6">
        <v>494</v>
      </c>
      <c r="M240" s="270">
        <f t="shared" si="3"/>
        <v>-2</v>
      </c>
      <c r="N240" s="7"/>
      <c r="O240" s="277"/>
      <c r="P240" s="345"/>
      <c r="V240" s="383"/>
    </row>
    <row r="241" spans="1:22" ht="15" customHeight="1">
      <c r="A241" s="8">
        <v>36139</v>
      </c>
      <c r="B241" s="9"/>
      <c r="C241" s="9"/>
      <c r="D241" s="10"/>
      <c r="E241" s="10"/>
      <c r="F241" s="10">
        <v>108400</v>
      </c>
      <c r="G241" s="10"/>
      <c r="H241" s="10"/>
      <c r="I241" s="10"/>
      <c r="J241" s="265"/>
      <c r="K241" s="24">
        <v>517</v>
      </c>
      <c r="L241" s="6">
        <v>495</v>
      </c>
      <c r="M241" s="270">
        <f t="shared" si="3"/>
        <v>-5</v>
      </c>
      <c r="N241" s="7"/>
      <c r="O241" s="277"/>
      <c r="P241" s="345"/>
      <c r="V241" s="383"/>
    </row>
    <row r="242" spans="1:22" ht="15" customHeight="1">
      <c r="A242" s="8">
        <v>36140</v>
      </c>
      <c r="B242" s="9"/>
      <c r="C242" s="9"/>
      <c r="D242" s="10"/>
      <c r="E242" s="10"/>
      <c r="F242" s="10">
        <v>108350</v>
      </c>
      <c r="G242" s="10"/>
      <c r="H242" s="10"/>
      <c r="I242" s="10"/>
      <c r="J242" s="265"/>
      <c r="K242" s="24">
        <v>500.5</v>
      </c>
      <c r="L242" s="6">
        <v>485.5</v>
      </c>
      <c r="M242" s="270">
        <f t="shared" si="3"/>
        <v>-16.5</v>
      </c>
      <c r="N242" s="7"/>
      <c r="O242" s="277"/>
      <c r="P242" s="345"/>
      <c r="V242" s="383"/>
    </row>
    <row r="243" spans="1:22" ht="15" customHeight="1">
      <c r="A243" s="8">
        <v>36143</v>
      </c>
      <c r="B243" s="9"/>
      <c r="C243" s="9"/>
      <c r="D243" s="10"/>
      <c r="E243" s="10"/>
      <c r="F243" s="10">
        <v>108975</v>
      </c>
      <c r="G243" s="10"/>
      <c r="H243" s="10"/>
      <c r="I243" s="10"/>
      <c r="J243" s="265"/>
      <c r="K243" s="24">
        <v>496.5</v>
      </c>
      <c r="L243" s="6">
        <v>483.5</v>
      </c>
      <c r="M243" s="270">
        <f t="shared" si="3"/>
        <v>-4</v>
      </c>
      <c r="N243" s="7"/>
      <c r="O243" s="277"/>
      <c r="P243" s="345"/>
      <c r="V243" s="383"/>
    </row>
    <row r="244" spans="1:22" ht="15" customHeight="1">
      <c r="A244" s="8">
        <v>36144</v>
      </c>
      <c r="B244" s="9"/>
      <c r="C244" s="9"/>
      <c r="D244" s="10"/>
      <c r="E244" s="10"/>
      <c r="F244" s="10">
        <v>109200</v>
      </c>
      <c r="G244" s="10"/>
      <c r="H244" s="10"/>
      <c r="I244" s="10"/>
      <c r="J244" s="265"/>
      <c r="K244" s="24">
        <v>495</v>
      </c>
      <c r="L244" s="6">
        <v>481.5</v>
      </c>
      <c r="M244" s="270">
        <f t="shared" si="3"/>
        <v>-1.5</v>
      </c>
      <c r="N244" s="7"/>
      <c r="O244" s="277"/>
      <c r="P244" s="345"/>
      <c r="V244" s="383"/>
    </row>
    <row r="245" spans="1:22" ht="15" customHeight="1">
      <c r="A245" s="8">
        <v>36145</v>
      </c>
      <c r="B245" s="9"/>
      <c r="C245" s="9"/>
      <c r="D245" s="10"/>
      <c r="E245" s="10"/>
      <c r="F245" s="10">
        <v>108950</v>
      </c>
      <c r="G245" s="10"/>
      <c r="H245" s="10"/>
      <c r="I245" s="10"/>
      <c r="J245" s="265"/>
      <c r="K245" s="24">
        <v>501</v>
      </c>
      <c r="L245" s="6">
        <v>481</v>
      </c>
      <c r="M245" s="270">
        <f t="shared" si="3"/>
        <v>6</v>
      </c>
      <c r="N245" s="7"/>
      <c r="O245" s="277"/>
      <c r="P245" s="345"/>
      <c r="V245" s="383"/>
    </row>
    <row r="246" spans="1:22" ht="15" customHeight="1">
      <c r="A246" s="8">
        <v>36146</v>
      </c>
      <c r="B246" s="9"/>
      <c r="C246" s="9"/>
      <c r="D246" s="10"/>
      <c r="E246" s="10"/>
      <c r="F246" s="10">
        <v>110150</v>
      </c>
      <c r="G246" s="10"/>
      <c r="H246" s="10"/>
      <c r="I246" s="10"/>
      <c r="J246" s="265"/>
      <c r="K246" s="24">
        <v>500.5</v>
      </c>
      <c r="L246" s="6">
        <v>477</v>
      </c>
      <c r="M246" s="270">
        <f t="shared" si="3"/>
        <v>-0.5</v>
      </c>
      <c r="N246" s="7"/>
      <c r="O246" s="277"/>
      <c r="P246" s="345"/>
      <c r="V246" s="383"/>
    </row>
    <row r="247" spans="1:22" ht="15" customHeight="1">
      <c r="A247" s="8">
        <v>36147</v>
      </c>
      <c r="B247" s="9"/>
      <c r="C247" s="9"/>
      <c r="D247" s="10"/>
      <c r="E247" s="10"/>
      <c r="F247" s="10">
        <v>110150</v>
      </c>
      <c r="G247" s="10"/>
      <c r="H247" s="10"/>
      <c r="I247" s="10"/>
      <c r="J247" s="265"/>
      <c r="K247" s="24">
        <v>494</v>
      </c>
      <c r="L247" s="6">
        <v>474</v>
      </c>
      <c r="M247" s="270">
        <f t="shared" si="3"/>
        <v>-6.5</v>
      </c>
      <c r="N247" s="7"/>
      <c r="O247" s="277"/>
      <c r="P247" s="345"/>
      <c r="V247" s="383"/>
    </row>
    <row r="248" spans="1:22" ht="15" customHeight="1">
      <c r="A248" s="8">
        <v>36150</v>
      </c>
      <c r="B248" s="9"/>
      <c r="C248" s="9"/>
      <c r="D248" s="10"/>
      <c r="E248" s="10"/>
      <c r="F248" s="10">
        <v>110125</v>
      </c>
      <c r="G248" s="10"/>
      <c r="H248" s="10"/>
      <c r="I248" s="10"/>
      <c r="J248" s="265"/>
      <c r="K248" s="24">
        <v>486.5</v>
      </c>
      <c r="L248" s="6">
        <v>468</v>
      </c>
      <c r="M248" s="270">
        <f t="shared" si="3"/>
        <v>-7.5</v>
      </c>
      <c r="N248" s="7"/>
      <c r="O248" s="277"/>
      <c r="P248" s="345"/>
      <c r="V248" s="383"/>
    </row>
    <row r="249" spans="1:22" ht="15" customHeight="1">
      <c r="A249" s="8">
        <v>36151</v>
      </c>
      <c r="B249" s="9"/>
      <c r="C249" s="9"/>
      <c r="D249" s="10"/>
      <c r="E249" s="10"/>
      <c r="F249" s="10">
        <v>109575</v>
      </c>
      <c r="G249" s="10"/>
      <c r="H249" s="10"/>
      <c r="I249" s="10"/>
      <c r="J249" s="265"/>
      <c r="K249" s="24">
        <v>495</v>
      </c>
      <c r="L249" s="6">
        <v>474</v>
      </c>
      <c r="M249" s="270">
        <f t="shared" si="3"/>
        <v>8.5</v>
      </c>
      <c r="N249" s="7"/>
      <c r="O249" s="277"/>
      <c r="P249" s="345"/>
      <c r="V249" s="383"/>
    </row>
    <row r="250" spans="1:22" ht="15" customHeight="1">
      <c r="A250" s="8">
        <v>36152</v>
      </c>
      <c r="B250" s="9"/>
      <c r="C250" s="9"/>
      <c r="D250" s="10"/>
      <c r="E250" s="10"/>
      <c r="F250" s="10">
        <v>109000</v>
      </c>
      <c r="G250" s="10"/>
      <c r="H250" s="10"/>
      <c r="I250" s="10"/>
      <c r="J250" s="265"/>
      <c r="K250" s="24">
        <v>496.5</v>
      </c>
      <c r="L250" s="6">
        <v>471.5</v>
      </c>
      <c r="M250" s="270">
        <f t="shared" si="3"/>
        <v>1.5</v>
      </c>
      <c r="N250" s="7"/>
      <c r="O250" s="277"/>
      <c r="P250" s="345"/>
      <c r="V250" s="383"/>
    </row>
    <row r="251" spans="1:22" ht="15" customHeight="1">
      <c r="A251" s="8">
        <v>36153</v>
      </c>
      <c r="B251" s="9"/>
      <c r="C251" s="9"/>
      <c r="D251" s="10"/>
      <c r="E251" s="10"/>
      <c r="F251" s="10">
        <v>108975</v>
      </c>
      <c r="G251" s="10"/>
      <c r="H251" s="10"/>
      <c r="I251" s="10"/>
      <c r="J251" s="265"/>
      <c r="K251" s="24">
        <v>501</v>
      </c>
      <c r="L251" s="6">
        <v>470</v>
      </c>
      <c r="M251" s="270">
        <f t="shared" si="3"/>
        <v>4.5</v>
      </c>
      <c r="N251" s="7"/>
      <c r="O251" s="277"/>
      <c r="P251" s="345"/>
      <c r="V251" s="383"/>
    </row>
    <row r="252" spans="1:22" ht="15" customHeight="1">
      <c r="A252" s="8">
        <v>36158</v>
      </c>
      <c r="B252" s="9"/>
      <c r="C252" s="9"/>
      <c r="D252" s="10"/>
      <c r="E252" s="10"/>
      <c r="F252" s="10">
        <v>108950</v>
      </c>
      <c r="G252" s="10"/>
      <c r="H252" s="10"/>
      <c r="I252" s="10"/>
      <c r="J252" s="265"/>
      <c r="K252" s="24">
        <v>506</v>
      </c>
      <c r="L252" s="6">
        <v>473</v>
      </c>
      <c r="M252" s="270">
        <f t="shared" si="3"/>
        <v>5</v>
      </c>
      <c r="N252" s="7"/>
      <c r="O252" s="277"/>
      <c r="P252" s="345"/>
      <c r="V252" s="383"/>
    </row>
    <row r="253" spans="1:22" ht="15" customHeight="1">
      <c r="A253" s="8">
        <v>36159</v>
      </c>
      <c r="B253" s="9"/>
      <c r="C253" s="9"/>
      <c r="D253" s="10"/>
      <c r="E253" s="10"/>
      <c r="F253" s="10">
        <v>108425</v>
      </c>
      <c r="G253" s="10"/>
      <c r="H253" s="10"/>
      <c r="I253" s="10"/>
      <c r="J253" s="265"/>
      <c r="K253" s="24">
        <v>503</v>
      </c>
      <c r="L253" s="6">
        <v>473.5</v>
      </c>
      <c r="M253" s="270">
        <f t="shared" si="3"/>
        <v>-3</v>
      </c>
      <c r="N253" s="7"/>
      <c r="O253" s="277"/>
      <c r="P253" s="345"/>
      <c r="V253" s="383"/>
    </row>
    <row r="254" spans="1:22" ht="15" customHeight="1">
      <c r="A254" s="8">
        <v>36160</v>
      </c>
      <c r="B254" s="9"/>
      <c r="C254" s="9"/>
      <c r="D254" s="10"/>
      <c r="E254" s="10"/>
      <c r="F254" s="10">
        <v>108350</v>
      </c>
      <c r="G254" s="10"/>
      <c r="H254" s="10"/>
      <c r="I254" s="10"/>
      <c r="J254" s="265"/>
      <c r="K254" s="24">
        <v>497</v>
      </c>
      <c r="L254" s="6">
        <v>474</v>
      </c>
      <c r="M254" s="270">
        <f t="shared" si="3"/>
        <v>-6</v>
      </c>
      <c r="N254" s="7"/>
      <c r="O254" s="277"/>
      <c r="P254" s="345"/>
      <c r="V254" s="383"/>
    </row>
    <row r="255" spans="1:22" ht="15" customHeight="1">
      <c r="A255" s="8">
        <v>36164</v>
      </c>
      <c r="B255" s="9"/>
      <c r="C255" s="9"/>
      <c r="D255" s="10"/>
      <c r="E255" s="10"/>
      <c r="F255" s="10">
        <v>108350</v>
      </c>
      <c r="G255" s="10"/>
      <c r="H255" s="10"/>
      <c r="I255" s="10"/>
      <c r="J255" s="265"/>
      <c r="K255" s="23">
        <v>495</v>
      </c>
      <c r="L255" s="11">
        <v>472</v>
      </c>
      <c r="M255" s="270">
        <f t="shared" si="3"/>
        <v>-2</v>
      </c>
      <c r="N255" s="7"/>
      <c r="O255" s="277"/>
      <c r="P255" s="345"/>
      <c r="V255" s="383"/>
    </row>
    <row r="256" spans="1:22" ht="15" customHeight="1">
      <c r="A256" s="8">
        <v>36165</v>
      </c>
      <c r="B256" s="9"/>
      <c r="C256" s="9"/>
      <c r="D256" s="10"/>
      <c r="E256" s="10"/>
      <c r="F256" s="10">
        <v>107575</v>
      </c>
      <c r="G256" s="10"/>
      <c r="H256" s="10"/>
      <c r="I256" s="10"/>
      <c r="J256" s="265"/>
      <c r="K256" s="23">
        <v>481</v>
      </c>
      <c r="L256" s="11">
        <v>468</v>
      </c>
      <c r="M256" s="270">
        <f t="shared" si="3"/>
        <v>-14</v>
      </c>
      <c r="N256" s="7"/>
      <c r="O256" s="277"/>
      <c r="P256" s="345"/>
      <c r="V256" s="383"/>
    </row>
    <row r="257" spans="1:22" ht="15" customHeight="1">
      <c r="A257" s="8">
        <v>36166</v>
      </c>
      <c r="B257" s="9"/>
      <c r="C257" s="9"/>
      <c r="D257" s="10"/>
      <c r="E257" s="10"/>
      <c r="F257" s="10">
        <v>109100</v>
      </c>
      <c r="G257" s="10"/>
      <c r="H257" s="10"/>
      <c r="I257" s="10"/>
      <c r="J257" s="265"/>
      <c r="K257" s="23">
        <v>476</v>
      </c>
      <c r="L257" s="11">
        <v>463</v>
      </c>
      <c r="M257" s="270">
        <f t="shared" si="3"/>
        <v>-5</v>
      </c>
      <c r="N257" s="7"/>
      <c r="O257" s="277"/>
      <c r="P257" s="345"/>
      <c r="V257" s="383"/>
    </row>
    <row r="258" spans="1:22" ht="15" customHeight="1">
      <c r="A258" s="8">
        <v>36167</v>
      </c>
      <c r="B258" s="9"/>
      <c r="C258" s="9"/>
      <c r="D258" s="10"/>
      <c r="E258" s="10"/>
      <c r="F258" s="10">
        <v>109075</v>
      </c>
      <c r="G258" s="10"/>
      <c r="H258" s="10"/>
      <c r="I258" s="10"/>
      <c r="J258" s="265"/>
      <c r="K258" s="23">
        <v>492</v>
      </c>
      <c r="L258" s="11">
        <v>474</v>
      </c>
      <c r="M258" s="270">
        <f t="shared" si="3"/>
        <v>16</v>
      </c>
      <c r="N258" s="7"/>
      <c r="O258" s="277"/>
      <c r="P258" s="345"/>
      <c r="V258" s="383"/>
    </row>
    <row r="259" spans="1:22" ht="15" customHeight="1">
      <c r="A259" s="8">
        <v>36168</v>
      </c>
      <c r="B259" s="9"/>
      <c r="C259" s="9"/>
      <c r="D259" s="10"/>
      <c r="E259" s="10"/>
      <c r="F259" s="10">
        <v>109075</v>
      </c>
      <c r="G259" s="10"/>
      <c r="H259" s="10"/>
      <c r="I259" s="10"/>
      <c r="J259" s="265"/>
      <c r="K259" s="23">
        <v>502</v>
      </c>
      <c r="L259" s="11">
        <v>487</v>
      </c>
      <c r="M259" s="270">
        <f t="shared" si="3"/>
        <v>10</v>
      </c>
      <c r="N259" s="7"/>
      <c r="O259" s="277"/>
      <c r="P259" s="345"/>
      <c r="V259" s="383"/>
    </row>
    <row r="260" spans="1:22" ht="15" customHeight="1">
      <c r="A260" s="8">
        <v>36171</v>
      </c>
      <c r="B260" s="9"/>
      <c r="C260" s="9"/>
      <c r="D260" s="10"/>
      <c r="E260" s="10"/>
      <c r="F260" s="10">
        <v>109075</v>
      </c>
      <c r="G260" s="10"/>
      <c r="H260" s="10"/>
      <c r="I260" s="10"/>
      <c r="J260" s="265"/>
      <c r="K260" s="23">
        <v>514</v>
      </c>
      <c r="L260" s="11">
        <v>505.5</v>
      </c>
      <c r="M260" s="270">
        <f t="shared" si="3"/>
        <v>12</v>
      </c>
      <c r="N260" s="7"/>
      <c r="O260" s="277"/>
      <c r="P260" s="345"/>
      <c r="V260" s="383"/>
    </row>
    <row r="261" spans="1:22" ht="15" customHeight="1">
      <c r="A261" s="8">
        <v>36172</v>
      </c>
      <c r="B261" s="9"/>
      <c r="C261" s="9"/>
      <c r="D261" s="10"/>
      <c r="E261" s="10"/>
      <c r="F261" s="10">
        <v>108900</v>
      </c>
      <c r="G261" s="10"/>
      <c r="H261" s="10"/>
      <c r="I261" s="10"/>
      <c r="J261" s="265"/>
      <c r="K261" s="23">
        <v>504</v>
      </c>
      <c r="L261" s="11">
        <v>499.5</v>
      </c>
      <c r="M261" s="270">
        <f t="shared" ref="M261:M324" si="4">+K261-K260</f>
        <v>-10</v>
      </c>
      <c r="N261" s="7"/>
      <c r="O261" s="277"/>
      <c r="P261" s="345"/>
      <c r="V261" s="383"/>
    </row>
    <row r="262" spans="1:22" ht="15" customHeight="1">
      <c r="A262" s="8">
        <v>36173</v>
      </c>
      <c r="B262" s="9"/>
      <c r="C262" s="9"/>
      <c r="D262" s="10"/>
      <c r="E262" s="10"/>
      <c r="F262" s="10">
        <v>107650</v>
      </c>
      <c r="G262" s="10"/>
      <c r="H262" s="10"/>
      <c r="I262" s="10"/>
      <c r="J262" s="265"/>
      <c r="K262" s="23">
        <v>487.5</v>
      </c>
      <c r="L262" s="11">
        <v>490</v>
      </c>
      <c r="M262" s="270">
        <f t="shared" si="4"/>
        <v>-16.5</v>
      </c>
      <c r="N262" s="7"/>
      <c r="O262" s="277"/>
      <c r="P262" s="345"/>
      <c r="V262" s="383"/>
    </row>
    <row r="263" spans="1:22" ht="15" customHeight="1">
      <c r="A263" s="8">
        <v>36174</v>
      </c>
      <c r="B263" s="9"/>
      <c r="C263" s="9"/>
      <c r="D263" s="10"/>
      <c r="E263" s="10"/>
      <c r="F263" s="10">
        <v>106975</v>
      </c>
      <c r="G263" s="10"/>
      <c r="H263" s="10"/>
      <c r="I263" s="10"/>
      <c r="J263" s="265"/>
      <c r="K263" s="23">
        <v>499</v>
      </c>
      <c r="L263" s="11">
        <v>502</v>
      </c>
      <c r="M263" s="270">
        <f t="shared" si="4"/>
        <v>11.5</v>
      </c>
      <c r="N263" s="7"/>
      <c r="O263" s="277"/>
      <c r="P263" s="345"/>
      <c r="V263" s="383"/>
    </row>
    <row r="264" spans="1:22" ht="15" customHeight="1">
      <c r="A264" s="8">
        <v>36175</v>
      </c>
      <c r="B264" s="9"/>
      <c r="C264" s="9"/>
      <c r="D264" s="10"/>
      <c r="E264" s="10"/>
      <c r="F264" s="10">
        <v>106625</v>
      </c>
      <c r="G264" s="10"/>
      <c r="H264" s="10"/>
      <c r="I264" s="10"/>
      <c r="J264" s="265"/>
      <c r="K264" s="23">
        <v>491</v>
      </c>
      <c r="L264" s="11">
        <v>496</v>
      </c>
      <c r="M264" s="270">
        <f t="shared" si="4"/>
        <v>-8</v>
      </c>
      <c r="N264" s="7"/>
      <c r="O264" s="277"/>
      <c r="P264" s="345"/>
      <c r="V264" s="383"/>
    </row>
    <row r="265" spans="1:22" ht="15" customHeight="1">
      <c r="A265" s="8">
        <v>36178</v>
      </c>
      <c r="B265" s="9"/>
      <c r="C265" s="9"/>
      <c r="D265" s="10"/>
      <c r="E265" s="10"/>
      <c r="F265" s="10">
        <v>106475</v>
      </c>
      <c r="G265" s="10"/>
      <c r="H265" s="10"/>
      <c r="I265" s="10"/>
      <c r="J265" s="265"/>
      <c r="K265" s="23">
        <v>486.5</v>
      </c>
      <c r="L265" s="11">
        <v>492.5</v>
      </c>
      <c r="M265" s="270">
        <f t="shared" si="4"/>
        <v>-4.5</v>
      </c>
      <c r="N265" s="7"/>
      <c r="O265" s="277"/>
      <c r="P265" s="345"/>
      <c r="V265" s="383"/>
    </row>
    <row r="266" spans="1:22" ht="15" customHeight="1">
      <c r="A266" s="8">
        <v>36179</v>
      </c>
      <c r="B266" s="9"/>
      <c r="C266" s="9"/>
      <c r="D266" s="10"/>
      <c r="E266" s="10"/>
      <c r="F266" s="10">
        <v>106400</v>
      </c>
      <c r="G266" s="10"/>
      <c r="H266" s="10"/>
      <c r="I266" s="10"/>
      <c r="J266" s="265"/>
      <c r="K266" s="23">
        <v>485</v>
      </c>
      <c r="L266" s="11">
        <v>491.5</v>
      </c>
      <c r="M266" s="270">
        <f t="shared" si="4"/>
        <v>-1.5</v>
      </c>
      <c r="N266" s="7"/>
      <c r="O266" s="277"/>
      <c r="P266" s="345"/>
      <c r="V266" s="383"/>
    </row>
    <row r="267" spans="1:22" ht="15" customHeight="1">
      <c r="A267" s="8">
        <v>36180</v>
      </c>
      <c r="B267" s="9"/>
      <c r="C267" s="9"/>
      <c r="D267" s="10"/>
      <c r="E267" s="10"/>
      <c r="F267" s="10">
        <v>106225</v>
      </c>
      <c r="G267" s="10"/>
      <c r="H267" s="10"/>
      <c r="I267" s="10"/>
      <c r="J267" s="265"/>
      <c r="K267" s="23">
        <v>484.5</v>
      </c>
      <c r="L267" s="11">
        <v>490</v>
      </c>
      <c r="M267" s="270">
        <f t="shared" si="4"/>
        <v>-0.5</v>
      </c>
      <c r="N267" s="7"/>
      <c r="O267" s="277"/>
      <c r="P267" s="345"/>
      <c r="V267" s="383"/>
    </row>
    <row r="268" spans="1:22" ht="15" customHeight="1">
      <c r="A268" s="8">
        <v>36181</v>
      </c>
      <c r="B268" s="9"/>
      <c r="C268" s="9"/>
      <c r="D268" s="10"/>
      <c r="E268" s="10"/>
      <c r="F268" s="10">
        <v>106125</v>
      </c>
      <c r="G268" s="10"/>
      <c r="H268" s="10"/>
      <c r="I268" s="10"/>
      <c r="J268" s="265"/>
      <c r="K268" s="23">
        <v>499</v>
      </c>
      <c r="L268" s="11">
        <v>501</v>
      </c>
      <c r="M268" s="270">
        <f t="shared" si="4"/>
        <v>14.5</v>
      </c>
      <c r="N268" s="7"/>
      <c r="O268" s="277"/>
      <c r="P268" s="345"/>
      <c r="V268" s="383"/>
    </row>
    <row r="269" spans="1:22" ht="15" customHeight="1">
      <c r="A269" s="8">
        <v>36182</v>
      </c>
      <c r="B269" s="9"/>
      <c r="C269" s="9"/>
      <c r="D269" s="10"/>
      <c r="E269" s="10"/>
      <c r="F269" s="10">
        <v>105950</v>
      </c>
      <c r="G269" s="10"/>
      <c r="H269" s="10"/>
      <c r="I269" s="10"/>
      <c r="J269" s="265"/>
      <c r="K269" s="23">
        <v>494</v>
      </c>
      <c r="L269" s="11">
        <v>492.5</v>
      </c>
      <c r="M269" s="270">
        <f t="shared" si="4"/>
        <v>-5</v>
      </c>
      <c r="N269" s="7"/>
      <c r="O269" s="277"/>
      <c r="P269" s="345"/>
      <c r="V269" s="383"/>
    </row>
    <row r="270" spans="1:22" ht="15" customHeight="1">
      <c r="A270" s="8">
        <v>36185</v>
      </c>
      <c r="B270" s="9"/>
      <c r="C270" s="9"/>
      <c r="D270" s="10"/>
      <c r="E270" s="10"/>
      <c r="F270" s="10">
        <v>105950</v>
      </c>
      <c r="G270" s="10"/>
      <c r="H270" s="10"/>
      <c r="I270" s="10"/>
      <c r="J270" s="265"/>
      <c r="K270" s="23">
        <v>491.5</v>
      </c>
      <c r="L270" s="11">
        <v>492</v>
      </c>
      <c r="M270" s="270">
        <f t="shared" si="4"/>
        <v>-2.5</v>
      </c>
      <c r="N270" s="7"/>
      <c r="O270" s="277"/>
      <c r="P270" s="345"/>
      <c r="V270" s="383"/>
    </row>
    <row r="271" spans="1:22" ht="15" customHeight="1">
      <c r="A271" s="8">
        <v>36186</v>
      </c>
      <c r="B271" s="9"/>
      <c r="C271" s="9"/>
      <c r="D271" s="10"/>
      <c r="E271" s="10"/>
      <c r="F271" s="10">
        <v>105900</v>
      </c>
      <c r="G271" s="10"/>
      <c r="H271" s="10"/>
      <c r="I271" s="10"/>
      <c r="J271" s="265"/>
      <c r="K271" s="23">
        <v>494.5</v>
      </c>
      <c r="L271" s="11">
        <v>496.5</v>
      </c>
      <c r="M271" s="270">
        <f t="shared" si="4"/>
        <v>3</v>
      </c>
      <c r="N271" s="7"/>
      <c r="O271" s="277"/>
      <c r="P271" s="345"/>
      <c r="V271" s="383"/>
    </row>
    <row r="272" spans="1:22" ht="15" customHeight="1">
      <c r="A272" s="8">
        <v>36187</v>
      </c>
      <c r="B272" s="9"/>
      <c r="C272" s="9"/>
      <c r="D272" s="10"/>
      <c r="E272" s="10"/>
      <c r="F272" s="10">
        <v>105975</v>
      </c>
      <c r="G272" s="10"/>
      <c r="H272" s="10"/>
      <c r="I272" s="10"/>
      <c r="J272" s="265"/>
      <c r="K272" s="23">
        <v>488</v>
      </c>
      <c r="L272" s="11">
        <v>488</v>
      </c>
      <c r="M272" s="270">
        <f t="shared" si="4"/>
        <v>-6.5</v>
      </c>
      <c r="N272" s="7"/>
      <c r="O272" s="277"/>
      <c r="P272" s="345"/>
      <c r="V272" s="383"/>
    </row>
    <row r="273" spans="1:22" ht="15" customHeight="1">
      <c r="A273" s="8">
        <v>36188</v>
      </c>
      <c r="B273" s="9"/>
      <c r="C273" s="9"/>
      <c r="D273" s="10"/>
      <c r="E273" s="10"/>
      <c r="F273" s="10">
        <v>105750</v>
      </c>
      <c r="G273" s="10"/>
      <c r="H273" s="10"/>
      <c r="I273" s="10"/>
      <c r="J273" s="265"/>
      <c r="K273" s="23">
        <v>493</v>
      </c>
      <c r="L273" s="11">
        <v>491</v>
      </c>
      <c r="M273" s="270">
        <f t="shared" si="4"/>
        <v>5</v>
      </c>
      <c r="N273" s="7"/>
      <c r="O273" s="277"/>
      <c r="P273" s="345"/>
      <c r="V273" s="383"/>
    </row>
    <row r="274" spans="1:22" ht="15" customHeight="1">
      <c r="A274" s="8">
        <v>36189</v>
      </c>
      <c r="B274" s="9"/>
      <c r="C274" s="9"/>
      <c r="D274" s="10"/>
      <c r="E274" s="10"/>
      <c r="F274" s="10">
        <v>105525</v>
      </c>
      <c r="G274" s="10"/>
      <c r="H274" s="10"/>
      <c r="I274" s="10"/>
      <c r="J274" s="265"/>
      <c r="K274" s="23">
        <v>488.5</v>
      </c>
      <c r="L274" s="11">
        <v>488</v>
      </c>
      <c r="M274" s="270">
        <f t="shared" si="4"/>
        <v>-4.5</v>
      </c>
      <c r="N274" s="7"/>
      <c r="O274" s="277"/>
      <c r="P274" s="345"/>
      <c r="V274" s="383"/>
    </row>
    <row r="275" spans="1:22" ht="15" customHeight="1">
      <c r="A275" s="8">
        <v>36192</v>
      </c>
      <c r="B275" s="9"/>
      <c r="C275" s="9"/>
      <c r="D275" s="10"/>
      <c r="E275" s="10"/>
      <c r="F275" s="10">
        <v>105325</v>
      </c>
      <c r="G275" s="10"/>
      <c r="H275" s="10"/>
      <c r="I275" s="10"/>
      <c r="J275" s="265"/>
      <c r="K275" s="23">
        <v>485</v>
      </c>
      <c r="L275" s="11">
        <v>489.5</v>
      </c>
      <c r="M275" s="270">
        <f t="shared" si="4"/>
        <v>-3.5</v>
      </c>
      <c r="N275" s="7"/>
      <c r="O275" s="277"/>
      <c r="P275" s="345"/>
      <c r="V275" s="383"/>
    </row>
    <row r="276" spans="1:22" ht="15" customHeight="1">
      <c r="A276" s="8">
        <v>36193</v>
      </c>
      <c r="B276" s="9"/>
      <c r="C276" s="9"/>
      <c r="D276" s="10"/>
      <c r="E276" s="10"/>
      <c r="F276" s="10">
        <v>105350</v>
      </c>
      <c r="G276" s="10"/>
      <c r="H276" s="10"/>
      <c r="I276" s="10"/>
      <c r="J276" s="265"/>
      <c r="K276" s="23">
        <v>495.5</v>
      </c>
      <c r="L276" s="11">
        <v>499</v>
      </c>
      <c r="M276" s="270">
        <f t="shared" si="4"/>
        <v>10.5</v>
      </c>
      <c r="N276" s="7"/>
      <c r="O276" s="277"/>
      <c r="P276" s="345"/>
      <c r="V276" s="383"/>
    </row>
    <row r="277" spans="1:22" ht="15" customHeight="1">
      <c r="A277" s="8">
        <v>36194</v>
      </c>
      <c r="B277" s="9"/>
      <c r="C277" s="9"/>
      <c r="D277" s="10"/>
      <c r="E277" s="10"/>
      <c r="F277" s="10">
        <v>105350</v>
      </c>
      <c r="G277" s="10"/>
      <c r="H277" s="10"/>
      <c r="I277" s="10"/>
      <c r="J277" s="265"/>
      <c r="K277" s="23">
        <v>494</v>
      </c>
      <c r="L277" s="11">
        <v>497.5</v>
      </c>
      <c r="M277" s="270">
        <f t="shared" si="4"/>
        <v>-1.5</v>
      </c>
      <c r="N277" s="7"/>
      <c r="O277" s="277"/>
      <c r="P277" s="345"/>
      <c r="V277" s="383"/>
    </row>
    <row r="278" spans="1:22" ht="15" customHeight="1">
      <c r="A278" s="8">
        <v>36195</v>
      </c>
      <c r="B278" s="9"/>
      <c r="C278" s="9"/>
      <c r="D278" s="10"/>
      <c r="E278" s="10"/>
      <c r="F278" s="10">
        <v>105050</v>
      </c>
      <c r="G278" s="10"/>
      <c r="H278" s="10"/>
      <c r="I278" s="10"/>
      <c r="J278" s="265"/>
      <c r="K278" s="23">
        <v>499.5</v>
      </c>
      <c r="L278" s="11">
        <v>503</v>
      </c>
      <c r="M278" s="270">
        <f t="shared" si="4"/>
        <v>5.5</v>
      </c>
      <c r="N278" s="7"/>
      <c r="O278" s="277"/>
      <c r="P278" s="345"/>
      <c r="V278" s="383"/>
    </row>
    <row r="279" spans="1:22" ht="15" customHeight="1">
      <c r="A279" s="8">
        <v>36196</v>
      </c>
      <c r="B279" s="9"/>
      <c r="C279" s="9"/>
      <c r="D279" s="10"/>
      <c r="E279" s="10"/>
      <c r="F279" s="10">
        <v>104750</v>
      </c>
      <c r="G279" s="10"/>
      <c r="H279" s="10"/>
      <c r="I279" s="10"/>
      <c r="J279" s="265"/>
      <c r="K279" s="23">
        <v>512</v>
      </c>
      <c r="L279" s="11">
        <v>502.5</v>
      </c>
      <c r="M279" s="270">
        <f t="shared" si="4"/>
        <v>12.5</v>
      </c>
      <c r="N279" s="7"/>
      <c r="O279" s="277"/>
      <c r="P279" s="345"/>
      <c r="V279" s="383"/>
    </row>
    <row r="280" spans="1:22" ht="15" customHeight="1">
      <c r="A280" s="8">
        <v>36199</v>
      </c>
      <c r="B280" s="9"/>
      <c r="C280" s="9"/>
      <c r="D280" s="10"/>
      <c r="E280" s="10"/>
      <c r="F280" s="10">
        <v>105025</v>
      </c>
      <c r="G280" s="10"/>
      <c r="H280" s="10"/>
      <c r="I280" s="10"/>
      <c r="J280" s="265"/>
      <c r="K280" s="23">
        <v>514</v>
      </c>
      <c r="L280" s="11">
        <v>506</v>
      </c>
      <c r="M280" s="270">
        <f t="shared" si="4"/>
        <v>2</v>
      </c>
      <c r="N280" s="7"/>
      <c r="O280" s="277"/>
      <c r="P280" s="345"/>
      <c r="V280" s="383"/>
    </row>
    <row r="281" spans="1:22" ht="15" customHeight="1">
      <c r="A281" s="8">
        <v>36200</v>
      </c>
      <c r="B281" s="9"/>
      <c r="C281" s="9"/>
      <c r="D281" s="10"/>
      <c r="E281" s="10"/>
      <c r="F281" s="10">
        <v>107000</v>
      </c>
      <c r="G281" s="10"/>
      <c r="H281" s="10"/>
      <c r="I281" s="10"/>
      <c r="J281" s="265"/>
      <c r="K281" s="23">
        <v>515</v>
      </c>
      <c r="L281" s="11">
        <v>519</v>
      </c>
      <c r="M281" s="270">
        <f t="shared" si="4"/>
        <v>1</v>
      </c>
      <c r="N281" s="7"/>
      <c r="O281" s="277"/>
      <c r="P281" s="345"/>
      <c r="V281" s="383"/>
    </row>
    <row r="282" spans="1:22" ht="15" customHeight="1">
      <c r="A282" s="8">
        <v>36201</v>
      </c>
      <c r="B282" s="9"/>
      <c r="C282" s="9"/>
      <c r="D282" s="10"/>
      <c r="E282" s="10"/>
      <c r="F282" s="10">
        <v>107725</v>
      </c>
      <c r="G282" s="10"/>
      <c r="H282" s="10"/>
      <c r="I282" s="10"/>
      <c r="J282" s="265"/>
      <c r="K282" s="23">
        <v>508.5</v>
      </c>
      <c r="L282" s="11">
        <v>512</v>
      </c>
      <c r="M282" s="270">
        <f t="shared" si="4"/>
        <v>-6.5</v>
      </c>
      <c r="N282" s="7"/>
      <c r="O282" s="277"/>
      <c r="P282" s="345"/>
      <c r="V282" s="383"/>
    </row>
    <row r="283" spans="1:22" ht="15" customHeight="1">
      <c r="A283" s="8">
        <v>36202</v>
      </c>
      <c r="B283" s="9"/>
      <c r="C283" s="9"/>
      <c r="D283" s="10"/>
      <c r="E283" s="10"/>
      <c r="F283" s="10">
        <v>107475</v>
      </c>
      <c r="G283" s="10"/>
      <c r="H283" s="10"/>
      <c r="I283" s="10"/>
      <c r="J283" s="265"/>
      <c r="K283" s="23">
        <v>516</v>
      </c>
      <c r="L283" s="11">
        <v>518</v>
      </c>
      <c r="M283" s="270">
        <f t="shared" si="4"/>
        <v>7.5</v>
      </c>
      <c r="N283" s="7"/>
      <c r="O283" s="277"/>
      <c r="P283" s="345"/>
      <c r="V283" s="383"/>
    </row>
    <row r="284" spans="1:22" ht="15" customHeight="1">
      <c r="A284" s="8">
        <v>36203</v>
      </c>
      <c r="B284" s="9"/>
      <c r="C284" s="9"/>
      <c r="D284" s="10"/>
      <c r="E284" s="10"/>
      <c r="F284" s="10">
        <v>107300</v>
      </c>
      <c r="G284" s="10"/>
      <c r="H284" s="10"/>
      <c r="I284" s="10"/>
      <c r="J284" s="265"/>
      <c r="K284" s="23">
        <v>530</v>
      </c>
      <c r="L284" s="11">
        <v>527</v>
      </c>
      <c r="M284" s="270">
        <f t="shared" si="4"/>
        <v>14</v>
      </c>
      <c r="N284" s="7"/>
      <c r="O284" s="277"/>
      <c r="P284" s="345"/>
      <c r="V284" s="383"/>
    </row>
    <row r="285" spans="1:22" ht="15" customHeight="1">
      <c r="A285" s="8">
        <v>36206</v>
      </c>
      <c r="B285" s="9"/>
      <c r="C285" s="9"/>
      <c r="D285" s="10"/>
      <c r="E285" s="10"/>
      <c r="F285" s="10">
        <v>107425</v>
      </c>
      <c r="G285" s="10"/>
      <c r="H285" s="10"/>
      <c r="I285" s="10"/>
      <c r="J285" s="265"/>
      <c r="K285" s="23">
        <v>520</v>
      </c>
      <c r="L285" s="11">
        <v>520</v>
      </c>
      <c r="M285" s="270">
        <f t="shared" si="4"/>
        <v>-10</v>
      </c>
      <c r="N285" s="7"/>
      <c r="O285" s="277"/>
      <c r="P285" s="345"/>
      <c r="V285" s="383"/>
    </row>
    <row r="286" spans="1:22" ht="15" customHeight="1">
      <c r="A286" s="8">
        <v>36207</v>
      </c>
      <c r="B286" s="9"/>
      <c r="C286" s="9"/>
      <c r="D286" s="10"/>
      <c r="E286" s="10"/>
      <c r="F286" s="10">
        <v>107425</v>
      </c>
      <c r="G286" s="10"/>
      <c r="H286" s="10"/>
      <c r="I286" s="10"/>
      <c r="J286" s="265"/>
      <c r="K286" s="23">
        <v>516.5</v>
      </c>
      <c r="L286" s="11">
        <v>522</v>
      </c>
      <c r="M286" s="270">
        <f t="shared" si="4"/>
        <v>-3.5</v>
      </c>
      <c r="N286" s="7"/>
      <c r="O286" s="277"/>
      <c r="P286" s="345"/>
      <c r="V286" s="383"/>
    </row>
    <row r="287" spans="1:22" ht="15" customHeight="1">
      <c r="A287" s="8">
        <v>36208</v>
      </c>
      <c r="B287" s="9"/>
      <c r="C287" s="9"/>
      <c r="D287" s="10"/>
      <c r="E287" s="10"/>
      <c r="F287" s="10">
        <v>107075</v>
      </c>
      <c r="G287" s="10"/>
      <c r="H287" s="10"/>
      <c r="I287" s="10"/>
      <c r="J287" s="265"/>
      <c r="K287" s="23">
        <v>524</v>
      </c>
      <c r="L287" s="11">
        <v>527</v>
      </c>
      <c r="M287" s="270">
        <f t="shared" si="4"/>
        <v>7.5</v>
      </c>
      <c r="N287" s="7"/>
      <c r="O287" s="277"/>
      <c r="P287" s="345"/>
      <c r="V287" s="383"/>
    </row>
    <row r="288" spans="1:22" ht="15" customHeight="1">
      <c r="A288" s="8">
        <v>36209</v>
      </c>
      <c r="B288" s="9"/>
      <c r="C288" s="9"/>
      <c r="D288" s="10"/>
      <c r="E288" s="10"/>
      <c r="F288" s="10">
        <v>107075</v>
      </c>
      <c r="G288" s="10"/>
      <c r="H288" s="10"/>
      <c r="I288" s="10"/>
      <c r="J288" s="265"/>
      <c r="K288" s="23">
        <v>529</v>
      </c>
      <c r="L288" s="11">
        <v>534</v>
      </c>
      <c r="M288" s="270">
        <f t="shared" si="4"/>
        <v>5</v>
      </c>
      <c r="N288" s="7"/>
      <c r="O288" s="277"/>
      <c r="P288" s="345"/>
      <c r="V288" s="383"/>
    </row>
    <row r="289" spans="1:22" ht="15" customHeight="1">
      <c r="A289" s="8">
        <v>36210</v>
      </c>
      <c r="B289" s="9"/>
      <c r="C289" s="9"/>
      <c r="D289" s="10"/>
      <c r="E289" s="10"/>
      <c r="F289" s="10">
        <v>107225</v>
      </c>
      <c r="G289" s="10"/>
      <c r="H289" s="10"/>
      <c r="I289" s="10"/>
      <c r="J289" s="265"/>
      <c r="K289" s="23">
        <v>524</v>
      </c>
      <c r="L289" s="11">
        <v>526</v>
      </c>
      <c r="M289" s="270">
        <f t="shared" si="4"/>
        <v>-5</v>
      </c>
      <c r="N289" s="7"/>
      <c r="O289" s="277"/>
      <c r="P289" s="345"/>
      <c r="V289" s="383"/>
    </row>
    <row r="290" spans="1:22" ht="15" customHeight="1">
      <c r="A290" s="8">
        <v>36213</v>
      </c>
      <c r="B290" s="9"/>
      <c r="C290" s="9"/>
      <c r="D290" s="10"/>
      <c r="E290" s="10"/>
      <c r="F290" s="10">
        <v>107050</v>
      </c>
      <c r="G290" s="10"/>
      <c r="H290" s="10"/>
      <c r="I290" s="10"/>
      <c r="J290" s="265"/>
      <c r="K290" s="23">
        <v>519</v>
      </c>
      <c r="L290" s="11">
        <v>523</v>
      </c>
      <c r="M290" s="270">
        <f t="shared" si="4"/>
        <v>-5</v>
      </c>
      <c r="N290" s="7"/>
      <c r="O290" s="277"/>
      <c r="P290" s="345"/>
      <c r="V290" s="383"/>
    </row>
    <row r="291" spans="1:22" ht="15" customHeight="1">
      <c r="A291" s="8">
        <v>36214</v>
      </c>
      <c r="B291" s="9"/>
      <c r="C291" s="9"/>
      <c r="D291" s="10"/>
      <c r="E291" s="10"/>
      <c r="F291" s="10">
        <v>107050</v>
      </c>
      <c r="G291" s="10"/>
      <c r="H291" s="10"/>
      <c r="I291" s="10"/>
      <c r="J291" s="265"/>
      <c r="K291" s="23">
        <v>512</v>
      </c>
      <c r="L291" s="11">
        <v>517</v>
      </c>
      <c r="M291" s="270">
        <f t="shared" si="4"/>
        <v>-7</v>
      </c>
      <c r="N291" s="7"/>
      <c r="O291" s="277"/>
      <c r="P291" s="345"/>
      <c r="V291" s="383"/>
    </row>
    <row r="292" spans="1:22" ht="15" customHeight="1">
      <c r="A292" s="8">
        <v>36215</v>
      </c>
      <c r="B292" s="9"/>
      <c r="C292" s="9"/>
      <c r="D292" s="10"/>
      <c r="E292" s="10"/>
      <c r="F292" s="10">
        <v>107075</v>
      </c>
      <c r="G292" s="10"/>
      <c r="H292" s="10"/>
      <c r="I292" s="10"/>
      <c r="J292" s="265"/>
      <c r="K292" s="23">
        <v>516.5</v>
      </c>
      <c r="L292" s="11">
        <v>520.5</v>
      </c>
      <c r="M292" s="270">
        <f t="shared" si="4"/>
        <v>4.5</v>
      </c>
      <c r="N292" s="7"/>
      <c r="O292" s="277"/>
      <c r="P292" s="345"/>
      <c r="V292" s="383"/>
    </row>
    <row r="293" spans="1:22" ht="15" customHeight="1">
      <c r="A293" s="8">
        <v>36216</v>
      </c>
      <c r="B293" s="9"/>
      <c r="C293" s="9"/>
      <c r="D293" s="10"/>
      <c r="E293" s="10"/>
      <c r="F293" s="10">
        <v>107300</v>
      </c>
      <c r="G293" s="10"/>
      <c r="H293" s="10"/>
      <c r="I293" s="10"/>
      <c r="J293" s="265"/>
      <c r="K293" s="23">
        <v>516</v>
      </c>
      <c r="L293" s="11">
        <v>519</v>
      </c>
      <c r="M293" s="270">
        <f t="shared" si="4"/>
        <v>-0.5</v>
      </c>
      <c r="N293" s="7"/>
      <c r="O293" s="277"/>
      <c r="P293" s="345"/>
      <c r="V293" s="383"/>
    </row>
    <row r="294" spans="1:22" ht="15" customHeight="1">
      <c r="A294" s="8">
        <v>36217</v>
      </c>
      <c r="B294" s="9"/>
      <c r="C294" s="9"/>
      <c r="D294" s="10"/>
      <c r="E294" s="10"/>
      <c r="F294" s="10">
        <v>107725</v>
      </c>
      <c r="G294" s="10"/>
      <c r="H294" s="10"/>
      <c r="I294" s="10"/>
      <c r="J294" s="265"/>
      <c r="K294" s="23">
        <v>526.5</v>
      </c>
      <c r="L294" s="11">
        <v>525</v>
      </c>
      <c r="M294" s="270">
        <f t="shared" si="4"/>
        <v>10.5</v>
      </c>
      <c r="N294" s="7"/>
      <c r="O294" s="277"/>
      <c r="P294" s="345"/>
      <c r="V294" s="383"/>
    </row>
    <row r="295" spans="1:22" ht="15" customHeight="1">
      <c r="A295" s="8">
        <v>36220</v>
      </c>
      <c r="B295" s="9"/>
      <c r="C295" s="9"/>
      <c r="D295" s="10"/>
      <c r="E295" s="10"/>
      <c r="F295" s="10">
        <v>107825</v>
      </c>
      <c r="G295" s="10"/>
      <c r="H295" s="10"/>
      <c r="I295" s="10"/>
      <c r="J295" s="265"/>
      <c r="K295" s="24">
        <v>517</v>
      </c>
      <c r="L295" s="6">
        <v>514.5</v>
      </c>
      <c r="M295" s="270">
        <f t="shared" si="4"/>
        <v>-9.5</v>
      </c>
      <c r="N295" s="7"/>
      <c r="O295" s="277"/>
      <c r="P295" s="345"/>
      <c r="V295" s="383"/>
    </row>
    <row r="296" spans="1:22" ht="15" customHeight="1">
      <c r="A296" s="8">
        <v>36221</v>
      </c>
      <c r="B296" s="9"/>
      <c r="C296" s="9"/>
      <c r="D296" s="10"/>
      <c r="E296" s="10"/>
      <c r="F296" s="10">
        <v>107725</v>
      </c>
      <c r="G296" s="10"/>
      <c r="H296" s="10"/>
      <c r="I296" s="10"/>
      <c r="J296" s="265"/>
      <c r="K296" s="24">
        <v>513</v>
      </c>
      <c r="L296" s="6">
        <v>513.5</v>
      </c>
      <c r="M296" s="270">
        <f t="shared" si="4"/>
        <v>-4</v>
      </c>
      <c r="N296" s="7"/>
      <c r="O296" s="277"/>
      <c r="P296" s="345"/>
      <c r="V296" s="383"/>
    </row>
    <row r="297" spans="1:22" ht="15" customHeight="1">
      <c r="A297" s="8">
        <v>36222</v>
      </c>
      <c r="B297" s="9"/>
      <c r="C297" s="9"/>
      <c r="D297" s="10"/>
      <c r="E297" s="10"/>
      <c r="F297" s="10">
        <v>107450</v>
      </c>
      <c r="G297" s="10"/>
      <c r="H297" s="10"/>
      <c r="I297" s="10"/>
      <c r="J297" s="265"/>
      <c r="K297" s="24">
        <v>517</v>
      </c>
      <c r="L297" s="6">
        <v>519</v>
      </c>
      <c r="M297" s="270">
        <f t="shared" si="4"/>
        <v>4</v>
      </c>
      <c r="N297" s="7"/>
      <c r="O297" s="277"/>
      <c r="P297" s="345"/>
      <c r="V297" s="383"/>
    </row>
    <row r="298" spans="1:22" ht="15" customHeight="1">
      <c r="A298" s="8">
        <v>36223</v>
      </c>
      <c r="B298" s="9"/>
      <c r="C298" s="9"/>
      <c r="D298" s="10"/>
      <c r="E298" s="10"/>
      <c r="F298" s="10">
        <v>107525</v>
      </c>
      <c r="G298" s="10"/>
      <c r="H298" s="10"/>
      <c r="I298" s="10"/>
      <c r="J298" s="265"/>
      <c r="K298" s="24">
        <v>524</v>
      </c>
      <c r="L298" s="6">
        <v>523</v>
      </c>
      <c r="M298" s="270">
        <f t="shared" si="4"/>
        <v>7</v>
      </c>
      <c r="N298" s="7"/>
      <c r="O298" s="277"/>
      <c r="P298" s="345"/>
      <c r="V298" s="383"/>
    </row>
    <row r="299" spans="1:22" ht="15" customHeight="1">
      <c r="A299" s="8">
        <v>36224</v>
      </c>
      <c r="B299" s="9"/>
      <c r="C299" s="9"/>
      <c r="D299" s="10"/>
      <c r="E299" s="10"/>
      <c r="F299" s="10">
        <v>107400</v>
      </c>
      <c r="G299" s="10"/>
      <c r="H299" s="10"/>
      <c r="I299" s="10"/>
      <c r="J299" s="265"/>
      <c r="K299" s="24">
        <v>512</v>
      </c>
      <c r="L299" s="6">
        <v>514</v>
      </c>
      <c r="M299" s="270">
        <f t="shared" si="4"/>
        <v>-12</v>
      </c>
      <c r="N299" s="7"/>
      <c r="O299" s="277"/>
      <c r="P299" s="345"/>
      <c r="V299" s="383"/>
    </row>
    <row r="300" spans="1:22" ht="15" customHeight="1">
      <c r="A300" s="8">
        <v>36227</v>
      </c>
      <c r="B300" s="9"/>
      <c r="C300" s="9"/>
      <c r="D300" s="10"/>
      <c r="E300" s="10"/>
      <c r="F300" s="10">
        <v>107125</v>
      </c>
      <c r="G300" s="10"/>
      <c r="H300" s="10"/>
      <c r="I300" s="10"/>
      <c r="J300" s="265"/>
      <c r="K300" s="24">
        <v>505.5</v>
      </c>
      <c r="L300" s="6">
        <v>505.5</v>
      </c>
      <c r="M300" s="270">
        <f t="shared" si="4"/>
        <v>-6.5</v>
      </c>
      <c r="N300" s="7"/>
      <c r="O300" s="277"/>
      <c r="P300" s="345"/>
      <c r="V300" s="383"/>
    </row>
    <row r="301" spans="1:22" ht="15" customHeight="1">
      <c r="A301" s="8">
        <v>36228</v>
      </c>
      <c r="B301" s="9"/>
      <c r="C301" s="9"/>
      <c r="D301" s="10"/>
      <c r="E301" s="10"/>
      <c r="F301" s="10">
        <v>105950</v>
      </c>
      <c r="G301" s="10"/>
      <c r="H301" s="10"/>
      <c r="I301" s="10"/>
      <c r="J301" s="265"/>
      <c r="K301" s="24">
        <v>501</v>
      </c>
      <c r="L301" s="6">
        <v>504.5</v>
      </c>
      <c r="M301" s="270">
        <f t="shared" si="4"/>
        <v>-4.5</v>
      </c>
      <c r="N301" s="7"/>
      <c r="O301" s="277"/>
      <c r="P301" s="345"/>
      <c r="V301" s="383"/>
    </row>
    <row r="302" spans="1:22" ht="15" customHeight="1">
      <c r="A302" s="8">
        <v>36229</v>
      </c>
      <c r="B302" s="9"/>
      <c r="C302" s="9"/>
      <c r="D302" s="10"/>
      <c r="E302" s="10"/>
      <c r="F302" s="10">
        <v>105900</v>
      </c>
      <c r="G302" s="10"/>
      <c r="H302" s="10"/>
      <c r="I302" s="10"/>
      <c r="J302" s="265"/>
      <c r="K302" s="24">
        <v>497</v>
      </c>
      <c r="L302" s="6">
        <v>501</v>
      </c>
      <c r="M302" s="270">
        <f t="shared" si="4"/>
        <v>-4</v>
      </c>
      <c r="N302" s="7"/>
      <c r="O302" s="277"/>
      <c r="P302" s="345"/>
      <c r="V302" s="383"/>
    </row>
    <row r="303" spans="1:22" ht="15" customHeight="1">
      <c r="A303" s="8">
        <v>36230</v>
      </c>
      <c r="B303" s="9"/>
      <c r="C303" s="9"/>
      <c r="D303" s="10"/>
      <c r="E303" s="10"/>
      <c r="F303" s="10">
        <v>105725</v>
      </c>
      <c r="G303" s="10"/>
      <c r="H303" s="10"/>
      <c r="I303" s="10"/>
      <c r="J303" s="265"/>
      <c r="K303" s="24">
        <v>503</v>
      </c>
      <c r="L303" s="6">
        <v>506</v>
      </c>
      <c r="M303" s="270">
        <f t="shared" si="4"/>
        <v>6</v>
      </c>
      <c r="N303" s="7"/>
      <c r="O303" s="277"/>
      <c r="P303" s="345"/>
      <c r="V303" s="383"/>
    </row>
    <row r="304" spans="1:22" ht="15" customHeight="1">
      <c r="A304" s="8">
        <v>36231</v>
      </c>
      <c r="B304" s="9"/>
      <c r="C304" s="9"/>
      <c r="D304" s="10"/>
      <c r="E304" s="10"/>
      <c r="F304" s="10">
        <v>105375</v>
      </c>
      <c r="G304" s="10"/>
      <c r="H304" s="10"/>
      <c r="I304" s="10"/>
      <c r="J304" s="265"/>
      <c r="K304" s="24">
        <v>499</v>
      </c>
      <c r="L304" s="6">
        <v>502</v>
      </c>
      <c r="M304" s="270">
        <f t="shared" si="4"/>
        <v>-4</v>
      </c>
      <c r="N304" s="7"/>
      <c r="O304" s="277"/>
      <c r="P304" s="345"/>
      <c r="V304" s="383"/>
    </row>
    <row r="305" spans="1:22" ht="15" customHeight="1">
      <c r="A305" s="8">
        <v>36234</v>
      </c>
      <c r="B305" s="9"/>
      <c r="C305" s="9"/>
      <c r="D305" s="10"/>
      <c r="E305" s="10"/>
      <c r="F305" s="10">
        <v>105350</v>
      </c>
      <c r="G305" s="10"/>
      <c r="H305" s="10"/>
      <c r="I305" s="10"/>
      <c r="J305" s="265"/>
      <c r="K305" s="24">
        <v>496.5</v>
      </c>
      <c r="L305" s="6">
        <v>499</v>
      </c>
      <c r="M305" s="270">
        <f t="shared" si="4"/>
        <v>-2.5</v>
      </c>
      <c r="N305" s="7"/>
      <c r="O305" s="277"/>
      <c r="P305" s="345"/>
      <c r="V305" s="383"/>
    </row>
    <row r="306" spans="1:22" ht="15" customHeight="1">
      <c r="A306" s="8">
        <v>36235</v>
      </c>
      <c r="B306" s="9"/>
      <c r="C306" s="9"/>
      <c r="D306" s="10"/>
      <c r="E306" s="10"/>
      <c r="F306" s="10">
        <v>105200</v>
      </c>
      <c r="G306" s="10"/>
      <c r="H306" s="10"/>
      <c r="I306" s="10"/>
      <c r="J306" s="265"/>
      <c r="K306" s="24">
        <v>492</v>
      </c>
      <c r="L306" s="6">
        <v>493</v>
      </c>
      <c r="M306" s="270">
        <f t="shared" si="4"/>
        <v>-4.5</v>
      </c>
      <c r="N306" s="7"/>
      <c r="O306" s="277"/>
      <c r="P306" s="345"/>
      <c r="V306" s="383"/>
    </row>
    <row r="307" spans="1:22" ht="15" customHeight="1">
      <c r="A307" s="8">
        <v>36236</v>
      </c>
      <c r="B307" s="9"/>
      <c r="C307" s="9"/>
      <c r="D307" s="10"/>
      <c r="E307" s="10"/>
      <c r="F307" s="10">
        <v>105025</v>
      </c>
      <c r="G307" s="10"/>
      <c r="H307" s="10"/>
      <c r="I307" s="10"/>
      <c r="J307" s="265"/>
      <c r="K307" s="24">
        <v>492.5</v>
      </c>
      <c r="L307" s="6">
        <v>494.5</v>
      </c>
      <c r="M307" s="270">
        <f t="shared" si="4"/>
        <v>0.5</v>
      </c>
      <c r="N307" s="7"/>
      <c r="O307" s="277"/>
      <c r="P307" s="345"/>
      <c r="V307" s="383"/>
    </row>
    <row r="308" spans="1:22" ht="15" customHeight="1">
      <c r="A308" s="8">
        <v>36237</v>
      </c>
      <c r="B308" s="9"/>
      <c r="C308" s="9"/>
      <c r="D308" s="10"/>
      <c r="E308" s="10"/>
      <c r="F308" s="10">
        <v>104850</v>
      </c>
      <c r="G308" s="10"/>
      <c r="H308" s="10"/>
      <c r="I308" s="10"/>
      <c r="J308" s="265"/>
      <c r="K308" s="24">
        <v>500</v>
      </c>
      <c r="L308" s="6">
        <v>503</v>
      </c>
      <c r="M308" s="270">
        <f t="shared" si="4"/>
        <v>7.5</v>
      </c>
      <c r="N308" s="7"/>
      <c r="O308" s="277"/>
      <c r="P308" s="345"/>
      <c r="V308" s="383"/>
    </row>
    <row r="309" spans="1:22" ht="15" customHeight="1">
      <c r="A309" s="8">
        <v>36238</v>
      </c>
      <c r="B309" s="9"/>
      <c r="C309" s="9"/>
      <c r="D309" s="10"/>
      <c r="E309" s="10"/>
      <c r="F309" s="10">
        <v>104550</v>
      </c>
      <c r="G309" s="10"/>
      <c r="H309" s="10"/>
      <c r="I309" s="10"/>
      <c r="J309" s="265"/>
      <c r="K309" s="24">
        <v>508.5</v>
      </c>
      <c r="L309" s="6">
        <v>508</v>
      </c>
      <c r="M309" s="270">
        <f t="shared" si="4"/>
        <v>8.5</v>
      </c>
      <c r="N309" s="7"/>
      <c r="O309" s="277"/>
      <c r="P309" s="345"/>
      <c r="V309" s="383"/>
    </row>
    <row r="310" spans="1:22" ht="15" customHeight="1">
      <c r="A310" s="8">
        <v>36241</v>
      </c>
      <c r="B310" s="9"/>
      <c r="C310" s="9"/>
      <c r="D310" s="10"/>
      <c r="E310" s="10"/>
      <c r="F310" s="10">
        <v>104425</v>
      </c>
      <c r="G310" s="10"/>
      <c r="H310" s="10"/>
      <c r="I310" s="10"/>
      <c r="J310" s="265"/>
      <c r="K310" s="24">
        <v>504.5</v>
      </c>
      <c r="L310" s="6">
        <v>504.5</v>
      </c>
      <c r="M310" s="270">
        <f t="shared" si="4"/>
        <v>-4</v>
      </c>
      <c r="N310" s="7"/>
      <c r="O310" s="277"/>
      <c r="P310" s="345"/>
      <c r="V310" s="383"/>
    </row>
    <row r="311" spans="1:22" ht="15" customHeight="1">
      <c r="A311" s="8">
        <v>36242</v>
      </c>
      <c r="B311" s="9"/>
      <c r="C311" s="9"/>
      <c r="D311" s="10"/>
      <c r="E311" s="10"/>
      <c r="F311" s="10">
        <v>103923</v>
      </c>
      <c r="G311" s="10"/>
      <c r="H311" s="10"/>
      <c r="I311" s="10"/>
      <c r="J311" s="265"/>
      <c r="K311" s="24">
        <v>515.5</v>
      </c>
      <c r="L311" s="6">
        <v>516</v>
      </c>
      <c r="M311" s="270">
        <f t="shared" si="4"/>
        <v>11</v>
      </c>
      <c r="N311" s="7"/>
      <c r="O311" s="277"/>
      <c r="P311" s="345"/>
      <c r="V311" s="383"/>
    </row>
    <row r="312" spans="1:22" ht="15" customHeight="1">
      <c r="A312" s="8">
        <v>36243</v>
      </c>
      <c r="B312" s="9"/>
      <c r="C312" s="9"/>
      <c r="D312" s="10"/>
      <c r="E312" s="10"/>
      <c r="F312" s="10">
        <v>103825</v>
      </c>
      <c r="G312" s="10"/>
      <c r="H312" s="10"/>
      <c r="I312" s="10"/>
      <c r="J312" s="265"/>
      <c r="K312" s="24">
        <v>508.5</v>
      </c>
      <c r="L312" s="6">
        <v>510.5</v>
      </c>
      <c r="M312" s="270">
        <f t="shared" si="4"/>
        <v>-7</v>
      </c>
      <c r="N312" s="7"/>
      <c r="O312" s="277"/>
      <c r="P312" s="345"/>
      <c r="V312" s="383"/>
    </row>
    <row r="313" spans="1:22" ht="15" customHeight="1">
      <c r="A313" s="8">
        <v>36244</v>
      </c>
      <c r="B313" s="9"/>
      <c r="C313" s="9"/>
      <c r="D313" s="10"/>
      <c r="E313" s="10"/>
      <c r="F313" s="10">
        <v>103725</v>
      </c>
      <c r="G313" s="10"/>
      <c r="H313" s="10"/>
      <c r="I313" s="10"/>
      <c r="J313" s="265"/>
      <c r="K313" s="24">
        <v>518</v>
      </c>
      <c r="L313" s="6">
        <v>518.5</v>
      </c>
      <c r="M313" s="270">
        <f t="shared" si="4"/>
        <v>9.5</v>
      </c>
      <c r="N313" s="7"/>
      <c r="O313" s="277"/>
      <c r="P313" s="345"/>
      <c r="V313" s="383"/>
    </row>
    <row r="314" spans="1:22" ht="15" customHeight="1">
      <c r="A314" s="8">
        <v>36245</v>
      </c>
      <c r="B314" s="9"/>
      <c r="C314" s="9"/>
      <c r="D314" s="10"/>
      <c r="E314" s="10"/>
      <c r="F314" s="10">
        <v>103650</v>
      </c>
      <c r="G314" s="10"/>
      <c r="H314" s="10"/>
      <c r="I314" s="10"/>
      <c r="J314" s="265"/>
      <c r="K314" s="24">
        <v>522.5</v>
      </c>
      <c r="L314" s="6">
        <v>523</v>
      </c>
      <c r="M314" s="270">
        <f t="shared" si="4"/>
        <v>4.5</v>
      </c>
      <c r="N314" s="7"/>
      <c r="O314" s="277"/>
      <c r="P314" s="345"/>
      <c r="V314" s="383"/>
    </row>
    <row r="315" spans="1:22" ht="15" customHeight="1">
      <c r="A315" s="8">
        <v>36248</v>
      </c>
      <c r="B315" s="9"/>
      <c r="C315" s="9"/>
      <c r="D315" s="10"/>
      <c r="E315" s="10"/>
      <c r="F315" s="10">
        <v>103550</v>
      </c>
      <c r="G315" s="10"/>
      <c r="H315" s="10"/>
      <c r="I315" s="10"/>
      <c r="J315" s="265"/>
      <c r="K315" s="24">
        <v>517</v>
      </c>
      <c r="L315" s="6">
        <v>517.5</v>
      </c>
      <c r="M315" s="270">
        <f t="shared" si="4"/>
        <v>-5.5</v>
      </c>
      <c r="N315" s="7"/>
      <c r="O315" s="277"/>
      <c r="P315" s="345"/>
      <c r="V315" s="383"/>
    </row>
    <row r="316" spans="1:22" ht="15" customHeight="1">
      <c r="A316" s="8">
        <v>36249</v>
      </c>
      <c r="B316" s="9"/>
      <c r="C316" s="9"/>
      <c r="D316" s="10"/>
      <c r="E316" s="10"/>
      <c r="F316" s="10">
        <v>103600</v>
      </c>
      <c r="G316" s="10"/>
      <c r="H316" s="10"/>
      <c r="I316" s="10"/>
      <c r="J316" s="265"/>
      <c r="K316" s="24">
        <v>510</v>
      </c>
      <c r="L316" s="6">
        <v>512</v>
      </c>
      <c r="M316" s="270">
        <f t="shared" si="4"/>
        <v>-7</v>
      </c>
      <c r="N316" s="7"/>
      <c r="O316" s="277"/>
      <c r="P316" s="345"/>
      <c r="V316" s="383"/>
    </row>
    <row r="317" spans="1:22" ht="15" customHeight="1">
      <c r="A317" s="8">
        <v>36250</v>
      </c>
      <c r="B317" s="9"/>
      <c r="C317" s="9"/>
      <c r="D317" s="10"/>
      <c r="E317" s="10"/>
      <c r="F317" s="10">
        <v>104775</v>
      </c>
      <c r="G317" s="10"/>
      <c r="H317" s="10"/>
      <c r="I317" s="10"/>
      <c r="J317" s="265"/>
      <c r="K317" s="24">
        <v>506</v>
      </c>
      <c r="L317" s="6">
        <v>506.5</v>
      </c>
      <c r="M317" s="270">
        <f t="shared" si="4"/>
        <v>-4</v>
      </c>
      <c r="N317" s="7"/>
      <c r="O317" s="277"/>
      <c r="P317" s="345"/>
      <c r="V317" s="383"/>
    </row>
    <row r="318" spans="1:22" ht="15" customHeight="1">
      <c r="A318" s="8">
        <v>36251</v>
      </c>
      <c r="B318" s="9"/>
      <c r="C318" s="9"/>
      <c r="D318" s="10"/>
      <c r="E318" s="10"/>
      <c r="F318" s="10">
        <v>102925</v>
      </c>
      <c r="G318" s="10"/>
      <c r="H318" s="10"/>
      <c r="I318" s="10"/>
      <c r="J318" s="265"/>
      <c r="K318" s="23">
        <v>508</v>
      </c>
      <c r="L318" s="11">
        <v>508</v>
      </c>
      <c r="M318" s="270">
        <f t="shared" si="4"/>
        <v>2</v>
      </c>
      <c r="N318" s="7"/>
      <c r="O318" s="277"/>
      <c r="P318" s="345"/>
      <c r="V318" s="383"/>
    </row>
    <row r="319" spans="1:22" ht="15" customHeight="1">
      <c r="A319" s="8">
        <v>36256</v>
      </c>
      <c r="B319" s="9"/>
      <c r="C319" s="9"/>
      <c r="D319" s="10"/>
      <c r="E319" s="10"/>
      <c r="F319" s="10">
        <v>102950</v>
      </c>
      <c r="G319" s="10"/>
      <c r="H319" s="10"/>
      <c r="I319" s="10"/>
      <c r="J319" s="265"/>
      <c r="K319" s="23">
        <v>495</v>
      </c>
      <c r="L319" s="11">
        <v>497</v>
      </c>
      <c r="M319" s="270">
        <f t="shared" si="4"/>
        <v>-13</v>
      </c>
      <c r="N319" s="7"/>
      <c r="O319" s="277"/>
      <c r="P319" s="345"/>
      <c r="V319" s="383"/>
    </row>
    <row r="320" spans="1:22" ht="15" customHeight="1">
      <c r="A320" s="8">
        <v>36257</v>
      </c>
      <c r="B320" s="9"/>
      <c r="C320" s="9"/>
      <c r="D320" s="10"/>
      <c r="E320" s="10"/>
      <c r="F320" s="10">
        <v>102350</v>
      </c>
      <c r="G320" s="10"/>
      <c r="H320" s="10"/>
      <c r="I320" s="10"/>
      <c r="J320" s="265"/>
      <c r="K320" s="23">
        <v>491</v>
      </c>
      <c r="L320" s="11">
        <v>495</v>
      </c>
      <c r="M320" s="270">
        <f t="shared" si="4"/>
        <v>-4</v>
      </c>
      <c r="N320" s="7"/>
      <c r="O320" s="277"/>
      <c r="P320" s="345"/>
      <c r="V320" s="383"/>
    </row>
    <row r="321" spans="1:22" ht="15" customHeight="1">
      <c r="A321" s="8">
        <v>36258</v>
      </c>
      <c r="B321" s="9"/>
      <c r="C321" s="9"/>
      <c r="D321" s="10"/>
      <c r="E321" s="10"/>
      <c r="F321" s="10">
        <v>102100</v>
      </c>
      <c r="G321" s="10"/>
      <c r="H321" s="10"/>
      <c r="I321" s="10"/>
      <c r="J321" s="265"/>
      <c r="K321" s="23">
        <v>502</v>
      </c>
      <c r="L321" s="11">
        <v>503</v>
      </c>
      <c r="M321" s="270">
        <f t="shared" si="4"/>
        <v>11</v>
      </c>
      <c r="N321" s="7"/>
      <c r="O321" s="277"/>
      <c r="P321" s="345"/>
      <c r="V321" s="383"/>
    </row>
    <row r="322" spans="1:22" ht="15" customHeight="1">
      <c r="A322" s="8">
        <v>36259</v>
      </c>
      <c r="B322" s="9"/>
      <c r="C322" s="9"/>
      <c r="D322" s="10"/>
      <c r="E322" s="10"/>
      <c r="F322" s="10">
        <v>102450</v>
      </c>
      <c r="G322" s="10"/>
      <c r="H322" s="10"/>
      <c r="I322" s="10"/>
      <c r="J322" s="265"/>
      <c r="K322" s="23">
        <v>499</v>
      </c>
      <c r="L322" s="11">
        <v>501</v>
      </c>
      <c r="M322" s="270">
        <f t="shared" si="4"/>
        <v>-3</v>
      </c>
      <c r="N322" s="7"/>
      <c r="O322" s="277"/>
      <c r="P322" s="345"/>
      <c r="V322" s="383"/>
    </row>
    <row r="323" spans="1:22" ht="15" customHeight="1">
      <c r="A323" s="8">
        <v>36262</v>
      </c>
      <c r="B323" s="9"/>
      <c r="C323" s="9"/>
      <c r="D323" s="10"/>
      <c r="E323" s="10"/>
      <c r="F323" s="10">
        <v>102400</v>
      </c>
      <c r="G323" s="10"/>
      <c r="H323" s="10"/>
      <c r="I323" s="10"/>
      <c r="J323" s="265"/>
      <c r="K323" s="23">
        <v>501.5</v>
      </c>
      <c r="L323" s="11">
        <v>504</v>
      </c>
      <c r="M323" s="270">
        <f t="shared" si="4"/>
        <v>2.5</v>
      </c>
      <c r="N323" s="7"/>
      <c r="O323" s="277"/>
      <c r="P323" s="345"/>
      <c r="V323" s="383"/>
    </row>
    <row r="324" spans="1:22" ht="15" customHeight="1">
      <c r="A324" s="8">
        <v>36263</v>
      </c>
      <c r="B324" s="9"/>
      <c r="C324" s="9"/>
      <c r="D324" s="10"/>
      <c r="E324" s="10"/>
      <c r="F324" s="10">
        <v>104125</v>
      </c>
      <c r="G324" s="10"/>
      <c r="H324" s="10"/>
      <c r="I324" s="10"/>
      <c r="J324" s="265"/>
      <c r="K324" s="23">
        <v>504.5</v>
      </c>
      <c r="L324" s="11">
        <v>506.5</v>
      </c>
      <c r="M324" s="270">
        <f t="shared" si="4"/>
        <v>3</v>
      </c>
      <c r="N324" s="7"/>
      <c r="O324" s="277"/>
      <c r="P324" s="345"/>
      <c r="V324" s="383"/>
    </row>
    <row r="325" spans="1:22" ht="15" customHeight="1">
      <c r="A325" s="8">
        <v>36264</v>
      </c>
      <c r="B325" s="9"/>
      <c r="C325" s="9"/>
      <c r="D325" s="10"/>
      <c r="E325" s="10"/>
      <c r="F325" s="10">
        <v>103750</v>
      </c>
      <c r="G325" s="10"/>
      <c r="H325" s="10"/>
      <c r="I325" s="10"/>
      <c r="J325" s="265"/>
      <c r="K325" s="23">
        <v>518</v>
      </c>
      <c r="L325" s="11">
        <v>518.5</v>
      </c>
      <c r="M325" s="270">
        <f t="shared" ref="M325:M388" si="5">+K325-K324</f>
        <v>13.5</v>
      </c>
      <c r="N325" s="7"/>
      <c r="O325" s="277"/>
      <c r="P325" s="345"/>
      <c r="V325" s="383"/>
    </row>
    <row r="326" spans="1:22" ht="15" customHeight="1">
      <c r="A326" s="8">
        <v>36265</v>
      </c>
      <c r="B326" s="9"/>
      <c r="C326" s="9"/>
      <c r="D326" s="10"/>
      <c r="E326" s="10"/>
      <c r="F326" s="10">
        <v>103275</v>
      </c>
      <c r="G326" s="10"/>
      <c r="H326" s="10"/>
      <c r="I326" s="10"/>
      <c r="J326" s="265"/>
      <c r="K326" s="23">
        <v>527</v>
      </c>
      <c r="L326" s="11">
        <v>528.5</v>
      </c>
      <c r="M326" s="270">
        <f t="shared" si="5"/>
        <v>9</v>
      </c>
      <c r="N326" s="7"/>
      <c r="O326" s="277"/>
      <c r="P326" s="345"/>
      <c r="V326" s="383"/>
    </row>
    <row r="327" spans="1:22" ht="15" customHeight="1">
      <c r="A327" s="8">
        <v>36266</v>
      </c>
      <c r="B327" s="9"/>
      <c r="C327" s="9"/>
      <c r="D327" s="10"/>
      <c r="E327" s="10"/>
      <c r="F327" s="10">
        <v>103525</v>
      </c>
      <c r="G327" s="10"/>
      <c r="H327" s="10"/>
      <c r="I327" s="10"/>
      <c r="J327" s="265"/>
      <c r="K327" s="23">
        <v>533</v>
      </c>
      <c r="L327" s="11">
        <v>534.5</v>
      </c>
      <c r="M327" s="270">
        <f t="shared" si="5"/>
        <v>6</v>
      </c>
      <c r="N327" s="7"/>
      <c r="O327" s="277"/>
      <c r="P327" s="345"/>
      <c r="V327" s="383"/>
    </row>
    <row r="328" spans="1:22" ht="15" customHeight="1">
      <c r="A328" s="8">
        <v>36269</v>
      </c>
      <c r="B328" s="9"/>
      <c r="C328" s="9"/>
      <c r="D328" s="10"/>
      <c r="E328" s="10"/>
      <c r="F328" s="10">
        <v>103400</v>
      </c>
      <c r="G328" s="10"/>
      <c r="H328" s="10"/>
      <c r="I328" s="10"/>
      <c r="J328" s="265"/>
      <c r="K328" s="23">
        <v>528</v>
      </c>
      <c r="L328" s="11">
        <v>531</v>
      </c>
      <c r="M328" s="270">
        <f t="shared" si="5"/>
        <v>-5</v>
      </c>
      <c r="N328" s="7"/>
      <c r="O328" s="277"/>
      <c r="P328" s="345"/>
      <c r="V328" s="383"/>
    </row>
    <row r="329" spans="1:22" ht="15" customHeight="1">
      <c r="A329" s="8">
        <v>36270</v>
      </c>
      <c r="B329" s="9"/>
      <c r="C329" s="9"/>
      <c r="D329" s="10"/>
      <c r="E329" s="10"/>
      <c r="F329" s="10">
        <v>103750</v>
      </c>
      <c r="G329" s="10"/>
      <c r="H329" s="10"/>
      <c r="I329" s="10"/>
      <c r="J329" s="265"/>
      <c r="K329" s="23">
        <v>533</v>
      </c>
      <c r="L329" s="11">
        <v>535.5</v>
      </c>
      <c r="M329" s="270">
        <f t="shared" si="5"/>
        <v>5</v>
      </c>
      <c r="N329" s="7"/>
      <c r="O329" s="277"/>
      <c r="P329" s="345"/>
      <c r="V329" s="383"/>
    </row>
    <row r="330" spans="1:22" ht="15" customHeight="1">
      <c r="A330" s="8">
        <v>36271</v>
      </c>
      <c r="B330" s="9"/>
      <c r="C330" s="9"/>
      <c r="D330" s="10"/>
      <c r="E330" s="10"/>
      <c r="F330" s="10">
        <v>105575</v>
      </c>
      <c r="G330" s="10"/>
      <c r="H330" s="10"/>
      <c r="I330" s="10"/>
      <c r="J330" s="265"/>
      <c r="K330" s="23">
        <v>521</v>
      </c>
      <c r="L330" s="11">
        <v>529</v>
      </c>
      <c r="M330" s="270">
        <f t="shared" si="5"/>
        <v>-12</v>
      </c>
      <c r="N330" s="7"/>
      <c r="O330" s="277"/>
      <c r="P330" s="345"/>
      <c r="V330" s="383"/>
    </row>
    <row r="331" spans="1:22" ht="15" customHeight="1">
      <c r="A331" s="8">
        <v>36272</v>
      </c>
      <c r="B331" s="9"/>
      <c r="C331" s="9"/>
      <c r="D331" s="10"/>
      <c r="E331" s="10"/>
      <c r="F331" s="10">
        <v>104850</v>
      </c>
      <c r="G331" s="10"/>
      <c r="H331" s="10"/>
      <c r="I331" s="10"/>
      <c r="J331" s="265"/>
      <c r="K331" s="23">
        <v>528.5</v>
      </c>
      <c r="L331" s="11">
        <v>533</v>
      </c>
      <c r="M331" s="270">
        <f t="shared" si="5"/>
        <v>7.5</v>
      </c>
      <c r="N331" s="7"/>
      <c r="O331" s="277"/>
      <c r="P331" s="345"/>
      <c r="V331" s="383"/>
    </row>
    <row r="332" spans="1:22" ht="15" customHeight="1">
      <c r="A332" s="8">
        <v>36273</v>
      </c>
      <c r="B332" s="9"/>
      <c r="C332" s="9"/>
      <c r="D332" s="10"/>
      <c r="E332" s="10"/>
      <c r="F332" s="10">
        <v>104725</v>
      </c>
      <c r="G332" s="10"/>
      <c r="H332" s="10"/>
      <c r="I332" s="10"/>
      <c r="J332" s="265"/>
      <c r="K332" s="23">
        <v>530</v>
      </c>
      <c r="L332" s="11">
        <v>535.5</v>
      </c>
      <c r="M332" s="270">
        <f t="shared" si="5"/>
        <v>1.5</v>
      </c>
      <c r="N332" s="7"/>
      <c r="O332" s="277"/>
      <c r="P332" s="345"/>
      <c r="V332" s="383"/>
    </row>
    <row r="333" spans="1:22" ht="15" customHeight="1">
      <c r="A333" s="8">
        <v>36276</v>
      </c>
      <c r="B333" s="9"/>
      <c r="C333" s="9"/>
      <c r="D333" s="10"/>
      <c r="E333" s="10"/>
      <c r="F333" s="10">
        <v>104525</v>
      </c>
      <c r="G333" s="10"/>
      <c r="H333" s="10"/>
      <c r="I333" s="10"/>
      <c r="J333" s="265"/>
      <c r="K333" s="23">
        <v>528</v>
      </c>
      <c r="L333" s="11">
        <v>534</v>
      </c>
      <c r="M333" s="270">
        <f t="shared" si="5"/>
        <v>-2</v>
      </c>
      <c r="N333" s="7"/>
      <c r="O333" s="277"/>
      <c r="P333" s="345"/>
      <c r="V333" s="383"/>
    </row>
    <row r="334" spans="1:22" ht="15" customHeight="1">
      <c r="A334" s="8">
        <v>36277</v>
      </c>
      <c r="B334" s="9"/>
      <c r="C334" s="9"/>
      <c r="D334" s="10"/>
      <c r="E334" s="10"/>
      <c r="F334" s="10">
        <v>104500</v>
      </c>
      <c r="G334" s="10"/>
      <c r="H334" s="10"/>
      <c r="I334" s="10"/>
      <c r="J334" s="265"/>
      <c r="K334" s="23">
        <v>528.5</v>
      </c>
      <c r="L334" s="11">
        <v>535.5</v>
      </c>
      <c r="M334" s="270">
        <f t="shared" si="5"/>
        <v>0.5</v>
      </c>
      <c r="N334" s="7"/>
      <c r="O334" s="277"/>
      <c r="P334" s="345"/>
      <c r="V334" s="383"/>
    </row>
    <row r="335" spans="1:22" ht="15" customHeight="1">
      <c r="A335" s="8">
        <v>36278</v>
      </c>
      <c r="B335" s="9"/>
      <c r="C335" s="9"/>
      <c r="D335" s="10"/>
      <c r="E335" s="10"/>
      <c r="F335" s="10">
        <v>105000</v>
      </c>
      <c r="G335" s="10"/>
      <c r="H335" s="10"/>
      <c r="I335" s="10"/>
      <c r="J335" s="265"/>
      <c r="K335" s="23">
        <v>534</v>
      </c>
      <c r="L335" s="11">
        <v>540</v>
      </c>
      <c r="M335" s="270">
        <f t="shared" si="5"/>
        <v>5.5</v>
      </c>
      <c r="N335" s="7"/>
      <c r="O335" s="277"/>
      <c r="P335" s="345"/>
      <c r="V335" s="383"/>
    </row>
    <row r="336" spans="1:22" ht="15" customHeight="1">
      <c r="A336" s="8">
        <v>36279</v>
      </c>
      <c r="B336" s="9"/>
      <c r="C336" s="9"/>
      <c r="D336" s="10"/>
      <c r="E336" s="10"/>
      <c r="F336" s="10">
        <v>105000</v>
      </c>
      <c r="G336" s="10"/>
      <c r="H336" s="10"/>
      <c r="I336" s="10"/>
      <c r="J336" s="265"/>
      <c r="K336" s="23">
        <v>535.5</v>
      </c>
      <c r="L336" s="11">
        <v>542</v>
      </c>
      <c r="M336" s="270">
        <f t="shared" si="5"/>
        <v>1.5</v>
      </c>
      <c r="N336" s="7"/>
      <c r="O336" s="277"/>
      <c r="P336" s="345"/>
      <c r="V336" s="383"/>
    </row>
    <row r="337" spans="1:22" ht="15" customHeight="1">
      <c r="A337" s="8">
        <v>36280</v>
      </c>
      <c r="B337" s="9"/>
      <c r="C337" s="9"/>
      <c r="D337" s="10"/>
      <c r="E337" s="10"/>
      <c r="F337" s="10">
        <v>104875</v>
      </c>
      <c r="G337" s="10"/>
      <c r="H337" s="10"/>
      <c r="I337" s="10"/>
      <c r="J337" s="265"/>
      <c r="K337" s="23">
        <v>541</v>
      </c>
      <c r="L337" s="11">
        <v>547</v>
      </c>
      <c r="M337" s="270">
        <f t="shared" si="5"/>
        <v>5.5</v>
      </c>
      <c r="N337" s="7"/>
      <c r="O337" s="277"/>
      <c r="P337" s="345"/>
      <c r="V337" s="383"/>
    </row>
    <row r="338" spans="1:22" ht="15" customHeight="1">
      <c r="A338" s="8">
        <v>36284</v>
      </c>
      <c r="B338" s="9"/>
      <c r="C338" s="9"/>
      <c r="D338" s="10"/>
      <c r="E338" s="10"/>
      <c r="F338" s="10">
        <v>104800</v>
      </c>
      <c r="G338" s="10"/>
      <c r="H338" s="10"/>
      <c r="I338" s="10"/>
      <c r="J338" s="265"/>
      <c r="K338" s="24">
        <v>540</v>
      </c>
      <c r="L338" s="6">
        <v>547.5</v>
      </c>
      <c r="M338" s="270">
        <f t="shared" si="5"/>
        <v>-1</v>
      </c>
      <c r="N338" s="7"/>
      <c r="O338" s="277"/>
      <c r="P338" s="345"/>
      <c r="V338" s="383"/>
    </row>
    <row r="339" spans="1:22" ht="15" customHeight="1">
      <c r="A339" s="8">
        <v>36285</v>
      </c>
      <c r="B339" s="9"/>
      <c r="C339" s="9"/>
      <c r="D339" s="10"/>
      <c r="E339" s="10"/>
      <c r="F339" s="10">
        <v>104800</v>
      </c>
      <c r="G339" s="10"/>
      <c r="H339" s="10"/>
      <c r="I339" s="10"/>
      <c r="J339" s="265"/>
      <c r="K339" s="24">
        <v>536.5</v>
      </c>
      <c r="L339" s="6">
        <v>543.5</v>
      </c>
      <c r="M339" s="270">
        <f t="shared" si="5"/>
        <v>-3.5</v>
      </c>
      <c r="N339" s="7"/>
      <c r="O339" s="277"/>
      <c r="P339" s="345"/>
      <c r="V339" s="383"/>
    </row>
    <row r="340" spans="1:22" ht="15" customHeight="1">
      <c r="A340" s="8">
        <v>36286</v>
      </c>
      <c r="B340" s="9"/>
      <c r="C340" s="9"/>
      <c r="D340" s="10"/>
      <c r="E340" s="10"/>
      <c r="F340" s="10">
        <v>105025</v>
      </c>
      <c r="G340" s="10"/>
      <c r="H340" s="10"/>
      <c r="I340" s="10"/>
      <c r="J340" s="265"/>
      <c r="K340" s="24">
        <v>543</v>
      </c>
      <c r="L340" s="6">
        <v>548.5</v>
      </c>
      <c r="M340" s="270">
        <f t="shared" si="5"/>
        <v>6.5</v>
      </c>
      <c r="N340" s="7"/>
      <c r="O340" s="277"/>
      <c r="P340" s="345"/>
      <c r="V340" s="383"/>
    </row>
    <row r="341" spans="1:22" ht="15" customHeight="1">
      <c r="A341" s="8">
        <v>36287</v>
      </c>
      <c r="B341" s="9"/>
      <c r="C341" s="9"/>
      <c r="D341" s="10"/>
      <c r="E341" s="10"/>
      <c r="F341" s="10">
        <v>105050</v>
      </c>
      <c r="G341" s="10"/>
      <c r="H341" s="10"/>
      <c r="I341" s="10"/>
      <c r="J341" s="265"/>
      <c r="K341" s="24">
        <v>534</v>
      </c>
      <c r="L341" s="6">
        <v>542</v>
      </c>
      <c r="M341" s="270">
        <f t="shared" si="5"/>
        <v>-9</v>
      </c>
      <c r="N341" s="7"/>
      <c r="O341" s="277"/>
      <c r="P341" s="345"/>
      <c r="V341" s="383"/>
    </row>
    <row r="342" spans="1:22" ht="15" customHeight="1">
      <c r="A342" s="8">
        <v>36290</v>
      </c>
      <c r="B342" s="9"/>
      <c r="C342" s="9"/>
      <c r="D342" s="10"/>
      <c r="E342" s="10"/>
      <c r="F342" s="10">
        <v>105150</v>
      </c>
      <c r="G342" s="10"/>
      <c r="H342" s="10"/>
      <c r="I342" s="10"/>
      <c r="J342" s="265"/>
      <c r="K342" s="24">
        <v>534</v>
      </c>
      <c r="L342" s="6">
        <v>540</v>
      </c>
      <c r="M342" s="270">
        <f t="shared" si="5"/>
        <v>0</v>
      </c>
      <c r="N342" s="7"/>
      <c r="O342" s="277"/>
      <c r="P342" s="345"/>
      <c r="V342" s="383"/>
    </row>
    <row r="343" spans="1:22" ht="15" customHeight="1">
      <c r="A343" s="8">
        <v>36291</v>
      </c>
      <c r="B343" s="9"/>
      <c r="C343" s="9"/>
      <c r="D343" s="10"/>
      <c r="E343" s="10"/>
      <c r="F343" s="10">
        <v>105650</v>
      </c>
      <c r="G343" s="10"/>
      <c r="H343" s="10"/>
      <c r="I343" s="10"/>
      <c r="J343" s="265"/>
      <c r="K343" s="24">
        <v>529</v>
      </c>
      <c r="L343" s="6">
        <v>537.5</v>
      </c>
      <c r="M343" s="270">
        <f t="shared" si="5"/>
        <v>-5</v>
      </c>
      <c r="N343" s="7"/>
      <c r="O343" s="277"/>
      <c r="P343" s="345"/>
      <c r="V343" s="383"/>
    </row>
    <row r="344" spans="1:22" ht="15" customHeight="1">
      <c r="A344" s="8">
        <v>36292</v>
      </c>
      <c r="B344" s="9"/>
      <c r="C344" s="9"/>
      <c r="D344" s="10"/>
      <c r="E344" s="10"/>
      <c r="F344" s="10">
        <v>107100</v>
      </c>
      <c r="G344" s="10"/>
      <c r="H344" s="10"/>
      <c r="I344" s="10"/>
      <c r="J344" s="265"/>
      <c r="K344" s="24">
        <v>548</v>
      </c>
      <c r="L344" s="6">
        <v>553</v>
      </c>
      <c r="M344" s="270">
        <f t="shared" si="5"/>
        <v>19</v>
      </c>
      <c r="N344" s="7"/>
      <c r="O344" s="277"/>
      <c r="P344" s="345"/>
      <c r="V344" s="383"/>
    </row>
    <row r="345" spans="1:22" ht="15" customHeight="1">
      <c r="A345" s="8">
        <v>36293</v>
      </c>
      <c r="B345" s="9"/>
      <c r="C345" s="9"/>
      <c r="D345" s="10"/>
      <c r="E345" s="10"/>
      <c r="F345" s="10">
        <v>109275</v>
      </c>
      <c r="G345" s="10"/>
      <c r="H345" s="10"/>
      <c r="I345" s="10"/>
      <c r="J345" s="265"/>
      <c r="K345" s="24">
        <v>546</v>
      </c>
      <c r="L345" s="6">
        <v>550.5</v>
      </c>
      <c r="M345" s="270">
        <f t="shared" si="5"/>
        <v>-2</v>
      </c>
      <c r="N345" s="7"/>
      <c r="O345" s="277"/>
      <c r="P345" s="345"/>
      <c r="V345" s="383"/>
    </row>
    <row r="346" spans="1:22" ht="15" customHeight="1">
      <c r="A346" s="8">
        <v>36294</v>
      </c>
      <c r="B346" s="9"/>
      <c r="C346" s="9"/>
      <c r="D346" s="10"/>
      <c r="E346" s="10"/>
      <c r="F346" s="10">
        <v>109375</v>
      </c>
      <c r="G346" s="10"/>
      <c r="H346" s="10"/>
      <c r="I346" s="10"/>
      <c r="J346" s="265"/>
      <c r="K346" s="24">
        <v>553</v>
      </c>
      <c r="L346" s="6">
        <v>556</v>
      </c>
      <c r="M346" s="270">
        <f t="shared" si="5"/>
        <v>7</v>
      </c>
      <c r="N346" s="7"/>
      <c r="O346" s="277"/>
      <c r="P346" s="345"/>
      <c r="V346" s="383"/>
    </row>
    <row r="347" spans="1:22" ht="15" customHeight="1">
      <c r="A347" s="8">
        <v>36297</v>
      </c>
      <c r="B347" s="9"/>
      <c r="C347" s="9"/>
      <c r="D347" s="10"/>
      <c r="E347" s="10"/>
      <c r="F347" s="10">
        <v>109325</v>
      </c>
      <c r="G347" s="10"/>
      <c r="H347" s="10"/>
      <c r="I347" s="10"/>
      <c r="J347" s="265"/>
      <c r="K347" s="24">
        <v>554.5</v>
      </c>
      <c r="L347" s="6">
        <v>556</v>
      </c>
      <c r="M347" s="270">
        <f t="shared" si="5"/>
        <v>1.5</v>
      </c>
      <c r="N347" s="7"/>
      <c r="O347" s="277"/>
      <c r="P347" s="345"/>
      <c r="V347" s="383"/>
    </row>
    <row r="348" spans="1:22" ht="15" customHeight="1">
      <c r="A348" s="8">
        <v>36298</v>
      </c>
      <c r="B348" s="9"/>
      <c r="C348" s="9"/>
      <c r="D348" s="10"/>
      <c r="E348" s="10"/>
      <c r="F348" s="10">
        <v>109300</v>
      </c>
      <c r="G348" s="10"/>
      <c r="H348" s="10"/>
      <c r="I348" s="10"/>
      <c r="J348" s="265"/>
      <c r="K348" s="24">
        <v>552.5</v>
      </c>
      <c r="L348" s="6">
        <v>555</v>
      </c>
      <c r="M348" s="270">
        <f t="shared" si="5"/>
        <v>-2</v>
      </c>
      <c r="N348" s="7"/>
      <c r="O348" s="277"/>
      <c r="P348" s="345"/>
      <c r="V348" s="383"/>
    </row>
    <row r="349" spans="1:22" ht="15" customHeight="1">
      <c r="A349" s="8">
        <v>36299</v>
      </c>
      <c r="B349" s="9"/>
      <c r="C349" s="9"/>
      <c r="D349" s="10"/>
      <c r="E349" s="10"/>
      <c r="F349" s="10">
        <v>109225</v>
      </c>
      <c r="G349" s="10"/>
      <c r="H349" s="10"/>
      <c r="I349" s="10"/>
      <c r="J349" s="265"/>
      <c r="K349" s="24">
        <v>554</v>
      </c>
      <c r="L349" s="6">
        <v>556</v>
      </c>
      <c r="M349" s="270">
        <f t="shared" si="5"/>
        <v>1.5</v>
      </c>
      <c r="N349" s="7"/>
      <c r="O349" s="277"/>
      <c r="P349" s="345"/>
      <c r="V349" s="383"/>
    </row>
    <row r="350" spans="1:22" ht="15" customHeight="1">
      <c r="A350" s="8">
        <v>36300</v>
      </c>
      <c r="B350" s="9"/>
      <c r="C350" s="9"/>
      <c r="D350" s="10"/>
      <c r="E350" s="10"/>
      <c r="F350" s="10">
        <v>110550</v>
      </c>
      <c r="G350" s="10"/>
      <c r="H350" s="10"/>
      <c r="I350" s="10"/>
      <c r="J350" s="265"/>
      <c r="K350" s="24">
        <v>559.5</v>
      </c>
      <c r="L350" s="6">
        <v>557</v>
      </c>
      <c r="M350" s="270">
        <f t="shared" si="5"/>
        <v>5.5</v>
      </c>
      <c r="N350" s="7"/>
      <c r="O350" s="277"/>
      <c r="P350" s="345"/>
      <c r="V350" s="383"/>
    </row>
    <row r="351" spans="1:22" ht="15" customHeight="1">
      <c r="A351" s="8">
        <v>36301</v>
      </c>
      <c r="B351" s="9"/>
      <c r="C351" s="9"/>
      <c r="D351" s="10"/>
      <c r="E351" s="10"/>
      <c r="F351" s="10">
        <v>112125</v>
      </c>
      <c r="G351" s="10"/>
      <c r="H351" s="10"/>
      <c r="I351" s="10"/>
      <c r="J351" s="265"/>
      <c r="K351" s="24">
        <v>547</v>
      </c>
      <c r="L351" s="6">
        <v>547</v>
      </c>
      <c r="M351" s="270">
        <f t="shared" si="5"/>
        <v>-12.5</v>
      </c>
      <c r="N351" s="7"/>
      <c r="O351" s="277"/>
      <c r="P351" s="345"/>
      <c r="V351" s="383"/>
    </row>
    <row r="352" spans="1:22" ht="15" customHeight="1">
      <c r="A352" s="8">
        <v>36304</v>
      </c>
      <c r="B352" s="9"/>
      <c r="C352" s="9"/>
      <c r="D352" s="10"/>
      <c r="E352" s="10"/>
      <c r="F352" s="10">
        <v>112725</v>
      </c>
      <c r="G352" s="10"/>
      <c r="H352" s="10"/>
      <c r="I352" s="10"/>
      <c r="J352" s="265"/>
      <c r="K352" s="24">
        <v>531</v>
      </c>
      <c r="L352" s="6">
        <v>528</v>
      </c>
      <c r="M352" s="270">
        <f t="shared" si="5"/>
        <v>-16</v>
      </c>
      <c r="N352" s="7"/>
      <c r="O352" s="277"/>
      <c r="P352" s="345"/>
      <c r="V352" s="383"/>
    </row>
    <row r="353" spans="1:22" ht="15" customHeight="1">
      <c r="A353" s="8">
        <v>36305</v>
      </c>
      <c r="B353" s="9"/>
      <c r="C353" s="9"/>
      <c r="D353" s="10"/>
      <c r="E353" s="10"/>
      <c r="F353" s="10">
        <v>112725</v>
      </c>
      <c r="G353" s="10"/>
      <c r="H353" s="10"/>
      <c r="I353" s="10"/>
      <c r="J353" s="265"/>
      <c r="K353" s="24">
        <v>538</v>
      </c>
      <c r="L353" s="6">
        <v>535</v>
      </c>
      <c r="M353" s="270">
        <f t="shared" si="5"/>
        <v>7</v>
      </c>
      <c r="N353" s="7"/>
      <c r="O353" s="277"/>
      <c r="P353" s="345"/>
      <c r="V353" s="383"/>
    </row>
    <row r="354" spans="1:22" ht="15" customHeight="1">
      <c r="A354" s="8">
        <v>36306</v>
      </c>
      <c r="B354" s="9"/>
      <c r="C354" s="9"/>
      <c r="D354" s="10"/>
      <c r="E354" s="10"/>
      <c r="F354" s="10">
        <v>114725</v>
      </c>
      <c r="G354" s="10"/>
      <c r="H354" s="10"/>
      <c r="I354" s="10"/>
      <c r="J354" s="265"/>
      <c r="K354" s="24">
        <v>549</v>
      </c>
      <c r="L354" s="6">
        <v>543</v>
      </c>
      <c r="M354" s="270">
        <f t="shared" si="5"/>
        <v>11</v>
      </c>
      <c r="N354" s="7"/>
      <c r="O354" s="277"/>
      <c r="P354" s="345"/>
      <c r="V354" s="383"/>
    </row>
    <row r="355" spans="1:22" ht="15" customHeight="1">
      <c r="A355" s="8">
        <v>36307</v>
      </c>
      <c r="B355" s="9"/>
      <c r="C355" s="9"/>
      <c r="D355" s="10"/>
      <c r="E355" s="10"/>
      <c r="F355" s="10">
        <v>115225</v>
      </c>
      <c r="G355" s="10"/>
      <c r="H355" s="10"/>
      <c r="I355" s="10"/>
      <c r="J355" s="265"/>
      <c r="K355" s="24">
        <v>540</v>
      </c>
      <c r="L355" s="6">
        <v>534</v>
      </c>
      <c r="M355" s="270">
        <f t="shared" si="5"/>
        <v>-9</v>
      </c>
      <c r="N355" s="7"/>
      <c r="O355" s="277"/>
      <c r="P355" s="345"/>
      <c r="V355" s="383"/>
    </row>
    <row r="356" spans="1:22" ht="15" customHeight="1">
      <c r="A356" s="8">
        <v>36308</v>
      </c>
      <c r="B356" s="9"/>
      <c r="C356" s="9"/>
      <c r="D356" s="10"/>
      <c r="E356" s="10"/>
      <c r="F356" s="10">
        <v>119275</v>
      </c>
      <c r="G356" s="10"/>
      <c r="H356" s="10"/>
      <c r="I356" s="10"/>
      <c r="J356" s="265"/>
      <c r="K356" s="24">
        <v>500</v>
      </c>
      <c r="L356" s="6">
        <v>497</v>
      </c>
      <c r="M356" s="270">
        <f t="shared" si="5"/>
        <v>-40</v>
      </c>
      <c r="N356" s="7"/>
      <c r="O356" s="277"/>
      <c r="P356" s="345"/>
      <c r="V356" s="383"/>
    </row>
    <row r="357" spans="1:22" ht="15" customHeight="1">
      <c r="A357" s="8">
        <v>36312</v>
      </c>
      <c r="B357" s="9"/>
      <c r="C357" s="9"/>
      <c r="D357" s="10"/>
      <c r="E357" s="10"/>
      <c r="F357" s="10">
        <v>119650</v>
      </c>
      <c r="G357" s="10"/>
      <c r="H357" s="10"/>
      <c r="I357" s="10"/>
      <c r="J357" s="265"/>
      <c r="K357" s="24">
        <v>496</v>
      </c>
      <c r="L357" s="6">
        <v>495.5</v>
      </c>
      <c r="M357" s="270">
        <f t="shared" si="5"/>
        <v>-4</v>
      </c>
      <c r="N357" s="7"/>
      <c r="O357" s="277"/>
      <c r="P357" s="345"/>
      <c r="V357" s="383"/>
    </row>
    <row r="358" spans="1:22" ht="15" customHeight="1">
      <c r="A358" s="8">
        <v>36313</v>
      </c>
      <c r="B358" s="9"/>
      <c r="C358" s="9"/>
      <c r="D358" s="10"/>
      <c r="E358" s="10"/>
      <c r="F358" s="10">
        <v>119950</v>
      </c>
      <c r="G358" s="10"/>
      <c r="H358" s="10"/>
      <c r="I358" s="10"/>
      <c r="J358" s="265"/>
      <c r="K358" s="24">
        <v>499</v>
      </c>
      <c r="L358" s="6">
        <v>498.5</v>
      </c>
      <c r="M358" s="270">
        <f t="shared" si="5"/>
        <v>3</v>
      </c>
      <c r="N358" s="7"/>
      <c r="O358" s="277"/>
      <c r="P358" s="345"/>
      <c r="V358" s="383"/>
    </row>
    <row r="359" spans="1:22" ht="15" customHeight="1">
      <c r="A359" s="8">
        <v>36314</v>
      </c>
      <c r="B359" s="9"/>
      <c r="C359" s="9"/>
      <c r="D359" s="10"/>
      <c r="E359" s="10"/>
      <c r="F359" s="10">
        <v>122650</v>
      </c>
      <c r="G359" s="10"/>
      <c r="H359" s="10"/>
      <c r="I359" s="10"/>
      <c r="J359" s="265"/>
      <c r="K359" s="24">
        <v>492</v>
      </c>
      <c r="L359" s="6">
        <v>495</v>
      </c>
      <c r="M359" s="270">
        <f t="shared" si="5"/>
        <v>-7</v>
      </c>
      <c r="N359" s="7"/>
      <c r="O359" s="277"/>
      <c r="P359" s="345"/>
      <c r="V359" s="383"/>
    </row>
    <row r="360" spans="1:22" ht="15" customHeight="1">
      <c r="A360" s="8">
        <v>36315</v>
      </c>
      <c r="B360" s="9"/>
      <c r="C360" s="9"/>
      <c r="D360" s="10"/>
      <c r="E360" s="10"/>
      <c r="F360" s="10">
        <v>123825</v>
      </c>
      <c r="G360" s="10"/>
      <c r="H360" s="10"/>
      <c r="I360" s="10"/>
      <c r="J360" s="265"/>
      <c r="K360" s="24">
        <v>498</v>
      </c>
      <c r="L360" s="6">
        <v>503.5</v>
      </c>
      <c r="M360" s="270">
        <f t="shared" si="5"/>
        <v>6</v>
      </c>
      <c r="N360" s="7"/>
      <c r="O360" s="277"/>
      <c r="P360" s="345"/>
      <c r="V360" s="383"/>
    </row>
    <row r="361" spans="1:22" ht="15" customHeight="1">
      <c r="A361" s="8">
        <v>36318</v>
      </c>
      <c r="B361" s="9"/>
      <c r="C361" s="9"/>
      <c r="D361" s="10"/>
      <c r="E361" s="10"/>
      <c r="F361" s="10">
        <v>124525</v>
      </c>
      <c r="G361" s="10"/>
      <c r="H361" s="10"/>
      <c r="I361" s="10"/>
      <c r="J361" s="265"/>
      <c r="K361" s="24">
        <v>487</v>
      </c>
      <c r="L361" s="6">
        <v>494</v>
      </c>
      <c r="M361" s="270">
        <f t="shared" si="5"/>
        <v>-11</v>
      </c>
      <c r="N361" s="7"/>
      <c r="O361" s="277"/>
      <c r="P361" s="345"/>
      <c r="V361" s="383"/>
    </row>
    <row r="362" spans="1:22" ht="15" customHeight="1">
      <c r="A362" s="8">
        <v>36319</v>
      </c>
      <c r="B362" s="9"/>
      <c r="C362" s="9"/>
      <c r="D362" s="10"/>
      <c r="E362" s="10"/>
      <c r="F362" s="10">
        <v>124500</v>
      </c>
      <c r="G362" s="10"/>
      <c r="H362" s="10"/>
      <c r="I362" s="10"/>
      <c r="J362" s="265"/>
      <c r="K362" s="24">
        <v>500.5</v>
      </c>
      <c r="L362" s="6">
        <v>507</v>
      </c>
      <c r="M362" s="270">
        <f t="shared" si="5"/>
        <v>13.5</v>
      </c>
      <c r="N362" s="7"/>
      <c r="O362" s="277"/>
      <c r="P362" s="345"/>
      <c r="V362" s="383"/>
    </row>
    <row r="363" spans="1:22" ht="15" customHeight="1">
      <c r="A363" s="8">
        <v>36320</v>
      </c>
      <c r="B363" s="9"/>
      <c r="C363" s="9"/>
      <c r="D363" s="10"/>
      <c r="E363" s="10"/>
      <c r="F363" s="10">
        <v>124925</v>
      </c>
      <c r="G363" s="10"/>
      <c r="H363" s="10"/>
      <c r="I363" s="10"/>
      <c r="J363" s="265"/>
      <c r="K363" s="24">
        <v>494.5</v>
      </c>
      <c r="L363" s="6">
        <v>502</v>
      </c>
      <c r="M363" s="270">
        <f t="shared" si="5"/>
        <v>-6</v>
      </c>
      <c r="N363" s="7"/>
      <c r="O363" s="277"/>
      <c r="P363" s="345"/>
      <c r="V363" s="383"/>
    </row>
    <row r="364" spans="1:22" ht="15" customHeight="1">
      <c r="A364" s="8">
        <v>36321</v>
      </c>
      <c r="B364" s="9"/>
      <c r="C364" s="9"/>
      <c r="D364" s="10"/>
      <c r="E364" s="10"/>
      <c r="F364" s="10">
        <v>125475</v>
      </c>
      <c r="G364" s="10"/>
      <c r="H364" s="10"/>
      <c r="I364" s="10"/>
      <c r="J364" s="265"/>
      <c r="K364" s="24">
        <v>495</v>
      </c>
      <c r="L364" s="6">
        <v>502</v>
      </c>
      <c r="M364" s="270">
        <f t="shared" si="5"/>
        <v>0.5</v>
      </c>
      <c r="N364" s="7"/>
      <c r="O364" s="277"/>
      <c r="P364" s="345"/>
      <c r="V364" s="383"/>
    </row>
    <row r="365" spans="1:22" ht="15" customHeight="1">
      <c r="A365" s="8">
        <v>36322</v>
      </c>
      <c r="B365" s="9"/>
      <c r="C365" s="9"/>
      <c r="D365" s="10"/>
      <c r="E365" s="10"/>
      <c r="F365" s="10">
        <v>125425</v>
      </c>
      <c r="G365" s="10"/>
      <c r="H365" s="10"/>
      <c r="I365" s="10"/>
      <c r="J365" s="265"/>
      <c r="K365" s="24">
        <v>494.5</v>
      </c>
      <c r="L365" s="6">
        <v>503.5</v>
      </c>
      <c r="M365" s="270">
        <f t="shared" si="5"/>
        <v>-0.5</v>
      </c>
      <c r="N365" s="7"/>
      <c r="O365" s="277"/>
      <c r="P365" s="345"/>
      <c r="V365" s="383"/>
    </row>
    <row r="366" spans="1:22" ht="15" customHeight="1">
      <c r="A366" s="8">
        <v>36325</v>
      </c>
      <c r="B366" s="9"/>
      <c r="C366" s="9"/>
      <c r="D366" s="10"/>
      <c r="E366" s="10"/>
      <c r="F366" s="10">
        <v>126050</v>
      </c>
      <c r="G366" s="10"/>
      <c r="H366" s="10"/>
      <c r="I366" s="10"/>
      <c r="J366" s="265"/>
      <c r="K366" s="24">
        <v>496</v>
      </c>
      <c r="L366" s="6">
        <v>508</v>
      </c>
      <c r="M366" s="270">
        <f t="shared" si="5"/>
        <v>1.5</v>
      </c>
      <c r="N366" s="7"/>
      <c r="O366" s="277"/>
      <c r="P366" s="345"/>
      <c r="V366" s="383"/>
    </row>
    <row r="367" spans="1:22" ht="15" customHeight="1">
      <c r="A367" s="8">
        <v>36326</v>
      </c>
      <c r="B367" s="9"/>
      <c r="C367" s="9"/>
      <c r="D367" s="10"/>
      <c r="E367" s="10"/>
      <c r="F367" s="10">
        <v>125950</v>
      </c>
      <c r="G367" s="10"/>
      <c r="H367" s="10"/>
      <c r="I367" s="10"/>
      <c r="J367" s="265"/>
      <c r="K367" s="24">
        <v>497</v>
      </c>
      <c r="L367" s="6">
        <v>507</v>
      </c>
      <c r="M367" s="270">
        <f t="shared" si="5"/>
        <v>1</v>
      </c>
      <c r="N367" s="7"/>
      <c r="O367" s="277"/>
      <c r="P367" s="345"/>
      <c r="V367" s="383"/>
    </row>
    <row r="368" spans="1:22" ht="15" customHeight="1">
      <c r="A368" s="8">
        <v>36327</v>
      </c>
      <c r="B368" s="9"/>
      <c r="C368" s="9"/>
      <c r="D368" s="10"/>
      <c r="E368" s="10"/>
      <c r="F368" s="10">
        <v>126750</v>
      </c>
      <c r="G368" s="10"/>
      <c r="H368" s="10"/>
      <c r="I368" s="10"/>
      <c r="J368" s="265"/>
      <c r="K368" s="24">
        <v>489.5</v>
      </c>
      <c r="L368" s="6">
        <v>501</v>
      </c>
      <c r="M368" s="270">
        <f t="shared" si="5"/>
        <v>-7.5</v>
      </c>
      <c r="N368" s="7"/>
      <c r="O368" s="277"/>
      <c r="P368" s="345"/>
      <c r="V368" s="383"/>
    </row>
    <row r="369" spans="1:22" ht="15" customHeight="1">
      <c r="A369" s="8">
        <v>36328</v>
      </c>
      <c r="B369" s="9"/>
      <c r="C369" s="9"/>
      <c r="D369" s="10"/>
      <c r="E369" s="10"/>
      <c r="F369" s="10">
        <v>129675</v>
      </c>
      <c r="G369" s="10"/>
      <c r="H369" s="10"/>
      <c r="I369" s="10"/>
      <c r="J369" s="265"/>
      <c r="K369" s="24">
        <v>492</v>
      </c>
      <c r="L369" s="6">
        <v>504</v>
      </c>
      <c r="M369" s="270">
        <f t="shared" si="5"/>
        <v>2.5</v>
      </c>
      <c r="N369" s="7"/>
      <c r="O369" s="277"/>
      <c r="P369" s="345"/>
      <c r="V369" s="383"/>
    </row>
    <row r="370" spans="1:22" ht="15" customHeight="1">
      <c r="A370" s="8">
        <v>36329</v>
      </c>
      <c r="B370" s="9"/>
      <c r="C370" s="9"/>
      <c r="D370" s="10"/>
      <c r="E370" s="10"/>
      <c r="F370" s="10">
        <v>132075</v>
      </c>
      <c r="G370" s="10"/>
      <c r="H370" s="10"/>
      <c r="I370" s="10"/>
      <c r="J370" s="265"/>
      <c r="K370" s="24">
        <v>501</v>
      </c>
      <c r="L370" s="6">
        <v>512</v>
      </c>
      <c r="M370" s="270">
        <f t="shared" si="5"/>
        <v>9</v>
      </c>
      <c r="N370" s="7"/>
      <c r="O370" s="277"/>
      <c r="P370" s="345"/>
      <c r="V370" s="383"/>
    </row>
    <row r="371" spans="1:22" ht="15" customHeight="1">
      <c r="A371" s="8">
        <v>36332</v>
      </c>
      <c r="B371" s="9"/>
      <c r="C371" s="9"/>
      <c r="D371" s="10"/>
      <c r="E371" s="10"/>
      <c r="F371" s="10">
        <v>131250</v>
      </c>
      <c r="G371" s="10"/>
      <c r="H371" s="10"/>
      <c r="I371" s="10"/>
      <c r="J371" s="265"/>
      <c r="K371" s="24">
        <v>502</v>
      </c>
      <c r="L371" s="6">
        <v>513.5</v>
      </c>
      <c r="M371" s="270">
        <f t="shared" si="5"/>
        <v>1</v>
      </c>
      <c r="N371" s="7"/>
      <c r="O371" s="277"/>
      <c r="P371" s="345"/>
      <c r="V371" s="383"/>
    </row>
    <row r="372" spans="1:22" ht="15" customHeight="1">
      <c r="A372" s="8">
        <v>36333</v>
      </c>
      <c r="B372" s="9"/>
      <c r="C372" s="9"/>
      <c r="D372" s="10"/>
      <c r="E372" s="10"/>
      <c r="F372" s="10">
        <v>130975</v>
      </c>
      <c r="G372" s="10"/>
      <c r="H372" s="10"/>
      <c r="I372" s="10"/>
      <c r="J372" s="265"/>
      <c r="K372" s="24">
        <v>495.5</v>
      </c>
      <c r="L372" s="6">
        <v>508</v>
      </c>
      <c r="M372" s="270">
        <f t="shared" si="5"/>
        <v>-6.5</v>
      </c>
      <c r="N372" s="7"/>
      <c r="O372" s="277"/>
      <c r="P372" s="345"/>
      <c r="V372" s="383"/>
    </row>
    <row r="373" spans="1:22" ht="15" customHeight="1">
      <c r="A373" s="8">
        <v>36334</v>
      </c>
      <c r="B373" s="9"/>
      <c r="C373" s="9"/>
      <c r="D373" s="10"/>
      <c r="E373" s="10"/>
      <c r="F373" s="10">
        <v>131300</v>
      </c>
      <c r="G373" s="10"/>
      <c r="H373" s="10"/>
      <c r="I373" s="10"/>
      <c r="J373" s="265"/>
      <c r="K373" s="24">
        <v>503</v>
      </c>
      <c r="L373" s="6">
        <v>514.5</v>
      </c>
      <c r="M373" s="270">
        <f t="shared" si="5"/>
        <v>7.5</v>
      </c>
      <c r="N373" s="7"/>
      <c r="O373" s="277"/>
      <c r="P373" s="345"/>
      <c r="V373" s="383"/>
    </row>
    <row r="374" spans="1:22" ht="15" customHeight="1">
      <c r="A374" s="8">
        <v>36335</v>
      </c>
      <c r="B374" s="9"/>
      <c r="C374" s="9"/>
      <c r="D374" s="10"/>
      <c r="E374" s="10"/>
      <c r="F374" s="10">
        <v>132000</v>
      </c>
      <c r="G374" s="10"/>
      <c r="H374" s="10"/>
      <c r="I374" s="10"/>
      <c r="J374" s="265"/>
      <c r="K374" s="24">
        <v>504.5</v>
      </c>
      <c r="L374" s="6">
        <v>517</v>
      </c>
      <c r="M374" s="270">
        <f t="shared" si="5"/>
        <v>1.5</v>
      </c>
      <c r="N374" s="7"/>
      <c r="O374" s="277"/>
      <c r="P374" s="345"/>
      <c r="V374" s="383"/>
    </row>
    <row r="375" spans="1:22" ht="15" customHeight="1">
      <c r="A375" s="8">
        <v>36336</v>
      </c>
      <c r="B375" s="9"/>
      <c r="C375" s="9"/>
      <c r="D375" s="10"/>
      <c r="E375" s="10"/>
      <c r="F375" s="10">
        <v>131925</v>
      </c>
      <c r="G375" s="10"/>
      <c r="H375" s="10"/>
      <c r="I375" s="10"/>
      <c r="J375" s="265"/>
      <c r="K375" s="24">
        <v>498</v>
      </c>
      <c r="L375" s="6">
        <v>510</v>
      </c>
      <c r="M375" s="270">
        <f t="shared" si="5"/>
        <v>-6.5</v>
      </c>
      <c r="N375" s="7"/>
      <c r="O375" s="277"/>
      <c r="P375" s="345"/>
      <c r="V375" s="383"/>
    </row>
    <row r="376" spans="1:22" ht="15" customHeight="1">
      <c r="A376" s="8">
        <v>36339</v>
      </c>
      <c r="B376" s="9"/>
      <c r="C376" s="9"/>
      <c r="D376" s="10"/>
      <c r="E376" s="10"/>
      <c r="F376" s="10">
        <v>132500</v>
      </c>
      <c r="G376" s="10"/>
      <c r="H376" s="10"/>
      <c r="I376" s="10"/>
      <c r="J376" s="265"/>
      <c r="K376" s="24">
        <v>499</v>
      </c>
      <c r="L376" s="6">
        <v>511</v>
      </c>
      <c r="M376" s="270">
        <f t="shared" si="5"/>
        <v>1</v>
      </c>
      <c r="N376" s="7"/>
      <c r="O376" s="277"/>
      <c r="P376" s="345"/>
      <c r="V376" s="383"/>
    </row>
    <row r="377" spans="1:22" ht="15" customHeight="1">
      <c r="A377" s="8">
        <v>36340</v>
      </c>
      <c r="B377" s="9"/>
      <c r="C377" s="9"/>
      <c r="D377" s="10"/>
      <c r="E377" s="10"/>
      <c r="F377" s="10">
        <v>132850</v>
      </c>
      <c r="G377" s="10"/>
      <c r="H377" s="10"/>
      <c r="I377" s="10"/>
      <c r="J377" s="265"/>
      <c r="K377" s="24">
        <v>495</v>
      </c>
      <c r="L377" s="6">
        <v>508</v>
      </c>
      <c r="M377" s="270">
        <f t="shared" si="5"/>
        <v>-4</v>
      </c>
      <c r="N377" s="7"/>
      <c r="O377" s="277"/>
      <c r="P377" s="345"/>
      <c r="V377" s="383"/>
    </row>
    <row r="378" spans="1:22" ht="15" customHeight="1">
      <c r="A378" s="8">
        <v>36341</v>
      </c>
      <c r="B378" s="9"/>
      <c r="C378" s="9"/>
      <c r="D378" s="10"/>
      <c r="E378" s="10"/>
      <c r="F378" s="10">
        <v>132825</v>
      </c>
      <c r="G378" s="10"/>
      <c r="H378" s="10"/>
      <c r="I378" s="10"/>
      <c r="J378" s="265"/>
      <c r="K378" s="24">
        <v>485.5</v>
      </c>
      <c r="L378" s="6">
        <v>498.5</v>
      </c>
      <c r="M378" s="270">
        <f t="shared" si="5"/>
        <v>-9.5</v>
      </c>
      <c r="N378" s="7"/>
      <c r="O378" s="277"/>
      <c r="P378" s="345"/>
      <c r="V378" s="383"/>
    </row>
    <row r="379" spans="1:22" ht="15" customHeight="1">
      <c r="A379" s="8">
        <v>36342</v>
      </c>
      <c r="B379" s="9"/>
      <c r="C379" s="9"/>
      <c r="D379" s="10"/>
      <c r="E379" s="10"/>
      <c r="F379" s="10">
        <v>133550</v>
      </c>
      <c r="G379" s="10"/>
      <c r="H379" s="10"/>
      <c r="I379" s="10"/>
      <c r="J379" s="265"/>
      <c r="K379" s="24">
        <v>490</v>
      </c>
      <c r="L379" s="6">
        <v>500</v>
      </c>
      <c r="M379" s="270">
        <f t="shared" si="5"/>
        <v>4.5</v>
      </c>
      <c r="N379" s="7"/>
      <c r="O379" s="277"/>
      <c r="P379" s="345"/>
      <c r="V379" s="383"/>
    </row>
    <row r="380" spans="1:22" ht="15" customHeight="1">
      <c r="A380" s="8">
        <v>36343</v>
      </c>
      <c r="B380" s="9"/>
      <c r="C380" s="9"/>
      <c r="D380" s="10"/>
      <c r="E380" s="10"/>
      <c r="F380" s="10">
        <v>133750</v>
      </c>
      <c r="G380" s="10"/>
      <c r="H380" s="10"/>
      <c r="I380" s="10"/>
      <c r="J380" s="265"/>
      <c r="K380" s="24">
        <v>489</v>
      </c>
      <c r="L380" s="6">
        <v>498</v>
      </c>
      <c r="M380" s="270">
        <f t="shared" si="5"/>
        <v>-1</v>
      </c>
      <c r="N380" s="7"/>
      <c r="O380" s="277"/>
      <c r="P380" s="345"/>
      <c r="V380" s="383"/>
    </row>
    <row r="381" spans="1:22" ht="15" customHeight="1">
      <c r="A381" s="8">
        <v>36346</v>
      </c>
      <c r="B381" s="9"/>
      <c r="C381" s="9"/>
      <c r="D381" s="10"/>
      <c r="E381" s="10"/>
      <c r="F381" s="10">
        <v>133700</v>
      </c>
      <c r="G381" s="10"/>
      <c r="H381" s="10"/>
      <c r="I381" s="10"/>
      <c r="J381" s="265"/>
      <c r="K381" s="24">
        <v>485.5</v>
      </c>
      <c r="L381" s="6">
        <v>495.5</v>
      </c>
      <c r="M381" s="270">
        <f t="shared" si="5"/>
        <v>-3.5</v>
      </c>
      <c r="N381" s="7"/>
      <c r="O381" s="277"/>
      <c r="P381" s="345"/>
      <c r="V381" s="383"/>
    </row>
    <row r="382" spans="1:22" ht="15" customHeight="1">
      <c r="A382" s="8">
        <v>36347</v>
      </c>
      <c r="B382" s="9"/>
      <c r="C382" s="9"/>
      <c r="D382" s="10"/>
      <c r="E382" s="10"/>
      <c r="F382" s="10">
        <v>133600</v>
      </c>
      <c r="G382" s="10"/>
      <c r="H382" s="10"/>
      <c r="I382" s="10"/>
      <c r="J382" s="265"/>
      <c r="K382" s="24">
        <v>493.5</v>
      </c>
      <c r="L382" s="6">
        <v>502.5</v>
      </c>
      <c r="M382" s="270">
        <f t="shared" si="5"/>
        <v>8</v>
      </c>
      <c r="N382" s="7"/>
      <c r="O382" s="277"/>
      <c r="P382" s="345"/>
      <c r="V382" s="383"/>
    </row>
    <row r="383" spans="1:22" ht="15" customHeight="1">
      <c r="A383" s="8">
        <v>36348</v>
      </c>
      <c r="B383" s="9"/>
      <c r="C383" s="9"/>
      <c r="D383" s="10"/>
      <c r="E383" s="10"/>
      <c r="F383" s="10">
        <v>133525</v>
      </c>
      <c r="G383" s="10"/>
      <c r="H383" s="10"/>
      <c r="I383" s="10"/>
      <c r="J383" s="265"/>
      <c r="K383" s="24">
        <v>485</v>
      </c>
      <c r="L383" s="6">
        <v>495.5</v>
      </c>
      <c r="M383" s="270">
        <f t="shared" si="5"/>
        <v>-8.5</v>
      </c>
      <c r="N383" s="7"/>
      <c r="O383" s="277"/>
      <c r="P383" s="345"/>
      <c r="V383" s="383"/>
    </row>
    <row r="384" spans="1:22" ht="15" customHeight="1">
      <c r="A384" s="8">
        <v>36349</v>
      </c>
      <c r="B384" s="9"/>
      <c r="C384" s="9"/>
      <c r="D384" s="10"/>
      <c r="E384" s="10"/>
      <c r="F384" s="10">
        <v>133475</v>
      </c>
      <c r="G384" s="10"/>
      <c r="H384" s="10"/>
      <c r="I384" s="10"/>
      <c r="J384" s="265"/>
      <c r="K384" s="24">
        <v>508</v>
      </c>
      <c r="L384" s="6">
        <v>513</v>
      </c>
      <c r="M384" s="270">
        <f t="shared" si="5"/>
        <v>23</v>
      </c>
      <c r="N384" s="7"/>
      <c r="O384" s="277"/>
      <c r="P384" s="345"/>
      <c r="V384" s="383"/>
    </row>
    <row r="385" spans="1:22" ht="15" customHeight="1">
      <c r="A385" s="8">
        <v>36350</v>
      </c>
      <c r="B385" s="9"/>
      <c r="C385" s="9"/>
      <c r="D385" s="10"/>
      <c r="E385" s="10"/>
      <c r="F385" s="10">
        <v>133200</v>
      </c>
      <c r="G385" s="10"/>
      <c r="H385" s="10"/>
      <c r="I385" s="10"/>
      <c r="J385" s="265"/>
      <c r="K385" s="24">
        <v>497</v>
      </c>
      <c r="L385" s="6">
        <v>505</v>
      </c>
      <c r="M385" s="270">
        <f t="shared" si="5"/>
        <v>-11</v>
      </c>
      <c r="N385" s="7"/>
      <c r="O385" s="277"/>
      <c r="P385" s="345"/>
      <c r="V385" s="383"/>
    </row>
    <row r="386" spans="1:22" ht="15" customHeight="1">
      <c r="A386" s="8">
        <v>36353</v>
      </c>
      <c r="B386" s="9"/>
      <c r="C386" s="9"/>
      <c r="D386" s="10"/>
      <c r="E386" s="10"/>
      <c r="F386" s="10">
        <v>132800</v>
      </c>
      <c r="G386" s="10"/>
      <c r="H386" s="10"/>
      <c r="I386" s="10"/>
      <c r="J386" s="265"/>
      <c r="K386" s="24">
        <v>500</v>
      </c>
      <c r="L386" s="6">
        <v>509</v>
      </c>
      <c r="M386" s="270">
        <f t="shared" si="5"/>
        <v>3</v>
      </c>
      <c r="N386" s="7"/>
      <c r="O386" s="277"/>
      <c r="P386" s="345"/>
      <c r="V386" s="383"/>
    </row>
    <row r="387" spans="1:22" ht="15" customHeight="1">
      <c r="A387" s="8">
        <v>36354</v>
      </c>
      <c r="B387" s="9"/>
      <c r="C387" s="9"/>
      <c r="D387" s="10"/>
      <c r="E387" s="10"/>
      <c r="F387" s="10">
        <v>132450</v>
      </c>
      <c r="G387" s="10"/>
      <c r="H387" s="10"/>
      <c r="I387" s="10"/>
      <c r="J387" s="265"/>
      <c r="K387" s="24">
        <v>498.5</v>
      </c>
      <c r="L387" s="6">
        <v>507.5</v>
      </c>
      <c r="M387" s="270">
        <f t="shared" si="5"/>
        <v>-1.5</v>
      </c>
      <c r="N387" s="7"/>
      <c r="O387" s="277"/>
      <c r="P387" s="345"/>
      <c r="V387" s="383"/>
    </row>
    <row r="388" spans="1:22" ht="15" customHeight="1">
      <c r="A388" s="8">
        <v>36355</v>
      </c>
      <c r="B388" s="9"/>
      <c r="C388" s="9"/>
      <c r="D388" s="10"/>
      <c r="E388" s="10"/>
      <c r="F388" s="10">
        <v>132375</v>
      </c>
      <c r="G388" s="10"/>
      <c r="H388" s="10"/>
      <c r="I388" s="10"/>
      <c r="J388" s="265"/>
      <c r="K388" s="24">
        <v>511.5</v>
      </c>
      <c r="L388" s="6">
        <v>520.5</v>
      </c>
      <c r="M388" s="270">
        <f t="shared" si="5"/>
        <v>13</v>
      </c>
      <c r="N388" s="7"/>
      <c r="O388" s="277"/>
      <c r="P388" s="345"/>
      <c r="V388" s="383"/>
    </row>
    <row r="389" spans="1:22" ht="15" customHeight="1">
      <c r="A389" s="8">
        <v>36356</v>
      </c>
      <c r="B389" s="9"/>
      <c r="C389" s="9"/>
      <c r="D389" s="10"/>
      <c r="E389" s="10"/>
      <c r="F389" s="10">
        <v>132300</v>
      </c>
      <c r="G389" s="10"/>
      <c r="H389" s="10"/>
      <c r="I389" s="10"/>
      <c r="J389" s="265"/>
      <c r="K389" s="24">
        <v>518.5</v>
      </c>
      <c r="L389" s="6">
        <v>529</v>
      </c>
      <c r="M389" s="270">
        <f t="shared" ref="M389:M452" si="6">+K389-K388</f>
        <v>7</v>
      </c>
      <c r="N389" s="7"/>
      <c r="O389" s="277"/>
      <c r="P389" s="345"/>
      <c r="V389" s="383"/>
    </row>
    <row r="390" spans="1:22" ht="15" customHeight="1">
      <c r="A390" s="8">
        <v>36357</v>
      </c>
      <c r="B390" s="9"/>
      <c r="C390" s="9"/>
      <c r="D390" s="10"/>
      <c r="E390" s="10"/>
      <c r="F390" s="10">
        <v>132300</v>
      </c>
      <c r="G390" s="10"/>
      <c r="H390" s="10"/>
      <c r="I390" s="10"/>
      <c r="J390" s="265"/>
      <c r="K390" s="24">
        <v>505</v>
      </c>
      <c r="L390" s="6">
        <v>513.5</v>
      </c>
      <c r="M390" s="270">
        <f t="shared" si="6"/>
        <v>-13.5</v>
      </c>
      <c r="N390" s="7"/>
      <c r="O390" s="277"/>
      <c r="P390" s="345"/>
      <c r="V390" s="383"/>
    </row>
    <row r="391" spans="1:22" ht="15" customHeight="1">
      <c r="A391" s="8">
        <v>36360</v>
      </c>
      <c r="B391" s="9"/>
      <c r="C391" s="9"/>
      <c r="D391" s="10"/>
      <c r="E391" s="10"/>
      <c r="F391" s="10">
        <v>132175</v>
      </c>
      <c r="G391" s="10"/>
      <c r="H391" s="10"/>
      <c r="I391" s="10"/>
      <c r="J391" s="265"/>
      <c r="K391" s="24">
        <v>498</v>
      </c>
      <c r="L391" s="6">
        <v>508.5</v>
      </c>
      <c r="M391" s="270">
        <f t="shared" si="6"/>
        <v>-7</v>
      </c>
      <c r="N391" s="7"/>
      <c r="O391" s="277"/>
      <c r="P391" s="345"/>
      <c r="V391" s="383"/>
    </row>
    <row r="392" spans="1:22" ht="15" customHeight="1">
      <c r="A392" s="8">
        <v>36361</v>
      </c>
      <c r="B392" s="9"/>
      <c r="C392" s="9"/>
      <c r="D392" s="10"/>
      <c r="E392" s="10"/>
      <c r="F392" s="10">
        <v>132175</v>
      </c>
      <c r="G392" s="10"/>
      <c r="H392" s="10"/>
      <c r="I392" s="10"/>
      <c r="J392" s="265"/>
      <c r="K392" s="24">
        <v>501</v>
      </c>
      <c r="L392" s="6">
        <v>513.5</v>
      </c>
      <c r="M392" s="270">
        <f t="shared" si="6"/>
        <v>3</v>
      </c>
      <c r="N392" s="7"/>
      <c r="O392" s="277"/>
      <c r="P392" s="345"/>
      <c r="V392" s="383"/>
    </row>
    <row r="393" spans="1:22" ht="15" customHeight="1">
      <c r="A393" s="8">
        <v>36362</v>
      </c>
      <c r="B393" s="9"/>
      <c r="C393" s="9"/>
      <c r="D393" s="10"/>
      <c r="E393" s="10"/>
      <c r="F393" s="10">
        <v>134525</v>
      </c>
      <c r="G393" s="10"/>
      <c r="H393" s="10"/>
      <c r="I393" s="10"/>
      <c r="J393" s="265"/>
      <c r="K393" s="24">
        <v>496</v>
      </c>
      <c r="L393" s="6">
        <v>505</v>
      </c>
      <c r="M393" s="270">
        <f t="shared" si="6"/>
        <v>-5</v>
      </c>
      <c r="N393" s="7"/>
      <c r="O393" s="277"/>
      <c r="P393" s="345"/>
      <c r="V393" s="383"/>
    </row>
    <row r="394" spans="1:22" ht="15" customHeight="1">
      <c r="A394" s="8">
        <v>36363</v>
      </c>
      <c r="B394" s="9"/>
      <c r="C394" s="9"/>
      <c r="D394" s="10"/>
      <c r="E394" s="10"/>
      <c r="F394" s="10">
        <v>137250</v>
      </c>
      <c r="G394" s="10"/>
      <c r="H394" s="10"/>
      <c r="I394" s="10"/>
      <c r="J394" s="265"/>
      <c r="K394" s="24">
        <v>490.5</v>
      </c>
      <c r="L394" s="6">
        <v>502</v>
      </c>
      <c r="M394" s="270">
        <f t="shared" si="6"/>
        <v>-5.5</v>
      </c>
      <c r="N394" s="7"/>
      <c r="O394" s="277"/>
      <c r="P394" s="345"/>
      <c r="V394" s="383"/>
    </row>
    <row r="395" spans="1:22" ht="15" customHeight="1">
      <c r="A395" s="8">
        <v>36364</v>
      </c>
      <c r="B395" s="9"/>
      <c r="C395" s="9"/>
      <c r="D395" s="10"/>
      <c r="E395" s="10"/>
      <c r="F395" s="10">
        <v>137050</v>
      </c>
      <c r="G395" s="10"/>
      <c r="H395" s="10"/>
      <c r="I395" s="10"/>
      <c r="J395" s="265"/>
      <c r="K395" s="24">
        <v>491.5</v>
      </c>
      <c r="L395" s="6">
        <v>503.5</v>
      </c>
      <c r="M395" s="270">
        <f t="shared" si="6"/>
        <v>1</v>
      </c>
      <c r="N395" s="7"/>
      <c r="O395" s="277"/>
      <c r="P395" s="345"/>
      <c r="V395" s="383"/>
    </row>
    <row r="396" spans="1:22" ht="15" customHeight="1">
      <c r="A396" s="8">
        <v>36367</v>
      </c>
      <c r="B396" s="9"/>
      <c r="C396" s="9"/>
      <c r="D396" s="10"/>
      <c r="E396" s="10"/>
      <c r="F396" s="10">
        <v>137000</v>
      </c>
      <c r="G396" s="10"/>
      <c r="H396" s="10"/>
      <c r="I396" s="10"/>
      <c r="J396" s="265"/>
      <c r="K396" s="24">
        <v>489</v>
      </c>
      <c r="L396" s="6">
        <v>500</v>
      </c>
      <c r="M396" s="270">
        <f t="shared" si="6"/>
        <v>-2.5</v>
      </c>
      <c r="N396" s="7"/>
      <c r="O396" s="277"/>
      <c r="P396" s="345"/>
      <c r="V396" s="383"/>
    </row>
    <row r="397" spans="1:22" ht="15" customHeight="1">
      <c r="A397" s="8">
        <v>36368</v>
      </c>
      <c r="B397" s="9"/>
      <c r="C397" s="9"/>
      <c r="D397" s="10"/>
      <c r="E397" s="10"/>
      <c r="F397" s="10">
        <v>137600</v>
      </c>
      <c r="G397" s="10"/>
      <c r="H397" s="10"/>
      <c r="I397" s="10"/>
      <c r="J397" s="265"/>
      <c r="K397" s="24">
        <v>492.5</v>
      </c>
      <c r="L397" s="6">
        <v>503.5</v>
      </c>
      <c r="M397" s="270">
        <f t="shared" si="6"/>
        <v>3.5</v>
      </c>
      <c r="N397" s="7"/>
      <c r="O397" s="277"/>
      <c r="P397" s="345"/>
      <c r="V397" s="383"/>
    </row>
    <row r="398" spans="1:22" ht="15" customHeight="1">
      <c r="A398" s="8">
        <v>36369</v>
      </c>
      <c r="B398" s="9"/>
      <c r="C398" s="9"/>
      <c r="D398" s="10"/>
      <c r="E398" s="10"/>
      <c r="F398" s="10">
        <v>137300</v>
      </c>
      <c r="G398" s="10"/>
      <c r="H398" s="10"/>
      <c r="I398" s="10"/>
      <c r="J398" s="265"/>
      <c r="K398" s="24">
        <v>484</v>
      </c>
      <c r="L398" s="6">
        <v>497.5</v>
      </c>
      <c r="M398" s="270">
        <f t="shared" si="6"/>
        <v>-8.5</v>
      </c>
      <c r="N398" s="7"/>
      <c r="O398" s="277"/>
      <c r="P398" s="345"/>
      <c r="V398" s="383"/>
    </row>
    <row r="399" spans="1:22" ht="15" customHeight="1">
      <c r="A399" s="8">
        <v>36370</v>
      </c>
      <c r="B399" s="9"/>
      <c r="C399" s="9"/>
      <c r="D399" s="10"/>
      <c r="E399" s="10"/>
      <c r="F399" s="10">
        <v>137075</v>
      </c>
      <c r="G399" s="10"/>
      <c r="H399" s="10"/>
      <c r="I399" s="10"/>
      <c r="J399" s="265"/>
      <c r="K399" s="24">
        <v>492</v>
      </c>
      <c r="L399" s="6">
        <v>503</v>
      </c>
      <c r="M399" s="270">
        <f t="shared" si="6"/>
        <v>8</v>
      </c>
      <c r="N399" s="7"/>
      <c r="O399" s="277"/>
      <c r="P399" s="345"/>
      <c r="V399" s="383"/>
    </row>
    <row r="400" spans="1:22" ht="15" customHeight="1">
      <c r="A400" s="8">
        <v>36371</v>
      </c>
      <c r="B400" s="9"/>
      <c r="C400" s="9"/>
      <c r="D400" s="10"/>
      <c r="E400" s="10"/>
      <c r="F400" s="10">
        <v>137675</v>
      </c>
      <c r="G400" s="10"/>
      <c r="H400" s="10"/>
      <c r="I400" s="10"/>
      <c r="J400" s="265"/>
      <c r="K400" s="24">
        <v>491.5</v>
      </c>
      <c r="L400" s="6">
        <v>503.5</v>
      </c>
      <c r="M400" s="270">
        <f t="shared" si="6"/>
        <v>-0.5</v>
      </c>
      <c r="N400" s="7"/>
      <c r="O400" s="277"/>
      <c r="P400" s="345"/>
      <c r="V400" s="383"/>
    </row>
    <row r="401" spans="1:22" ht="15" customHeight="1">
      <c r="A401" s="8">
        <v>36374</v>
      </c>
      <c r="B401" s="9"/>
      <c r="C401" s="9"/>
      <c r="D401" s="10"/>
      <c r="E401" s="10"/>
      <c r="F401" s="10">
        <v>138550</v>
      </c>
      <c r="G401" s="10"/>
      <c r="H401" s="10"/>
      <c r="I401" s="10"/>
      <c r="J401" s="265"/>
      <c r="K401" s="24">
        <v>489</v>
      </c>
      <c r="L401" s="6">
        <v>502.5</v>
      </c>
      <c r="M401" s="270">
        <f t="shared" si="6"/>
        <v>-2.5</v>
      </c>
      <c r="N401" s="7"/>
      <c r="O401" s="277"/>
      <c r="P401" s="345"/>
      <c r="V401" s="383"/>
    </row>
    <row r="402" spans="1:22" ht="15" customHeight="1">
      <c r="A402" s="8">
        <v>36375</v>
      </c>
      <c r="B402" s="9"/>
      <c r="C402" s="9"/>
      <c r="D402" s="10"/>
      <c r="E402" s="10"/>
      <c r="F402" s="10">
        <v>138450</v>
      </c>
      <c r="G402" s="10"/>
      <c r="H402" s="10"/>
      <c r="I402" s="10"/>
      <c r="J402" s="265"/>
      <c r="K402" s="24">
        <v>487</v>
      </c>
      <c r="L402" s="6">
        <v>498.5</v>
      </c>
      <c r="M402" s="270">
        <f t="shared" si="6"/>
        <v>-2</v>
      </c>
      <c r="N402" s="7"/>
      <c r="O402" s="277"/>
      <c r="P402" s="345"/>
      <c r="V402" s="383"/>
    </row>
    <row r="403" spans="1:22" ht="15" customHeight="1">
      <c r="A403" s="8">
        <v>36376</v>
      </c>
      <c r="B403" s="9"/>
      <c r="C403" s="9"/>
      <c r="D403" s="10"/>
      <c r="E403" s="10"/>
      <c r="F403" s="10">
        <v>138425</v>
      </c>
      <c r="G403" s="10"/>
      <c r="H403" s="10"/>
      <c r="I403" s="10"/>
      <c r="J403" s="265"/>
      <c r="K403" s="24">
        <v>483.5</v>
      </c>
      <c r="L403" s="6">
        <v>496</v>
      </c>
      <c r="M403" s="270">
        <f t="shared" si="6"/>
        <v>-3.5</v>
      </c>
      <c r="N403" s="7"/>
      <c r="O403" s="277"/>
      <c r="P403" s="345"/>
      <c r="V403" s="383"/>
    </row>
    <row r="404" spans="1:22" ht="15" customHeight="1">
      <c r="A404" s="8">
        <v>36377</v>
      </c>
      <c r="B404" s="9"/>
      <c r="C404" s="9"/>
      <c r="D404" s="10"/>
      <c r="E404" s="10"/>
      <c r="F404" s="10">
        <v>138400</v>
      </c>
      <c r="G404" s="10"/>
      <c r="H404" s="10"/>
      <c r="I404" s="10"/>
      <c r="J404" s="265"/>
      <c r="K404" s="24">
        <v>490</v>
      </c>
      <c r="L404" s="6">
        <v>500.5</v>
      </c>
      <c r="M404" s="270">
        <f t="shared" si="6"/>
        <v>6.5</v>
      </c>
      <c r="N404" s="7"/>
      <c r="O404" s="277"/>
      <c r="P404" s="345"/>
      <c r="V404" s="383"/>
    </row>
    <row r="405" spans="1:22" ht="15" customHeight="1">
      <c r="A405" s="8">
        <v>36378</v>
      </c>
      <c r="B405" s="9"/>
      <c r="C405" s="9"/>
      <c r="D405" s="10"/>
      <c r="E405" s="10"/>
      <c r="F405" s="10">
        <v>138400</v>
      </c>
      <c r="G405" s="10"/>
      <c r="H405" s="10"/>
      <c r="I405" s="10"/>
      <c r="J405" s="265"/>
      <c r="K405" s="24">
        <v>489.5</v>
      </c>
      <c r="L405" s="6">
        <v>500.5</v>
      </c>
      <c r="M405" s="270">
        <f t="shared" si="6"/>
        <v>-0.5</v>
      </c>
      <c r="N405" s="7"/>
      <c r="O405" s="277"/>
      <c r="P405" s="345"/>
      <c r="V405" s="383"/>
    </row>
    <row r="406" spans="1:22" ht="15" customHeight="1">
      <c r="A406" s="8">
        <v>36381</v>
      </c>
      <c r="B406" s="9"/>
      <c r="C406" s="9"/>
      <c r="D406" s="10"/>
      <c r="E406" s="10"/>
      <c r="F406" s="10">
        <v>138300</v>
      </c>
      <c r="G406" s="10"/>
      <c r="H406" s="10"/>
      <c r="I406" s="10"/>
      <c r="J406" s="265"/>
      <c r="K406" s="24">
        <v>494</v>
      </c>
      <c r="L406" s="6">
        <v>501.5</v>
      </c>
      <c r="M406" s="270">
        <f t="shared" si="6"/>
        <v>4.5</v>
      </c>
      <c r="N406" s="7"/>
      <c r="O406" s="277"/>
      <c r="P406" s="345"/>
      <c r="V406" s="383"/>
    </row>
    <row r="407" spans="1:22" ht="15" customHeight="1">
      <c r="A407" s="8">
        <v>36382</v>
      </c>
      <c r="B407" s="9"/>
      <c r="C407" s="9"/>
      <c r="D407" s="10"/>
      <c r="E407" s="10"/>
      <c r="F407" s="10">
        <v>138200</v>
      </c>
      <c r="G407" s="10"/>
      <c r="H407" s="10"/>
      <c r="I407" s="10"/>
      <c r="J407" s="265"/>
      <c r="K407" s="24">
        <v>502</v>
      </c>
      <c r="L407" s="6">
        <v>508</v>
      </c>
      <c r="M407" s="270">
        <f t="shared" si="6"/>
        <v>8</v>
      </c>
      <c r="N407" s="7"/>
      <c r="O407" s="277"/>
      <c r="P407" s="345"/>
      <c r="V407" s="383"/>
    </row>
    <row r="408" spans="1:22" ht="15" customHeight="1">
      <c r="A408" s="8">
        <v>36383</v>
      </c>
      <c r="B408" s="9"/>
      <c r="C408" s="9"/>
      <c r="D408" s="10"/>
      <c r="E408" s="10"/>
      <c r="F408" s="10">
        <v>138175</v>
      </c>
      <c r="G408" s="10"/>
      <c r="H408" s="10"/>
      <c r="I408" s="10"/>
      <c r="J408" s="265"/>
      <c r="K408" s="24">
        <v>507</v>
      </c>
      <c r="L408" s="6">
        <v>509.5</v>
      </c>
      <c r="M408" s="270">
        <f t="shared" si="6"/>
        <v>5</v>
      </c>
      <c r="N408" s="7"/>
      <c r="O408" s="277"/>
      <c r="P408" s="345"/>
      <c r="V408" s="383"/>
    </row>
    <row r="409" spans="1:22" ht="15" customHeight="1">
      <c r="A409" s="8">
        <v>36384</v>
      </c>
      <c r="B409" s="9"/>
      <c r="C409" s="9"/>
      <c r="D409" s="10"/>
      <c r="E409" s="10"/>
      <c r="F409" s="10">
        <v>138250</v>
      </c>
      <c r="G409" s="10"/>
      <c r="H409" s="10"/>
      <c r="I409" s="10"/>
      <c r="J409" s="265"/>
      <c r="K409" s="24">
        <v>502.5</v>
      </c>
      <c r="L409" s="6">
        <v>507</v>
      </c>
      <c r="M409" s="270">
        <f t="shared" si="6"/>
        <v>-4.5</v>
      </c>
      <c r="N409" s="7"/>
      <c r="O409" s="277"/>
      <c r="P409" s="345"/>
      <c r="V409" s="383"/>
    </row>
    <row r="410" spans="1:22" ht="15" customHeight="1">
      <c r="A410" s="8">
        <v>36385</v>
      </c>
      <c r="B410" s="9"/>
      <c r="C410" s="9"/>
      <c r="D410" s="10"/>
      <c r="E410" s="10"/>
      <c r="F410" s="10">
        <v>138450</v>
      </c>
      <c r="G410" s="10"/>
      <c r="H410" s="10"/>
      <c r="I410" s="10"/>
      <c r="J410" s="265"/>
      <c r="K410" s="24">
        <v>498</v>
      </c>
      <c r="L410" s="6">
        <v>506.5</v>
      </c>
      <c r="M410" s="270">
        <f t="shared" si="6"/>
        <v>-4.5</v>
      </c>
      <c r="N410" s="7"/>
      <c r="O410" s="277"/>
      <c r="P410" s="345"/>
      <c r="V410" s="383"/>
    </row>
    <row r="411" spans="1:22" ht="15" customHeight="1">
      <c r="A411" s="8">
        <v>36388</v>
      </c>
      <c r="B411" s="9"/>
      <c r="C411" s="9"/>
      <c r="D411" s="10"/>
      <c r="E411" s="10"/>
      <c r="F411" s="10">
        <v>137775</v>
      </c>
      <c r="G411" s="10"/>
      <c r="H411" s="10"/>
      <c r="I411" s="10"/>
      <c r="J411" s="265"/>
      <c r="K411" s="24">
        <v>495.5</v>
      </c>
      <c r="L411" s="6">
        <v>505.5</v>
      </c>
      <c r="M411" s="270">
        <f t="shared" si="6"/>
        <v>-2.5</v>
      </c>
      <c r="N411" s="7"/>
      <c r="O411" s="277"/>
      <c r="P411" s="345"/>
      <c r="V411" s="383"/>
    </row>
    <row r="412" spans="1:22" ht="15" customHeight="1">
      <c r="A412" s="8">
        <v>36389</v>
      </c>
      <c r="B412" s="9"/>
      <c r="C412" s="9"/>
      <c r="D412" s="10"/>
      <c r="E412" s="10"/>
      <c r="F412" s="10">
        <v>137425</v>
      </c>
      <c r="G412" s="10"/>
      <c r="H412" s="10"/>
      <c r="I412" s="10"/>
      <c r="J412" s="265"/>
      <c r="K412" s="24">
        <v>505</v>
      </c>
      <c r="L412" s="6">
        <v>513.5</v>
      </c>
      <c r="M412" s="270">
        <f t="shared" si="6"/>
        <v>9.5</v>
      </c>
      <c r="N412" s="7"/>
      <c r="O412" s="277"/>
      <c r="P412" s="345"/>
      <c r="V412" s="383"/>
    </row>
    <row r="413" spans="1:22" ht="15" customHeight="1">
      <c r="A413" s="8">
        <v>36390</v>
      </c>
      <c r="B413" s="9"/>
      <c r="C413" s="9"/>
      <c r="D413" s="10"/>
      <c r="E413" s="10"/>
      <c r="F413" s="10">
        <v>137350</v>
      </c>
      <c r="G413" s="10"/>
      <c r="H413" s="10"/>
      <c r="I413" s="10"/>
      <c r="J413" s="265"/>
      <c r="K413" s="24">
        <v>508</v>
      </c>
      <c r="L413" s="6">
        <v>517</v>
      </c>
      <c r="M413" s="270">
        <f t="shared" si="6"/>
        <v>3</v>
      </c>
      <c r="N413" s="7"/>
      <c r="O413" s="277"/>
      <c r="P413" s="345"/>
      <c r="V413" s="383"/>
    </row>
    <row r="414" spans="1:22" ht="15" customHeight="1">
      <c r="A414" s="8">
        <v>36391</v>
      </c>
      <c r="B414" s="9"/>
      <c r="C414" s="9"/>
      <c r="D414" s="10"/>
      <c r="E414" s="10"/>
      <c r="F414" s="10">
        <v>138250</v>
      </c>
      <c r="G414" s="10"/>
      <c r="H414" s="10"/>
      <c r="I414" s="10"/>
      <c r="J414" s="265"/>
      <c r="K414" s="24">
        <v>506.5</v>
      </c>
      <c r="L414" s="6">
        <v>515</v>
      </c>
      <c r="M414" s="270">
        <f t="shared" si="6"/>
        <v>-1.5</v>
      </c>
      <c r="N414" s="7"/>
      <c r="O414" s="277"/>
      <c r="P414" s="345"/>
      <c r="V414" s="383"/>
    </row>
    <row r="415" spans="1:22" ht="15" customHeight="1">
      <c r="A415" s="8">
        <v>36392</v>
      </c>
      <c r="B415" s="9"/>
      <c r="C415" s="9"/>
      <c r="D415" s="10"/>
      <c r="E415" s="10"/>
      <c r="F415" s="10">
        <v>138100</v>
      </c>
      <c r="G415" s="10"/>
      <c r="H415" s="10"/>
      <c r="I415" s="10"/>
      <c r="J415" s="265"/>
      <c r="K415" s="24">
        <v>512</v>
      </c>
      <c r="L415" s="6">
        <v>515</v>
      </c>
      <c r="M415" s="270">
        <f t="shared" si="6"/>
        <v>5.5</v>
      </c>
      <c r="N415" s="7"/>
      <c r="O415" s="277"/>
      <c r="P415" s="345"/>
      <c r="V415" s="383"/>
    </row>
    <row r="416" spans="1:22" ht="15" customHeight="1">
      <c r="A416" s="8">
        <v>36395</v>
      </c>
      <c r="B416" s="9"/>
      <c r="C416" s="9"/>
      <c r="D416" s="10"/>
      <c r="E416" s="10"/>
      <c r="F416" s="10">
        <v>137950</v>
      </c>
      <c r="G416" s="10"/>
      <c r="H416" s="10"/>
      <c r="I416" s="10"/>
      <c r="J416" s="265"/>
      <c r="K416" s="24">
        <v>515</v>
      </c>
      <c r="L416" s="6">
        <v>515.5</v>
      </c>
      <c r="M416" s="270">
        <f t="shared" si="6"/>
        <v>3</v>
      </c>
      <c r="N416" s="7"/>
      <c r="O416" s="277"/>
      <c r="P416" s="345"/>
      <c r="V416" s="383"/>
    </row>
    <row r="417" spans="1:22" ht="15" customHeight="1">
      <c r="A417" s="8">
        <v>36396</v>
      </c>
      <c r="B417" s="9"/>
      <c r="C417" s="9"/>
      <c r="D417" s="10"/>
      <c r="E417" s="10"/>
      <c r="F417" s="10">
        <v>137875</v>
      </c>
      <c r="G417" s="10"/>
      <c r="H417" s="10"/>
      <c r="I417" s="10"/>
      <c r="J417" s="265"/>
      <c r="K417" s="24">
        <v>514.5</v>
      </c>
      <c r="L417" s="6">
        <v>517.5</v>
      </c>
      <c r="M417" s="270">
        <f t="shared" si="6"/>
        <v>-0.5</v>
      </c>
      <c r="N417" s="7"/>
      <c r="O417" s="277"/>
      <c r="P417" s="345"/>
      <c r="V417" s="383"/>
    </row>
    <row r="418" spans="1:22" ht="15" customHeight="1">
      <c r="A418" s="8">
        <v>36397</v>
      </c>
      <c r="B418" s="9"/>
      <c r="C418" s="9"/>
      <c r="D418" s="10"/>
      <c r="E418" s="10"/>
      <c r="F418" s="10">
        <v>137700</v>
      </c>
      <c r="G418" s="10"/>
      <c r="H418" s="10"/>
      <c r="I418" s="10"/>
      <c r="J418" s="265"/>
      <c r="K418" s="24">
        <v>514</v>
      </c>
      <c r="L418" s="6">
        <v>524.5</v>
      </c>
      <c r="M418" s="270">
        <f t="shared" si="6"/>
        <v>-0.5</v>
      </c>
      <c r="N418" s="7"/>
      <c r="O418" s="277"/>
      <c r="P418" s="345"/>
      <c r="V418" s="383"/>
    </row>
    <row r="419" spans="1:22" ht="15" customHeight="1">
      <c r="A419" s="8">
        <v>36398</v>
      </c>
      <c r="B419" s="9"/>
      <c r="C419" s="9"/>
      <c r="D419" s="10"/>
      <c r="E419" s="10"/>
      <c r="F419" s="10">
        <v>137550</v>
      </c>
      <c r="G419" s="10"/>
      <c r="H419" s="10"/>
      <c r="I419" s="10"/>
      <c r="J419" s="265"/>
      <c r="K419" s="24">
        <v>512</v>
      </c>
      <c r="L419" s="6">
        <v>520.5</v>
      </c>
      <c r="M419" s="270">
        <f t="shared" si="6"/>
        <v>-2</v>
      </c>
      <c r="N419" s="7"/>
      <c r="O419" s="277"/>
      <c r="P419" s="345"/>
      <c r="V419" s="383"/>
    </row>
    <row r="420" spans="1:22" ht="15" customHeight="1">
      <c r="A420" s="8">
        <v>36399</v>
      </c>
      <c r="B420" s="9"/>
      <c r="C420" s="9"/>
      <c r="D420" s="10"/>
      <c r="E420" s="10"/>
      <c r="F420" s="10">
        <v>137325</v>
      </c>
      <c r="G420" s="10"/>
      <c r="H420" s="10"/>
      <c r="I420" s="10"/>
      <c r="J420" s="265"/>
      <c r="K420" s="24">
        <v>520</v>
      </c>
      <c r="L420" s="6">
        <v>527.5</v>
      </c>
      <c r="M420" s="270">
        <f t="shared" si="6"/>
        <v>8</v>
      </c>
      <c r="N420" s="7"/>
      <c r="O420" s="277"/>
      <c r="P420" s="345"/>
      <c r="V420" s="383"/>
    </row>
    <row r="421" spans="1:22" ht="15" customHeight="1">
      <c r="A421" s="8">
        <v>36403</v>
      </c>
      <c r="B421" s="9"/>
      <c r="C421" s="9"/>
      <c r="D421" s="10"/>
      <c r="E421" s="10"/>
      <c r="F421" s="10">
        <v>136700</v>
      </c>
      <c r="G421" s="10"/>
      <c r="H421" s="10"/>
      <c r="I421" s="10"/>
      <c r="J421" s="265"/>
      <c r="K421" s="24">
        <v>519.5</v>
      </c>
      <c r="L421" s="6">
        <v>530</v>
      </c>
      <c r="M421" s="270">
        <f t="shared" si="6"/>
        <v>-0.5</v>
      </c>
      <c r="N421" s="7"/>
      <c r="O421" s="277"/>
      <c r="P421" s="345"/>
      <c r="V421" s="383"/>
    </row>
    <row r="422" spans="1:22" ht="15" customHeight="1">
      <c r="A422" s="8">
        <v>36404</v>
      </c>
      <c r="B422" s="9"/>
      <c r="C422" s="9"/>
      <c r="D422" s="10"/>
      <c r="E422" s="10"/>
      <c r="F422" s="10">
        <v>136300</v>
      </c>
      <c r="G422" s="10"/>
      <c r="H422" s="10"/>
      <c r="I422" s="10"/>
      <c r="J422" s="265"/>
      <c r="K422" s="24">
        <v>524.5</v>
      </c>
      <c r="L422" s="6">
        <v>538</v>
      </c>
      <c r="M422" s="270">
        <f t="shared" si="6"/>
        <v>5</v>
      </c>
      <c r="N422" s="7"/>
      <c r="O422" s="277"/>
      <c r="P422" s="345"/>
      <c r="V422" s="383"/>
    </row>
    <row r="423" spans="1:22" ht="15" customHeight="1">
      <c r="A423" s="8">
        <v>36405</v>
      </c>
      <c r="B423" s="9"/>
      <c r="C423" s="9"/>
      <c r="D423" s="10"/>
      <c r="E423" s="10"/>
      <c r="F423" s="10">
        <v>135675</v>
      </c>
      <c r="G423" s="10"/>
      <c r="H423" s="10"/>
      <c r="I423" s="10"/>
      <c r="J423" s="265"/>
      <c r="K423" s="24">
        <v>517</v>
      </c>
      <c r="L423" s="6">
        <v>528.5</v>
      </c>
      <c r="M423" s="270">
        <f t="shared" si="6"/>
        <v>-7.5</v>
      </c>
      <c r="N423" s="7"/>
      <c r="O423" s="277"/>
      <c r="P423" s="345"/>
      <c r="V423" s="383"/>
    </row>
    <row r="424" spans="1:22" ht="15" customHeight="1">
      <c r="A424" s="8">
        <v>36406</v>
      </c>
      <c r="B424" s="9"/>
      <c r="C424" s="9"/>
      <c r="D424" s="10"/>
      <c r="E424" s="10"/>
      <c r="F424" s="10">
        <v>135650</v>
      </c>
      <c r="G424" s="10"/>
      <c r="H424" s="10"/>
      <c r="I424" s="10"/>
      <c r="J424" s="265"/>
      <c r="K424" s="24">
        <v>523</v>
      </c>
      <c r="L424" s="6">
        <v>533</v>
      </c>
      <c r="M424" s="270">
        <f t="shared" si="6"/>
        <v>6</v>
      </c>
      <c r="N424" s="7"/>
      <c r="O424" s="277"/>
      <c r="P424" s="345"/>
      <c r="V424" s="383"/>
    </row>
    <row r="425" spans="1:22" ht="15" customHeight="1">
      <c r="A425" s="8">
        <v>36409</v>
      </c>
      <c r="B425" s="9"/>
      <c r="C425" s="9"/>
      <c r="D425" s="10"/>
      <c r="E425" s="10"/>
      <c r="F425" s="10">
        <v>135625</v>
      </c>
      <c r="G425" s="10"/>
      <c r="H425" s="10"/>
      <c r="I425" s="10"/>
      <c r="J425" s="265"/>
      <c r="K425" s="24">
        <v>519</v>
      </c>
      <c r="L425" s="6">
        <v>530</v>
      </c>
      <c r="M425" s="270">
        <f t="shared" si="6"/>
        <v>-4</v>
      </c>
      <c r="N425" s="7"/>
      <c r="O425" s="277"/>
      <c r="P425" s="345"/>
      <c r="V425" s="383"/>
    </row>
    <row r="426" spans="1:22" ht="15" customHeight="1">
      <c r="A426" s="8">
        <v>36410</v>
      </c>
      <c r="B426" s="9"/>
      <c r="C426" s="9"/>
      <c r="D426" s="10"/>
      <c r="E426" s="10"/>
      <c r="F426" s="10">
        <v>135550</v>
      </c>
      <c r="G426" s="10"/>
      <c r="H426" s="10"/>
      <c r="I426" s="10"/>
      <c r="J426" s="265"/>
      <c r="K426" s="24">
        <v>527</v>
      </c>
      <c r="L426" s="6">
        <v>538</v>
      </c>
      <c r="M426" s="270">
        <f t="shared" si="6"/>
        <v>8</v>
      </c>
      <c r="N426" s="7"/>
      <c r="O426" s="277"/>
      <c r="P426" s="345"/>
      <c r="V426" s="383"/>
    </row>
    <row r="427" spans="1:22" ht="15" customHeight="1">
      <c r="A427" s="8">
        <v>36411</v>
      </c>
      <c r="B427" s="9"/>
      <c r="C427" s="9"/>
      <c r="D427" s="10"/>
      <c r="E427" s="10"/>
      <c r="F427" s="10">
        <v>135450</v>
      </c>
      <c r="G427" s="10"/>
      <c r="H427" s="10"/>
      <c r="I427" s="10"/>
      <c r="J427" s="265"/>
      <c r="K427" s="24">
        <v>522</v>
      </c>
      <c r="L427" s="6">
        <v>532.5</v>
      </c>
      <c r="M427" s="270">
        <f t="shared" si="6"/>
        <v>-5</v>
      </c>
      <c r="N427" s="7"/>
      <c r="O427" s="277"/>
      <c r="P427" s="345"/>
      <c r="V427" s="383"/>
    </row>
    <row r="428" spans="1:22" ht="15" customHeight="1">
      <c r="A428" s="8">
        <v>36412</v>
      </c>
      <c r="B428" s="9"/>
      <c r="C428" s="9"/>
      <c r="D428" s="10"/>
      <c r="E428" s="10"/>
      <c r="F428" s="10">
        <v>135175</v>
      </c>
      <c r="G428" s="10"/>
      <c r="H428" s="10"/>
      <c r="I428" s="10"/>
      <c r="J428" s="265"/>
      <c r="K428" s="24">
        <v>523</v>
      </c>
      <c r="L428" s="6">
        <v>533</v>
      </c>
      <c r="M428" s="270">
        <f t="shared" si="6"/>
        <v>1</v>
      </c>
      <c r="N428" s="7"/>
      <c r="O428" s="277"/>
      <c r="P428" s="345"/>
      <c r="V428" s="383"/>
    </row>
    <row r="429" spans="1:22" ht="15" customHeight="1">
      <c r="A429" s="8">
        <v>36413</v>
      </c>
      <c r="B429" s="9"/>
      <c r="C429" s="9"/>
      <c r="D429" s="10"/>
      <c r="E429" s="10"/>
      <c r="F429" s="10">
        <v>135050</v>
      </c>
      <c r="G429" s="10"/>
      <c r="H429" s="10"/>
      <c r="I429" s="10"/>
      <c r="J429" s="265"/>
      <c r="K429" s="24">
        <v>518</v>
      </c>
      <c r="L429" s="6">
        <v>530</v>
      </c>
      <c r="M429" s="270">
        <f t="shared" si="6"/>
        <v>-5</v>
      </c>
      <c r="N429" s="7"/>
      <c r="O429" s="277"/>
      <c r="P429" s="345"/>
      <c r="V429" s="383"/>
    </row>
    <row r="430" spans="1:22" ht="15" customHeight="1">
      <c r="A430" s="8">
        <v>36416</v>
      </c>
      <c r="B430" s="9"/>
      <c r="C430" s="9"/>
      <c r="D430" s="10"/>
      <c r="E430" s="10"/>
      <c r="F430" s="10">
        <v>134800</v>
      </c>
      <c r="G430" s="10"/>
      <c r="H430" s="10"/>
      <c r="I430" s="10"/>
      <c r="J430" s="265"/>
      <c r="K430" s="24">
        <v>510</v>
      </c>
      <c r="L430" s="6">
        <v>524</v>
      </c>
      <c r="M430" s="270">
        <f t="shared" si="6"/>
        <v>-8</v>
      </c>
      <c r="N430" s="7"/>
      <c r="O430" s="277"/>
      <c r="P430" s="345"/>
      <c r="V430" s="383"/>
    </row>
    <row r="431" spans="1:22" ht="15" customHeight="1">
      <c r="A431" s="8">
        <v>36417</v>
      </c>
      <c r="B431" s="9"/>
      <c r="C431" s="9"/>
      <c r="D431" s="10"/>
      <c r="E431" s="10"/>
      <c r="F431" s="10">
        <v>135850</v>
      </c>
      <c r="G431" s="10"/>
      <c r="H431" s="10"/>
      <c r="I431" s="10"/>
      <c r="J431" s="265"/>
      <c r="K431" s="24">
        <v>497</v>
      </c>
      <c r="L431" s="6">
        <v>512</v>
      </c>
      <c r="M431" s="270">
        <f t="shared" si="6"/>
        <v>-13</v>
      </c>
      <c r="N431" s="7"/>
      <c r="O431" s="277"/>
      <c r="P431" s="345"/>
      <c r="V431" s="383"/>
    </row>
    <row r="432" spans="1:22" ht="15" customHeight="1">
      <c r="A432" s="8">
        <v>36418</v>
      </c>
      <c r="B432" s="9"/>
      <c r="C432" s="9"/>
      <c r="D432" s="10"/>
      <c r="E432" s="10"/>
      <c r="F432" s="10">
        <v>137550</v>
      </c>
      <c r="G432" s="10"/>
      <c r="H432" s="10"/>
      <c r="I432" s="10"/>
      <c r="J432" s="265"/>
      <c r="K432" s="24">
        <v>492</v>
      </c>
      <c r="L432" s="6">
        <v>508</v>
      </c>
      <c r="M432" s="270">
        <f t="shared" si="6"/>
        <v>-5</v>
      </c>
      <c r="N432" s="7"/>
      <c r="O432" s="277"/>
      <c r="P432" s="345"/>
      <c r="V432" s="383"/>
    </row>
    <row r="433" spans="1:22" ht="15" customHeight="1">
      <c r="A433" s="8">
        <v>36419</v>
      </c>
      <c r="B433" s="9"/>
      <c r="C433" s="9"/>
      <c r="D433" s="10"/>
      <c r="E433" s="10"/>
      <c r="F433" s="10">
        <v>141750</v>
      </c>
      <c r="G433" s="10"/>
      <c r="H433" s="10"/>
      <c r="I433" s="10"/>
      <c r="J433" s="265"/>
      <c r="K433" s="24">
        <v>502</v>
      </c>
      <c r="L433" s="6">
        <v>513</v>
      </c>
      <c r="M433" s="270">
        <f t="shared" si="6"/>
        <v>10</v>
      </c>
      <c r="N433" s="7"/>
      <c r="O433" s="277"/>
      <c r="P433" s="345"/>
      <c r="V433" s="383"/>
    </row>
    <row r="434" spans="1:22" ht="15" customHeight="1">
      <c r="A434" s="8">
        <v>36420</v>
      </c>
      <c r="B434" s="9"/>
      <c r="C434" s="9"/>
      <c r="D434" s="10"/>
      <c r="E434" s="10"/>
      <c r="F434" s="10">
        <v>141325</v>
      </c>
      <c r="G434" s="10"/>
      <c r="H434" s="10"/>
      <c r="I434" s="10"/>
      <c r="J434" s="265"/>
      <c r="K434" s="24">
        <v>500</v>
      </c>
      <c r="L434" s="6">
        <v>513</v>
      </c>
      <c r="M434" s="270">
        <f t="shared" si="6"/>
        <v>-2</v>
      </c>
      <c r="N434" s="7"/>
      <c r="O434" s="277"/>
      <c r="P434" s="345"/>
      <c r="V434" s="383"/>
    </row>
    <row r="435" spans="1:22" ht="15" customHeight="1">
      <c r="A435" s="8">
        <v>36423</v>
      </c>
      <c r="B435" s="9"/>
      <c r="C435" s="9"/>
      <c r="D435" s="10"/>
      <c r="E435" s="10"/>
      <c r="F435" s="10">
        <v>143125</v>
      </c>
      <c r="G435" s="10"/>
      <c r="H435" s="10"/>
      <c r="I435" s="10"/>
      <c r="J435" s="265"/>
      <c r="K435" s="24">
        <v>496</v>
      </c>
      <c r="L435" s="6">
        <v>509.5</v>
      </c>
      <c r="M435" s="270">
        <f t="shared" si="6"/>
        <v>-4</v>
      </c>
      <c r="N435" s="7"/>
      <c r="O435" s="277"/>
      <c r="P435" s="345"/>
      <c r="V435" s="383"/>
    </row>
    <row r="436" spans="1:22" ht="15" customHeight="1">
      <c r="A436" s="8">
        <v>36424</v>
      </c>
      <c r="B436" s="9"/>
      <c r="C436" s="9"/>
      <c r="D436" s="10"/>
      <c r="E436" s="10"/>
      <c r="F436" s="10">
        <v>150650</v>
      </c>
      <c r="G436" s="10"/>
      <c r="H436" s="10"/>
      <c r="I436" s="10"/>
      <c r="J436" s="265"/>
      <c r="K436" s="24">
        <v>496</v>
      </c>
      <c r="L436" s="6">
        <v>509</v>
      </c>
      <c r="M436" s="270">
        <f t="shared" si="6"/>
        <v>0</v>
      </c>
      <c r="N436" s="7"/>
      <c r="O436" s="277"/>
      <c r="P436" s="345"/>
      <c r="V436" s="383"/>
    </row>
    <row r="437" spans="1:22" ht="15" customHeight="1">
      <c r="A437" s="8">
        <v>36425</v>
      </c>
      <c r="B437" s="9"/>
      <c r="C437" s="9"/>
      <c r="D437" s="10"/>
      <c r="E437" s="10"/>
      <c r="F437" s="10">
        <v>150450</v>
      </c>
      <c r="G437" s="10"/>
      <c r="H437" s="10"/>
      <c r="I437" s="10"/>
      <c r="J437" s="265"/>
      <c r="K437" s="24">
        <v>498</v>
      </c>
      <c r="L437" s="6">
        <v>511</v>
      </c>
      <c r="M437" s="270">
        <f t="shared" si="6"/>
        <v>2</v>
      </c>
      <c r="N437" s="7"/>
      <c r="O437" s="277"/>
      <c r="P437" s="345"/>
      <c r="V437" s="383"/>
    </row>
    <row r="438" spans="1:22" ht="15" customHeight="1">
      <c r="A438" s="8">
        <v>36426</v>
      </c>
      <c r="B438" s="9"/>
      <c r="C438" s="9"/>
      <c r="D438" s="10"/>
      <c r="E438" s="10"/>
      <c r="F438" s="10">
        <v>150900</v>
      </c>
      <c r="G438" s="10"/>
      <c r="H438" s="10"/>
      <c r="I438" s="10"/>
      <c r="J438" s="265"/>
      <c r="K438" s="24">
        <v>500</v>
      </c>
      <c r="L438" s="6">
        <v>512.5</v>
      </c>
      <c r="M438" s="270">
        <f t="shared" si="6"/>
        <v>2</v>
      </c>
      <c r="N438" s="7"/>
      <c r="O438" s="277"/>
      <c r="P438" s="345"/>
      <c r="V438" s="383"/>
    </row>
    <row r="439" spans="1:22" ht="15" customHeight="1">
      <c r="A439" s="8">
        <v>36427</v>
      </c>
      <c r="B439" s="9"/>
      <c r="C439" s="9"/>
      <c r="D439" s="10"/>
      <c r="E439" s="10"/>
      <c r="F439" s="10">
        <v>151975</v>
      </c>
      <c r="G439" s="10"/>
      <c r="H439" s="10"/>
      <c r="I439" s="10"/>
      <c r="J439" s="265"/>
      <c r="K439" s="24">
        <v>496.5</v>
      </c>
      <c r="L439" s="6">
        <v>512</v>
      </c>
      <c r="M439" s="270">
        <f t="shared" si="6"/>
        <v>-3.5</v>
      </c>
      <c r="N439" s="7"/>
      <c r="O439" s="277"/>
      <c r="P439" s="345"/>
      <c r="V439" s="383"/>
    </row>
    <row r="440" spans="1:22" ht="15" customHeight="1">
      <c r="A440" s="8">
        <v>36430</v>
      </c>
      <c r="B440" s="9"/>
      <c r="C440" s="9"/>
      <c r="D440" s="10"/>
      <c r="E440" s="10"/>
      <c r="F440" s="10">
        <v>153800</v>
      </c>
      <c r="G440" s="10"/>
      <c r="H440" s="10"/>
      <c r="I440" s="10"/>
      <c r="J440" s="265"/>
      <c r="K440" s="24">
        <v>497</v>
      </c>
      <c r="L440" s="6">
        <v>510</v>
      </c>
      <c r="M440" s="270">
        <f t="shared" si="6"/>
        <v>0.5</v>
      </c>
      <c r="N440" s="7"/>
      <c r="O440" s="277"/>
      <c r="P440" s="345"/>
      <c r="V440" s="383"/>
    </row>
    <row r="441" spans="1:22" ht="15" customHeight="1">
      <c r="A441" s="8">
        <v>36431</v>
      </c>
      <c r="B441" s="9"/>
      <c r="C441" s="9"/>
      <c r="D441" s="10"/>
      <c r="E441" s="10"/>
      <c r="F441" s="10">
        <v>153525</v>
      </c>
      <c r="G441" s="10"/>
      <c r="H441" s="10"/>
      <c r="I441" s="10"/>
      <c r="J441" s="265"/>
      <c r="K441" s="24">
        <v>495</v>
      </c>
      <c r="L441" s="6">
        <v>510</v>
      </c>
      <c r="M441" s="270">
        <f t="shared" si="6"/>
        <v>-2</v>
      </c>
      <c r="N441" s="7"/>
      <c r="O441" s="277"/>
      <c r="P441" s="345"/>
      <c r="V441" s="383"/>
    </row>
    <row r="442" spans="1:22" ht="15" customHeight="1">
      <c r="A442" s="8">
        <v>36432</v>
      </c>
      <c r="B442" s="9"/>
      <c r="C442" s="9"/>
      <c r="D442" s="10"/>
      <c r="E442" s="10"/>
      <c r="F442" s="10">
        <v>153450</v>
      </c>
      <c r="G442" s="10"/>
      <c r="H442" s="10"/>
      <c r="I442" s="10"/>
      <c r="J442" s="265"/>
      <c r="K442" s="24">
        <v>506</v>
      </c>
      <c r="L442" s="6">
        <v>520</v>
      </c>
      <c r="M442" s="270">
        <f t="shared" si="6"/>
        <v>11</v>
      </c>
      <c r="N442" s="7"/>
      <c r="O442" s="277"/>
      <c r="P442" s="345"/>
      <c r="V442" s="383"/>
    </row>
    <row r="443" spans="1:22" ht="15" customHeight="1">
      <c r="A443" s="8">
        <v>36433</v>
      </c>
      <c r="B443" s="9"/>
      <c r="C443" s="9"/>
      <c r="D443" s="10"/>
      <c r="E443" s="10"/>
      <c r="F443" s="10">
        <v>153350</v>
      </c>
      <c r="G443" s="10"/>
      <c r="H443" s="10"/>
      <c r="I443" s="10"/>
      <c r="J443" s="265"/>
      <c r="K443" s="24">
        <v>502</v>
      </c>
      <c r="L443" s="6">
        <v>515.5</v>
      </c>
      <c r="M443" s="270">
        <f t="shared" si="6"/>
        <v>-4</v>
      </c>
      <c r="N443" s="7"/>
      <c r="O443" s="277"/>
      <c r="P443" s="345"/>
      <c r="V443" s="383"/>
    </row>
    <row r="444" spans="1:22" ht="15" customHeight="1">
      <c r="A444" s="8">
        <v>36434</v>
      </c>
      <c r="B444" s="9"/>
      <c r="C444" s="9"/>
      <c r="D444" s="10"/>
      <c r="E444" s="10"/>
      <c r="F444" s="10">
        <v>153300</v>
      </c>
      <c r="G444" s="10"/>
      <c r="H444" s="10"/>
      <c r="I444" s="10"/>
      <c r="J444" s="265"/>
      <c r="K444" s="24">
        <v>500.5</v>
      </c>
      <c r="L444" s="6">
        <v>513.5</v>
      </c>
      <c r="M444" s="270">
        <f t="shared" si="6"/>
        <v>-1.5</v>
      </c>
      <c r="N444" s="7"/>
      <c r="O444" s="277"/>
      <c r="P444" s="345"/>
      <c r="V444" s="383"/>
    </row>
    <row r="445" spans="1:22" ht="15" customHeight="1">
      <c r="A445" s="8">
        <v>36437</v>
      </c>
      <c r="B445" s="9"/>
      <c r="C445" s="9"/>
      <c r="D445" s="10"/>
      <c r="E445" s="10"/>
      <c r="F445" s="10">
        <v>152800</v>
      </c>
      <c r="G445" s="10"/>
      <c r="H445" s="10"/>
      <c r="I445" s="10"/>
      <c r="J445" s="265"/>
      <c r="K445" s="24">
        <v>497.5</v>
      </c>
      <c r="L445" s="6">
        <v>512</v>
      </c>
      <c r="M445" s="270">
        <f t="shared" si="6"/>
        <v>-3</v>
      </c>
      <c r="N445" s="7"/>
      <c r="O445" s="277"/>
      <c r="P445" s="345"/>
      <c r="V445" s="383"/>
    </row>
    <row r="446" spans="1:22" ht="15" customHeight="1">
      <c r="A446" s="8">
        <v>36438</v>
      </c>
      <c r="B446" s="9"/>
      <c r="C446" s="9"/>
      <c r="D446" s="10"/>
      <c r="E446" s="10"/>
      <c r="F446" s="10">
        <v>152725</v>
      </c>
      <c r="G446" s="10"/>
      <c r="H446" s="10"/>
      <c r="I446" s="10"/>
      <c r="J446" s="265"/>
      <c r="K446" s="24">
        <v>500</v>
      </c>
      <c r="L446" s="6">
        <v>514</v>
      </c>
      <c r="M446" s="270">
        <f t="shared" si="6"/>
        <v>2.5</v>
      </c>
      <c r="N446" s="7"/>
      <c r="O446" s="277"/>
      <c r="P446" s="345"/>
      <c r="V446" s="383"/>
    </row>
    <row r="447" spans="1:22" ht="15" customHeight="1">
      <c r="A447" s="8">
        <v>36439</v>
      </c>
      <c r="B447" s="9"/>
      <c r="C447" s="9"/>
      <c r="D447" s="10"/>
      <c r="E447" s="10"/>
      <c r="F447" s="10">
        <v>155800</v>
      </c>
      <c r="G447" s="10"/>
      <c r="H447" s="10"/>
      <c r="I447" s="10"/>
      <c r="J447" s="265"/>
      <c r="K447" s="24">
        <v>498.5</v>
      </c>
      <c r="L447" s="6">
        <v>511.5</v>
      </c>
      <c r="M447" s="270">
        <f t="shared" si="6"/>
        <v>-1.5</v>
      </c>
      <c r="N447" s="7"/>
      <c r="O447" s="277"/>
      <c r="P447" s="345"/>
      <c r="V447" s="383"/>
    </row>
    <row r="448" spans="1:22" ht="15" customHeight="1">
      <c r="A448" s="8">
        <v>36440</v>
      </c>
      <c r="B448" s="9"/>
      <c r="C448" s="9"/>
      <c r="D448" s="10"/>
      <c r="E448" s="10"/>
      <c r="F448" s="10">
        <v>160450</v>
      </c>
      <c r="G448" s="10"/>
      <c r="H448" s="10"/>
      <c r="I448" s="10"/>
      <c r="J448" s="265"/>
      <c r="K448" s="24">
        <v>498.5</v>
      </c>
      <c r="L448" s="6">
        <v>512</v>
      </c>
      <c r="M448" s="270">
        <f t="shared" si="6"/>
        <v>0</v>
      </c>
      <c r="N448" s="7"/>
      <c r="O448" s="277"/>
      <c r="P448" s="345"/>
      <c r="V448" s="383"/>
    </row>
    <row r="449" spans="1:22" ht="15" customHeight="1">
      <c r="A449" s="8">
        <v>36441</v>
      </c>
      <c r="B449" s="9"/>
      <c r="C449" s="9"/>
      <c r="D449" s="10"/>
      <c r="E449" s="10"/>
      <c r="F449" s="10">
        <v>160375</v>
      </c>
      <c r="G449" s="10"/>
      <c r="H449" s="10"/>
      <c r="I449" s="10"/>
      <c r="J449" s="265"/>
      <c r="K449" s="24">
        <v>498.5</v>
      </c>
      <c r="L449" s="6">
        <v>510</v>
      </c>
      <c r="M449" s="270">
        <f t="shared" si="6"/>
        <v>0</v>
      </c>
      <c r="N449" s="7"/>
      <c r="O449" s="277"/>
      <c r="P449" s="345"/>
      <c r="V449" s="383"/>
    </row>
    <row r="450" spans="1:22" ht="15" customHeight="1">
      <c r="A450" s="8">
        <v>36444</v>
      </c>
      <c r="B450" s="9"/>
      <c r="C450" s="9"/>
      <c r="D450" s="10"/>
      <c r="E450" s="10"/>
      <c r="F450" s="10">
        <v>160275</v>
      </c>
      <c r="G450" s="10"/>
      <c r="H450" s="10"/>
      <c r="I450" s="10"/>
      <c r="J450" s="265"/>
      <c r="K450" s="24">
        <v>494</v>
      </c>
      <c r="L450" s="6">
        <v>505.5</v>
      </c>
      <c r="M450" s="270">
        <f t="shared" si="6"/>
        <v>-4.5</v>
      </c>
      <c r="N450" s="7"/>
      <c r="O450" s="277"/>
      <c r="P450" s="345"/>
      <c r="V450" s="383"/>
    </row>
    <row r="451" spans="1:22" ht="15" customHeight="1">
      <c r="A451" s="8">
        <v>36445</v>
      </c>
      <c r="B451" s="9"/>
      <c r="C451" s="9"/>
      <c r="D451" s="10"/>
      <c r="E451" s="10"/>
      <c r="F451" s="10">
        <v>160200</v>
      </c>
      <c r="G451" s="10"/>
      <c r="H451" s="10"/>
      <c r="I451" s="10"/>
      <c r="J451" s="265"/>
      <c r="K451" s="24">
        <v>494</v>
      </c>
      <c r="L451" s="6">
        <v>505.5</v>
      </c>
      <c r="M451" s="270">
        <f t="shared" si="6"/>
        <v>0</v>
      </c>
      <c r="N451" s="7"/>
      <c r="O451" s="277"/>
      <c r="P451" s="345"/>
      <c r="V451" s="383"/>
    </row>
    <row r="452" spans="1:22" ht="15" customHeight="1">
      <c r="A452" s="8">
        <v>36446</v>
      </c>
      <c r="B452" s="9"/>
      <c r="C452" s="9"/>
      <c r="D452" s="10"/>
      <c r="E452" s="10"/>
      <c r="F452" s="10">
        <v>160200</v>
      </c>
      <c r="G452" s="10"/>
      <c r="H452" s="10"/>
      <c r="I452" s="10"/>
      <c r="J452" s="265"/>
      <c r="K452" s="24">
        <v>501</v>
      </c>
      <c r="L452" s="6">
        <v>510</v>
      </c>
      <c r="M452" s="270">
        <f t="shared" si="6"/>
        <v>7</v>
      </c>
      <c r="N452" s="7"/>
      <c r="O452" s="277"/>
      <c r="P452" s="345"/>
      <c r="V452" s="383"/>
    </row>
    <row r="453" spans="1:22" ht="15" customHeight="1">
      <c r="A453" s="8">
        <v>36447</v>
      </c>
      <c r="B453" s="9"/>
      <c r="C453" s="9"/>
      <c r="D453" s="10"/>
      <c r="E453" s="10"/>
      <c r="F453" s="10">
        <v>160150</v>
      </c>
      <c r="G453" s="10"/>
      <c r="H453" s="10"/>
      <c r="I453" s="10"/>
      <c r="J453" s="265"/>
      <c r="K453" s="24">
        <v>511</v>
      </c>
      <c r="L453" s="6">
        <v>516</v>
      </c>
      <c r="M453" s="270">
        <f t="shared" ref="M453:M463" si="7">+K453-K452</f>
        <v>10</v>
      </c>
      <c r="N453" s="7"/>
      <c r="O453" s="277"/>
      <c r="P453" s="345"/>
      <c r="V453" s="383"/>
    </row>
    <row r="454" spans="1:22" ht="15" customHeight="1">
      <c r="A454" s="8">
        <v>36448</v>
      </c>
      <c r="B454" s="9"/>
      <c r="C454" s="9"/>
      <c r="D454" s="10"/>
      <c r="E454" s="10"/>
      <c r="F454" s="10">
        <v>160025</v>
      </c>
      <c r="G454" s="10"/>
      <c r="H454" s="10"/>
      <c r="I454" s="10"/>
      <c r="J454" s="265"/>
      <c r="K454" s="24">
        <v>498.5</v>
      </c>
      <c r="L454" s="6">
        <v>508.5</v>
      </c>
      <c r="M454" s="270">
        <f t="shared" si="7"/>
        <v>-12.5</v>
      </c>
      <c r="N454" s="7"/>
      <c r="O454" s="277"/>
      <c r="P454" s="345"/>
      <c r="V454" s="383"/>
    </row>
    <row r="455" spans="1:22" ht="15" customHeight="1">
      <c r="A455" s="8">
        <v>36451</v>
      </c>
      <c r="B455" s="9"/>
      <c r="C455" s="9"/>
      <c r="D455" s="10"/>
      <c r="E455" s="10"/>
      <c r="F455" s="10">
        <v>159825</v>
      </c>
      <c r="G455" s="10"/>
      <c r="H455" s="10"/>
      <c r="I455" s="10"/>
      <c r="J455" s="265"/>
      <c r="K455" s="24">
        <v>490</v>
      </c>
      <c r="L455" s="6">
        <v>502</v>
      </c>
      <c r="M455" s="270">
        <f t="shared" si="7"/>
        <v>-8.5</v>
      </c>
      <c r="N455" s="7"/>
      <c r="O455" s="277"/>
      <c r="P455" s="345"/>
      <c r="V455" s="383"/>
    </row>
    <row r="456" spans="1:22" ht="15" customHeight="1">
      <c r="A456" s="8">
        <v>36452</v>
      </c>
      <c r="B456" s="9"/>
      <c r="C456" s="9"/>
      <c r="D456" s="10"/>
      <c r="E456" s="10"/>
      <c r="F456" s="10">
        <v>159775</v>
      </c>
      <c r="G456" s="10"/>
      <c r="H456" s="10"/>
      <c r="I456" s="10"/>
      <c r="J456" s="265"/>
      <c r="K456" s="24">
        <v>495.5</v>
      </c>
      <c r="L456" s="6">
        <v>507.5</v>
      </c>
      <c r="M456" s="270">
        <f t="shared" si="7"/>
        <v>5.5</v>
      </c>
      <c r="N456" s="7"/>
      <c r="O456" s="277"/>
      <c r="P456" s="345"/>
      <c r="V456" s="383"/>
    </row>
    <row r="457" spans="1:22" ht="15" customHeight="1">
      <c r="A457" s="8">
        <v>36453</v>
      </c>
      <c r="B457" s="9"/>
      <c r="C457" s="9"/>
      <c r="D457" s="10"/>
      <c r="E457" s="10"/>
      <c r="F457" s="10">
        <v>161225</v>
      </c>
      <c r="G457" s="10"/>
      <c r="H457" s="10"/>
      <c r="I457" s="10"/>
      <c r="J457" s="265"/>
      <c r="K457" s="24">
        <v>497</v>
      </c>
      <c r="L457" s="6">
        <v>508</v>
      </c>
      <c r="M457" s="270">
        <f t="shared" si="7"/>
        <v>1.5</v>
      </c>
      <c r="N457" s="7"/>
      <c r="O457" s="277"/>
      <c r="P457" s="345"/>
      <c r="V457" s="383"/>
    </row>
    <row r="458" spans="1:22" ht="15" customHeight="1">
      <c r="A458" s="8">
        <v>36454</v>
      </c>
      <c r="B458" s="9"/>
      <c r="C458" s="9"/>
      <c r="D458" s="10"/>
      <c r="E458" s="10"/>
      <c r="F458" s="10">
        <v>161000</v>
      </c>
      <c r="G458" s="10"/>
      <c r="H458" s="10"/>
      <c r="I458" s="10"/>
      <c r="J458" s="265"/>
      <c r="K458" s="24">
        <v>497</v>
      </c>
      <c r="L458" s="6">
        <v>508</v>
      </c>
      <c r="M458" s="270">
        <f t="shared" si="7"/>
        <v>0</v>
      </c>
      <c r="N458" s="7"/>
      <c r="O458" s="277"/>
      <c r="P458" s="345"/>
      <c r="V458" s="383"/>
    </row>
    <row r="459" spans="1:22" ht="15" customHeight="1">
      <c r="A459" s="8">
        <v>36455</v>
      </c>
      <c r="B459" s="9"/>
      <c r="C459" s="9"/>
      <c r="D459" s="10"/>
      <c r="E459" s="10"/>
      <c r="F459" s="10">
        <v>170050</v>
      </c>
      <c r="G459" s="10"/>
      <c r="H459" s="10"/>
      <c r="I459" s="10"/>
      <c r="J459" s="265"/>
      <c r="K459" s="24">
        <v>494.5</v>
      </c>
      <c r="L459" s="6">
        <v>506</v>
      </c>
      <c r="M459" s="270">
        <f t="shared" si="7"/>
        <v>-2.5</v>
      </c>
      <c r="N459" s="7"/>
      <c r="O459" s="277"/>
      <c r="P459" s="345"/>
      <c r="V459" s="383"/>
    </row>
    <row r="460" spans="1:22" ht="15" customHeight="1">
      <c r="A460" s="8">
        <v>36458</v>
      </c>
      <c r="B460" s="9"/>
      <c r="C460" s="9"/>
      <c r="D460" s="10"/>
      <c r="E460" s="10"/>
      <c r="F460" s="10">
        <v>169975</v>
      </c>
      <c r="G460" s="10"/>
      <c r="H460" s="10"/>
      <c r="I460" s="10"/>
      <c r="J460" s="265"/>
      <c r="K460" s="24">
        <v>498.5</v>
      </c>
      <c r="L460" s="6">
        <v>509</v>
      </c>
      <c r="M460" s="270">
        <f t="shared" si="7"/>
        <v>4</v>
      </c>
      <c r="N460" s="7"/>
      <c r="O460" s="277"/>
      <c r="P460" s="345"/>
      <c r="V460" s="383"/>
    </row>
    <row r="461" spans="1:22" ht="15" customHeight="1">
      <c r="A461" s="8">
        <v>36459</v>
      </c>
      <c r="B461" s="9"/>
      <c r="C461" s="9"/>
      <c r="D461" s="10"/>
      <c r="E461" s="10"/>
      <c r="F461" s="10">
        <v>169725</v>
      </c>
      <c r="G461" s="10"/>
      <c r="H461" s="10"/>
      <c r="I461" s="10"/>
      <c r="J461" s="265"/>
      <c r="K461" s="24">
        <v>495</v>
      </c>
      <c r="L461" s="6">
        <v>508</v>
      </c>
      <c r="M461" s="270">
        <f t="shared" si="7"/>
        <v>-3.5</v>
      </c>
      <c r="N461" s="7"/>
      <c r="O461" s="277"/>
      <c r="P461" s="345"/>
      <c r="V461" s="383"/>
    </row>
    <row r="462" spans="1:22" ht="15" customHeight="1">
      <c r="A462" s="8">
        <v>36460</v>
      </c>
      <c r="B462" s="9"/>
      <c r="C462" s="9"/>
      <c r="D462" s="10"/>
      <c r="E462" s="10"/>
      <c r="F462" s="10">
        <v>169475</v>
      </c>
      <c r="G462" s="10"/>
      <c r="H462" s="10"/>
      <c r="I462" s="10"/>
      <c r="J462" s="265"/>
      <c r="K462" s="24">
        <v>492</v>
      </c>
      <c r="L462" s="6">
        <v>506</v>
      </c>
      <c r="M462" s="270">
        <f t="shared" si="7"/>
        <v>-3</v>
      </c>
      <c r="N462" s="7"/>
      <c r="O462" s="277"/>
      <c r="P462" s="345"/>
      <c r="V462" s="383"/>
    </row>
    <row r="463" spans="1:22" ht="15" customHeight="1">
      <c r="A463" s="8">
        <v>36461</v>
      </c>
      <c r="B463" s="9"/>
      <c r="C463" s="9"/>
      <c r="D463" s="10"/>
      <c r="E463" s="10"/>
      <c r="F463" s="10">
        <v>170850</v>
      </c>
      <c r="G463" s="10"/>
      <c r="H463" s="10"/>
      <c r="I463" s="10"/>
      <c r="J463" s="265"/>
      <c r="K463" s="24">
        <v>493</v>
      </c>
      <c r="L463" s="6">
        <v>506</v>
      </c>
      <c r="M463" s="270">
        <f t="shared" si="7"/>
        <v>1</v>
      </c>
      <c r="N463" s="7"/>
      <c r="O463" s="277"/>
      <c r="P463" s="345"/>
      <c r="V463" s="383"/>
    </row>
    <row r="464" spans="1:22" ht="15" customHeight="1">
      <c r="A464" s="8">
        <v>36462</v>
      </c>
      <c r="B464" s="9"/>
      <c r="C464" s="9"/>
      <c r="D464" s="10"/>
      <c r="E464" s="10"/>
      <c r="F464" s="10">
        <v>171225</v>
      </c>
      <c r="G464" s="10"/>
      <c r="H464" s="10"/>
      <c r="I464" s="10"/>
      <c r="J464" s="265"/>
      <c r="K464" s="24">
        <v>494.5</v>
      </c>
      <c r="L464" s="6">
        <v>505.5</v>
      </c>
      <c r="M464" s="270">
        <f>L464-K464</f>
        <v>11</v>
      </c>
      <c r="N464" s="7"/>
      <c r="O464" s="277"/>
      <c r="P464" s="345"/>
      <c r="V464" s="383"/>
    </row>
    <row r="465" spans="1:22" ht="15" customHeight="1">
      <c r="A465" s="8">
        <v>36465</v>
      </c>
      <c r="B465" s="9"/>
      <c r="C465" s="9"/>
      <c r="D465" s="10"/>
      <c r="E465" s="10"/>
      <c r="F465" s="10">
        <v>171150</v>
      </c>
      <c r="G465" s="10"/>
      <c r="H465" s="10"/>
      <c r="I465" s="10"/>
      <c r="J465" s="265"/>
      <c r="K465" s="24">
        <v>491</v>
      </c>
      <c r="L465" s="6">
        <v>503.5</v>
      </c>
      <c r="M465" s="270">
        <f t="shared" ref="M465:M528" si="8">L465-K465</f>
        <v>12.5</v>
      </c>
      <c r="N465" s="7"/>
      <c r="O465" s="277"/>
      <c r="P465" s="345"/>
      <c r="V465" s="383"/>
    </row>
    <row r="466" spans="1:22" ht="15" customHeight="1">
      <c r="A466" s="8">
        <v>36466</v>
      </c>
      <c r="B466" s="9"/>
      <c r="C466" s="9"/>
      <c r="D466" s="10"/>
      <c r="E466" s="10"/>
      <c r="F466" s="10">
        <v>171125</v>
      </c>
      <c r="G466" s="10"/>
      <c r="H466" s="10"/>
      <c r="I466" s="10"/>
      <c r="J466" s="265"/>
      <c r="K466" s="24">
        <v>487.5</v>
      </c>
      <c r="L466" s="6">
        <v>498</v>
      </c>
      <c r="M466" s="270">
        <f t="shared" si="8"/>
        <v>10.5</v>
      </c>
      <c r="N466" s="7"/>
      <c r="O466" s="277"/>
      <c r="P466" s="345"/>
      <c r="V466" s="383"/>
    </row>
    <row r="467" spans="1:22" ht="15" customHeight="1">
      <c r="A467" s="8">
        <v>36467</v>
      </c>
      <c r="B467" s="9"/>
      <c r="C467" s="9"/>
      <c r="D467" s="10"/>
      <c r="E467" s="10"/>
      <c r="F467" s="10">
        <v>171475</v>
      </c>
      <c r="G467" s="10"/>
      <c r="H467" s="10"/>
      <c r="I467" s="10"/>
      <c r="J467" s="265"/>
      <c r="K467" s="24">
        <v>484.5</v>
      </c>
      <c r="L467" s="6">
        <v>495</v>
      </c>
      <c r="M467" s="270">
        <f t="shared" si="8"/>
        <v>10.5</v>
      </c>
      <c r="N467" s="7"/>
      <c r="O467" s="277"/>
      <c r="P467" s="345"/>
      <c r="V467" s="383"/>
    </row>
    <row r="468" spans="1:22" ht="15" customHeight="1">
      <c r="A468" s="8">
        <v>36468</v>
      </c>
      <c r="B468" s="9"/>
      <c r="C468" s="9"/>
      <c r="D468" s="10"/>
      <c r="E468" s="10"/>
      <c r="F468" s="10">
        <v>171400</v>
      </c>
      <c r="G468" s="10"/>
      <c r="H468" s="10"/>
      <c r="I468" s="10"/>
      <c r="J468" s="265"/>
      <c r="K468" s="24">
        <v>484.5</v>
      </c>
      <c r="L468" s="6">
        <v>495</v>
      </c>
      <c r="M468" s="270">
        <f t="shared" si="8"/>
        <v>10.5</v>
      </c>
      <c r="N468" s="7"/>
      <c r="O468" s="277"/>
      <c r="P468" s="345"/>
      <c r="V468" s="383"/>
    </row>
    <row r="469" spans="1:22" ht="15" customHeight="1">
      <c r="A469" s="8">
        <v>36469</v>
      </c>
      <c r="B469" s="9"/>
      <c r="C469" s="9"/>
      <c r="D469" s="10"/>
      <c r="E469" s="10"/>
      <c r="F469" s="10">
        <v>171300</v>
      </c>
      <c r="G469" s="10"/>
      <c r="H469" s="10"/>
      <c r="I469" s="10"/>
      <c r="J469" s="265"/>
      <c r="K469" s="24">
        <v>481.5</v>
      </c>
      <c r="L469" s="6">
        <v>491.5</v>
      </c>
      <c r="M469" s="270">
        <f t="shared" si="8"/>
        <v>10</v>
      </c>
      <c r="N469" s="7"/>
      <c r="O469" s="277"/>
      <c r="P469" s="345"/>
      <c r="V469" s="383"/>
    </row>
    <row r="470" spans="1:22" ht="15" customHeight="1">
      <c r="A470" s="8">
        <v>36472</v>
      </c>
      <c r="B470" s="9"/>
      <c r="C470" s="9"/>
      <c r="D470" s="10"/>
      <c r="E470" s="10"/>
      <c r="F470" s="10">
        <v>171700</v>
      </c>
      <c r="G470" s="10"/>
      <c r="H470" s="10"/>
      <c r="I470" s="10"/>
      <c r="J470" s="265"/>
      <c r="K470" s="24">
        <v>480</v>
      </c>
      <c r="L470" s="6">
        <v>489</v>
      </c>
      <c r="M470" s="270">
        <f t="shared" si="8"/>
        <v>9</v>
      </c>
      <c r="N470" s="7"/>
      <c r="O470" s="277"/>
      <c r="P470" s="345"/>
      <c r="V470" s="383"/>
    </row>
    <row r="471" spans="1:22" ht="15" customHeight="1">
      <c r="A471" s="8">
        <v>36473</v>
      </c>
      <c r="B471" s="9"/>
      <c r="C471" s="9"/>
      <c r="D471" s="10"/>
      <c r="E471" s="10"/>
      <c r="F471" s="10">
        <v>174275</v>
      </c>
      <c r="G471" s="10"/>
      <c r="H471" s="10"/>
      <c r="I471" s="10"/>
      <c r="J471" s="265"/>
      <c r="K471" s="24">
        <v>472.5</v>
      </c>
      <c r="L471" s="6">
        <v>482</v>
      </c>
      <c r="M471" s="270">
        <f t="shared" si="8"/>
        <v>9.5</v>
      </c>
      <c r="N471" s="7"/>
      <c r="O471" s="277"/>
      <c r="P471" s="345"/>
      <c r="V471" s="383"/>
    </row>
    <row r="472" spans="1:22" ht="15" customHeight="1">
      <c r="A472" s="8">
        <v>36474</v>
      </c>
      <c r="B472" s="9"/>
      <c r="C472" s="9"/>
      <c r="D472" s="10"/>
      <c r="E472" s="10"/>
      <c r="F472" s="10">
        <v>172975</v>
      </c>
      <c r="G472" s="10"/>
      <c r="H472" s="10"/>
      <c r="I472" s="10"/>
      <c r="J472" s="265"/>
      <c r="K472" s="24">
        <v>476</v>
      </c>
      <c r="L472" s="6">
        <v>486</v>
      </c>
      <c r="M472" s="270">
        <f t="shared" si="8"/>
        <v>10</v>
      </c>
      <c r="N472" s="7"/>
      <c r="O472" s="277"/>
      <c r="P472" s="345"/>
      <c r="V472" s="383"/>
    </row>
    <row r="473" spans="1:22" ht="15" customHeight="1">
      <c r="A473" s="8">
        <v>36475</v>
      </c>
      <c r="B473" s="9"/>
      <c r="C473" s="9"/>
      <c r="D473" s="10"/>
      <c r="E473" s="10"/>
      <c r="F473" s="10">
        <v>172875</v>
      </c>
      <c r="G473" s="10"/>
      <c r="H473" s="10"/>
      <c r="I473" s="10"/>
      <c r="J473" s="265"/>
      <c r="K473" s="24">
        <v>474.5</v>
      </c>
      <c r="L473" s="6">
        <v>485</v>
      </c>
      <c r="M473" s="270">
        <f t="shared" si="8"/>
        <v>10.5</v>
      </c>
      <c r="N473" s="7"/>
      <c r="O473" s="277"/>
      <c r="P473" s="345"/>
      <c r="V473" s="383"/>
    </row>
    <row r="474" spans="1:22" ht="15" customHeight="1">
      <c r="A474" s="8">
        <v>36476</v>
      </c>
      <c r="B474" s="9"/>
      <c r="C474" s="9"/>
      <c r="D474" s="10"/>
      <c r="E474" s="10"/>
      <c r="F474" s="10">
        <v>172700</v>
      </c>
      <c r="G474" s="10"/>
      <c r="H474" s="10"/>
      <c r="I474" s="10"/>
      <c r="J474" s="265"/>
      <c r="K474" s="24">
        <v>471.5</v>
      </c>
      <c r="L474" s="6">
        <v>483</v>
      </c>
      <c r="M474" s="270">
        <f t="shared" si="8"/>
        <v>11.5</v>
      </c>
      <c r="N474" s="7"/>
      <c r="O474" s="277"/>
      <c r="P474" s="345"/>
      <c r="V474" s="383"/>
    </row>
    <row r="475" spans="1:22" ht="15" customHeight="1">
      <c r="A475" s="8">
        <v>36479</v>
      </c>
      <c r="B475" s="9"/>
      <c r="C475" s="9"/>
      <c r="D475" s="10"/>
      <c r="E475" s="10"/>
      <c r="F475" s="10">
        <v>171450</v>
      </c>
      <c r="G475" s="10"/>
      <c r="H475" s="10"/>
      <c r="I475" s="10"/>
      <c r="J475" s="265"/>
      <c r="K475" s="24">
        <v>463</v>
      </c>
      <c r="L475" s="6">
        <v>477</v>
      </c>
      <c r="M475" s="270">
        <f t="shared" si="8"/>
        <v>14</v>
      </c>
      <c r="N475" s="7"/>
      <c r="O475" s="277"/>
      <c r="P475" s="345"/>
      <c r="V475" s="383"/>
    </row>
    <row r="476" spans="1:22" ht="15" customHeight="1">
      <c r="A476" s="8">
        <v>36480</v>
      </c>
      <c r="B476" s="9"/>
      <c r="C476" s="9"/>
      <c r="D476" s="10"/>
      <c r="E476" s="10"/>
      <c r="F476" s="10">
        <v>171050</v>
      </c>
      <c r="G476" s="10"/>
      <c r="H476" s="10"/>
      <c r="I476" s="10"/>
      <c r="J476" s="265"/>
      <c r="K476" s="24">
        <v>473</v>
      </c>
      <c r="L476" s="6">
        <v>483</v>
      </c>
      <c r="M476" s="270">
        <f t="shared" si="8"/>
        <v>10</v>
      </c>
      <c r="N476" s="7"/>
      <c r="O476" s="277"/>
      <c r="P476" s="345"/>
      <c r="V476" s="383"/>
    </row>
    <row r="477" spans="1:22" ht="15" customHeight="1">
      <c r="A477" s="8">
        <v>36481</v>
      </c>
      <c r="B477" s="9"/>
      <c r="C477" s="9"/>
      <c r="D477" s="10"/>
      <c r="E477" s="10"/>
      <c r="F477" s="10">
        <v>171025</v>
      </c>
      <c r="G477" s="10"/>
      <c r="H477" s="10"/>
      <c r="I477" s="10"/>
      <c r="J477" s="265"/>
      <c r="K477" s="24">
        <v>471.5</v>
      </c>
      <c r="L477" s="6">
        <v>483.5</v>
      </c>
      <c r="M477" s="270">
        <f t="shared" si="8"/>
        <v>12</v>
      </c>
      <c r="N477" s="7"/>
      <c r="O477" s="277"/>
      <c r="P477" s="345"/>
      <c r="V477" s="383"/>
    </row>
    <row r="478" spans="1:22" ht="15" customHeight="1">
      <c r="A478" s="8">
        <v>36482</v>
      </c>
      <c r="B478" s="9"/>
      <c r="C478" s="9"/>
      <c r="D478" s="10"/>
      <c r="E478" s="10"/>
      <c r="F478" s="10">
        <v>172425</v>
      </c>
      <c r="G478" s="10"/>
      <c r="H478" s="10"/>
      <c r="I478" s="10"/>
      <c r="J478" s="265"/>
      <c r="K478" s="24">
        <v>472.5</v>
      </c>
      <c r="L478" s="6">
        <v>484</v>
      </c>
      <c r="M478" s="270">
        <f t="shared" si="8"/>
        <v>11.5</v>
      </c>
      <c r="N478" s="7"/>
      <c r="O478" s="277"/>
      <c r="P478" s="345"/>
      <c r="V478" s="383"/>
    </row>
    <row r="479" spans="1:22" ht="15" customHeight="1">
      <c r="A479" s="8">
        <v>36483</v>
      </c>
      <c r="B479" s="9"/>
      <c r="C479" s="9"/>
      <c r="D479" s="10"/>
      <c r="E479" s="10"/>
      <c r="F479" s="10">
        <v>172275</v>
      </c>
      <c r="G479" s="10"/>
      <c r="H479" s="10"/>
      <c r="I479" s="10"/>
      <c r="J479" s="265"/>
      <c r="K479" s="24">
        <v>473</v>
      </c>
      <c r="L479" s="6">
        <v>481</v>
      </c>
      <c r="M479" s="270">
        <f t="shared" si="8"/>
        <v>8</v>
      </c>
      <c r="N479" s="7"/>
      <c r="O479" s="277"/>
      <c r="P479" s="345"/>
      <c r="V479" s="383"/>
    </row>
    <row r="480" spans="1:22" ht="15" customHeight="1">
      <c r="A480" s="8">
        <v>36486</v>
      </c>
      <c r="B480" s="9"/>
      <c r="C480" s="9"/>
      <c r="D480" s="10"/>
      <c r="E480" s="10"/>
      <c r="F480" s="10">
        <v>172250</v>
      </c>
      <c r="G480" s="10"/>
      <c r="H480" s="10"/>
      <c r="I480" s="10"/>
      <c r="J480" s="265"/>
      <c r="K480" s="24">
        <v>467</v>
      </c>
      <c r="L480" s="6">
        <v>480</v>
      </c>
      <c r="M480" s="270">
        <f t="shared" si="8"/>
        <v>13</v>
      </c>
      <c r="N480" s="7"/>
      <c r="O480" s="277"/>
      <c r="P480" s="345"/>
      <c r="V480" s="383"/>
    </row>
    <row r="481" spans="1:22" ht="15" customHeight="1">
      <c r="A481" s="8">
        <v>36487</v>
      </c>
      <c r="B481" s="9"/>
      <c r="C481" s="9"/>
      <c r="D481" s="10"/>
      <c r="E481" s="10"/>
      <c r="F481" s="10">
        <v>174125</v>
      </c>
      <c r="G481" s="10"/>
      <c r="H481" s="10"/>
      <c r="I481" s="10"/>
      <c r="J481" s="265"/>
      <c r="K481" s="24">
        <v>473.5</v>
      </c>
      <c r="L481" s="6">
        <v>484.5</v>
      </c>
      <c r="M481" s="270">
        <f t="shared" si="8"/>
        <v>11</v>
      </c>
      <c r="N481" s="7"/>
      <c r="O481" s="277"/>
      <c r="P481" s="345"/>
      <c r="V481" s="383"/>
    </row>
    <row r="482" spans="1:22" ht="15" customHeight="1">
      <c r="A482" s="8">
        <v>36488</v>
      </c>
      <c r="B482" s="9"/>
      <c r="C482" s="9"/>
      <c r="D482" s="10"/>
      <c r="E482" s="10"/>
      <c r="F482" s="10">
        <v>174650</v>
      </c>
      <c r="G482" s="10"/>
      <c r="H482" s="10"/>
      <c r="I482" s="10"/>
      <c r="J482" s="265"/>
      <c r="K482" s="24">
        <v>480.5</v>
      </c>
      <c r="L482" s="6">
        <v>491.5</v>
      </c>
      <c r="M482" s="270">
        <f t="shared" si="8"/>
        <v>11</v>
      </c>
      <c r="N482" s="7"/>
      <c r="O482" s="277"/>
      <c r="P482" s="345"/>
      <c r="V482" s="383"/>
    </row>
    <row r="483" spans="1:22" ht="15" customHeight="1">
      <c r="A483" s="8">
        <v>36489</v>
      </c>
      <c r="B483" s="9"/>
      <c r="C483" s="9"/>
      <c r="D483" s="10"/>
      <c r="E483" s="10"/>
      <c r="F483" s="10">
        <v>174625</v>
      </c>
      <c r="G483" s="10"/>
      <c r="H483" s="10"/>
      <c r="I483" s="10"/>
      <c r="J483" s="265"/>
      <c r="K483" s="24">
        <v>484.5</v>
      </c>
      <c r="L483" s="6">
        <v>495.5</v>
      </c>
      <c r="M483" s="270">
        <f t="shared" si="8"/>
        <v>11</v>
      </c>
      <c r="N483" s="7"/>
      <c r="O483" s="277"/>
      <c r="P483" s="345"/>
      <c r="V483" s="383"/>
    </row>
    <row r="484" spans="1:22" ht="15" customHeight="1">
      <c r="A484" s="8">
        <v>36490</v>
      </c>
      <c r="B484" s="9"/>
      <c r="C484" s="9"/>
      <c r="D484" s="10"/>
      <c r="E484" s="10"/>
      <c r="F484" s="10">
        <v>174925</v>
      </c>
      <c r="G484" s="10"/>
      <c r="H484" s="10"/>
      <c r="I484" s="10"/>
      <c r="J484" s="265"/>
      <c r="K484" s="24">
        <v>487</v>
      </c>
      <c r="L484" s="6">
        <v>496.5</v>
      </c>
      <c r="M484" s="270">
        <f t="shared" si="8"/>
        <v>9.5</v>
      </c>
      <c r="N484" s="7"/>
      <c r="O484" s="277"/>
      <c r="P484" s="345"/>
      <c r="V484" s="383"/>
    </row>
    <row r="485" spans="1:22" ht="15" customHeight="1">
      <c r="A485" s="8">
        <v>36493</v>
      </c>
      <c r="B485" s="9"/>
      <c r="C485" s="9"/>
      <c r="D485" s="10"/>
      <c r="E485" s="10"/>
      <c r="F485" s="10">
        <v>174400</v>
      </c>
      <c r="G485" s="10"/>
      <c r="H485" s="10"/>
      <c r="I485" s="10"/>
      <c r="J485" s="265"/>
      <c r="K485" s="24">
        <v>486</v>
      </c>
      <c r="L485" s="6">
        <v>499</v>
      </c>
      <c r="M485" s="270">
        <f t="shared" si="8"/>
        <v>13</v>
      </c>
      <c r="N485" s="7"/>
      <c r="O485" s="277"/>
      <c r="P485" s="345"/>
      <c r="V485" s="383"/>
    </row>
    <row r="486" spans="1:22" ht="15" customHeight="1">
      <c r="A486" s="8">
        <v>36494</v>
      </c>
      <c r="B486" s="9"/>
      <c r="C486" s="9"/>
      <c r="D486" s="10"/>
      <c r="E486" s="10"/>
      <c r="F486" s="10">
        <v>175075</v>
      </c>
      <c r="G486" s="10"/>
      <c r="H486" s="10"/>
      <c r="I486" s="10"/>
      <c r="J486" s="265"/>
      <c r="K486" s="24">
        <v>488</v>
      </c>
      <c r="L486" s="6">
        <v>496.5</v>
      </c>
      <c r="M486" s="270">
        <f t="shared" si="8"/>
        <v>8.5</v>
      </c>
      <c r="N486" s="7"/>
      <c r="O486" s="277"/>
      <c r="P486" s="345"/>
      <c r="V486" s="383"/>
    </row>
    <row r="487" spans="1:22" ht="15" customHeight="1">
      <c r="A487" s="8">
        <v>36495</v>
      </c>
      <c r="B487" s="9"/>
      <c r="C487" s="9"/>
      <c r="D487" s="10"/>
      <c r="E487" s="10"/>
      <c r="F487" s="10">
        <v>174850</v>
      </c>
      <c r="G487" s="10"/>
      <c r="H487" s="10"/>
      <c r="I487" s="10"/>
      <c r="J487" s="265"/>
      <c r="K487" s="24">
        <v>492</v>
      </c>
      <c r="L487" s="6">
        <v>501.5</v>
      </c>
      <c r="M487" s="270">
        <f t="shared" si="8"/>
        <v>9.5</v>
      </c>
      <c r="N487" s="7"/>
      <c r="O487" s="277"/>
      <c r="P487" s="345"/>
      <c r="V487" s="383"/>
    </row>
    <row r="488" spans="1:22" ht="15" customHeight="1">
      <c r="A488" s="8">
        <v>36496</v>
      </c>
      <c r="B488" s="9"/>
      <c r="C488" s="9"/>
      <c r="D488" s="10"/>
      <c r="E488" s="10"/>
      <c r="F488" s="10">
        <v>174700</v>
      </c>
      <c r="G488" s="10"/>
      <c r="H488" s="10"/>
      <c r="I488" s="10"/>
      <c r="J488" s="265"/>
      <c r="K488" s="24">
        <v>484.5</v>
      </c>
      <c r="L488" s="6">
        <v>494.5</v>
      </c>
      <c r="M488" s="270">
        <f t="shared" si="8"/>
        <v>10</v>
      </c>
      <c r="N488" s="7"/>
      <c r="O488" s="277"/>
      <c r="P488" s="345"/>
      <c r="V488" s="383"/>
    </row>
    <row r="489" spans="1:22" ht="15" customHeight="1">
      <c r="A489" s="8">
        <v>36497</v>
      </c>
      <c r="B489" s="9"/>
      <c r="C489" s="9"/>
      <c r="D489" s="10"/>
      <c r="E489" s="10"/>
      <c r="F489" s="10">
        <v>174500</v>
      </c>
      <c r="G489" s="10"/>
      <c r="H489" s="10"/>
      <c r="I489" s="10"/>
      <c r="J489" s="265"/>
      <c r="K489" s="24">
        <v>480.5</v>
      </c>
      <c r="L489" s="6">
        <v>492.5</v>
      </c>
      <c r="M489" s="270">
        <f t="shared" si="8"/>
        <v>12</v>
      </c>
      <c r="N489" s="7"/>
      <c r="O489" s="277"/>
      <c r="P489" s="345"/>
      <c r="V489" s="383"/>
    </row>
    <row r="490" spans="1:22" ht="15" customHeight="1">
      <c r="A490" s="8">
        <v>36500</v>
      </c>
      <c r="B490" s="9"/>
      <c r="C490" s="9"/>
      <c r="D490" s="10"/>
      <c r="E490" s="10"/>
      <c r="F490" s="10">
        <v>174325</v>
      </c>
      <c r="G490" s="10"/>
      <c r="H490" s="10"/>
      <c r="I490" s="10"/>
      <c r="J490" s="265"/>
      <c r="K490" s="24">
        <v>487.5</v>
      </c>
      <c r="L490" s="6">
        <v>500.5</v>
      </c>
      <c r="M490" s="270">
        <f t="shared" si="8"/>
        <v>13</v>
      </c>
      <c r="N490" s="7"/>
      <c r="O490" s="277"/>
      <c r="P490" s="345"/>
      <c r="V490" s="383"/>
    </row>
    <row r="491" spans="1:22" ht="15" customHeight="1">
      <c r="A491" s="8">
        <v>36501</v>
      </c>
      <c r="B491" s="9"/>
      <c r="C491" s="9"/>
      <c r="D491" s="10"/>
      <c r="E491" s="10"/>
      <c r="F491" s="10">
        <v>174150</v>
      </c>
      <c r="G491" s="10"/>
      <c r="H491" s="10"/>
      <c r="I491" s="10"/>
      <c r="J491" s="265"/>
      <c r="K491" s="24">
        <v>480</v>
      </c>
      <c r="L491" s="6">
        <v>495</v>
      </c>
      <c r="M491" s="270">
        <f t="shared" si="8"/>
        <v>15</v>
      </c>
      <c r="N491" s="7"/>
      <c r="O491" s="277"/>
      <c r="P491" s="345"/>
      <c r="V491" s="383"/>
    </row>
    <row r="492" spans="1:22" ht="15" customHeight="1">
      <c r="A492" s="8">
        <v>36502</v>
      </c>
      <c r="B492" s="9"/>
      <c r="C492" s="9"/>
      <c r="D492" s="10"/>
      <c r="E492" s="10"/>
      <c r="F492" s="10">
        <v>177550</v>
      </c>
      <c r="G492" s="10"/>
      <c r="H492" s="10"/>
      <c r="I492" s="10"/>
      <c r="J492" s="265"/>
      <c r="K492" s="24">
        <v>475.5</v>
      </c>
      <c r="L492" s="6">
        <v>492</v>
      </c>
      <c r="M492" s="270">
        <f t="shared" si="8"/>
        <v>16.5</v>
      </c>
      <c r="N492" s="7"/>
      <c r="O492" s="277"/>
      <c r="P492" s="345"/>
      <c r="V492" s="383"/>
    </row>
    <row r="493" spans="1:22" ht="15" customHeight="1">
      <c r="A493" s="8">
        <v>36503</v>
      </c>
      <c r="B493" s="9"/>
      <c r="C493" s="9"/>
      <c r="D493" s="10"/>
      <c r="E493" s="10"/>
      <c r="F493" s="10">
        <v>177550</v>
      </c>
      <c r="G493" s="10"/>
      <c r="H493" s="10"/>
      <c r="I493" s="10"/>
      <c r="J493" s="265"/>
      <c r="K493" s="24">
        <v>478</v>
      </c>
      <c r="L493" s="6">
        <v>491</v>
      </c>
      <c r="M493" s="270">
        <f t="shared" si="8"/>
        <v>13</v>
      </c>
      <c r="N493" s="7"/>
      <c r="O493" s="277"/>
      <c r="P493" s="345"/>
      <c r="V493" s="383"/>
    </row>
    <row r="494" spans="1:22" ht="15" customHeight="1">
      <c r="A494" s="8">
        <v>36504</v>
      </c>
      <c r="B494" s="9"/>
      <c r="C494" s="9"/>
      <c r="D494" s="10"/>
      <c r="E494" s="10"/>
      <c r="F494" s="10">
        <v>177525</v>
      </c>
      <c r="G494" s="10"/>
      <c r="H494" s="10"/>
      <c r="I494" s="10"/>
      <c r="J494" s="265"/>
      <c r="K494" s="24">
        <v>476</v>
      </c>
      <c r="L494" s="6">
        <v>491</v>
      </c>
      <c r="M494" s="270">
        <f t="shared" si="8"/>
        <v>15</v>
      </c>
      <c r="N494" s="7"/>
      <c r="O494" s="277"/>
      <c r="P494" s="345"/>
      <c r="V494" s="383"/>
    </row>
    <row r="495" spans="1:22" ht="15" customHeight="1">
      <c r="A495" s="8">
        <v>36507</v>
      </c>
      <c r="B495" s="9"/>
      <c r="C495" s="9"/>
      <c r="D495" s="10"/>
      <c r="E495" s="10"/>
      <c r="F495" s="10">
        <v>177400</v>
      </c>
      <c r="G495" s="10"/>
      <c r="H495" s="10"/>
      <c r="I495" s="10"/>
      <c r="J495" s="265"/>
      <c r="K495" s="24">
        <v>472</v>
      </c>
      <c r="L495" s="6">
        <v>488</v>
      </c>
      <c r="M495" s="270">
        <f t="shared" si="8"/>
        <v>16</v>
      </c>
      <c r="N495" s="7"/>
      <c r="O495" s="277"/>
      <c r="P495" s="345"/>
      <c r="V495" s="383"/>
    </row>
    <row r="496" spans="1:22" ht="15" customHeight="1">
      <c r="A496" s="8">
        <v>36508</v>
      </c>
      <c r="B496" s="9"/>
      <c r="C496" s="9"/>
      <c r="D496" s="10"/>
      <c r="E496" s="10"/>
      <c r="F496" s="10">
        <v>177300</v>
      </c>
      <c r="G496" s="10"/>
      <c r="H496" s="10"/>
      <c r="I496" s="10"/>
      <c r="J496" s="265"/>
      <c r="K496" s="24">
        <v>474.5</v>
      </c>
      <c r="L496" s="6">
        <v>491.5</v>
      </c>
      <c r="M496" s="270">
        <f t="shared" si="8"/>
        <v>17</v>
      </c>
      <c r="N496" s="7"/>
      <c r="O496" s="277"/>
      <c r="P496" s="345"/>
      <c r="V496" s="383"/>
    </row>
    <row r="497" spans="1:22" ht="15" customHeight="1">
      <c r="A497" s="8">
        <v>36509</v>
      </c>
      <c r="B497" s="9"/>
      <c r="C497" s="9"/>
      <c r="D497" s="10"/>
      <c r="E497" s="10"/>
      <c r="F497" s="10">
        <v>177250</v>
      </c>
      <c r="G497" s="10"/>
      <c r="H497" s="10"/>
      <c r="I497" s="10"/>
      <c r="J497" s="265"/>
      <c r="K497" s="24">
        <v>480</v>
      </c>
      <c r="L497" s="6">
        <v>494.5</v>
      </c>
      <c r="M497" s="270">
        <f t="shared" si="8"/>
        <v>14.5</v>
      </c>
      <c r="N497" s="7"/>
      <c r="O497" s="277"/>
      <c r="P497" s="345"/>
      <c r="V497" s="383"/>
    </row>
    <row r="498" spans="1:22" ht="15" customHeight="1">
      <c r="A498" s="8">
        <v>36510</v>
      </c>
      <c r="B498" s="9"/>
      <c r="C498" s="9"/>
      <c r="D498" s="10"/>
      <c r="E498" s="10"/>
      <c r="F498" s="10">
        <v>177175</v>
      </c>
      <c r="G498" s="10"/>
      <c r="H498" s="10"/>
      <c r="I498" s="10"/>
      <c r="J498" s="265"/>
      <c r="K498" s="24">
        <v>482</v>
      </c>
      <c r="L498" s="6">
        <v>497</v>
      </c>
      <c r="M498" s="270">
        <f t="shared" si="8"/>
        <v>15</v>
      </c>
      <c r="N498" s="7"/>
      <c r="O498" s="277"/>
      <c r="P498" s="345"/>
      <c r="V498" s="383"/>
    </row>
    <row r="499" spans="1:22" ht="15" customHeight="1">
      <c r="A499" s="8">
        <v>36511</v>
      </c>
      <c r="B499" s="9"/>
      <c r="C499" s="9"/>
      <c r="D499" s="10"/>
      <c r="E499" s="10"/>
      <c r="F499" s="10">
        <v>178525</v>
      </c>
      <c r="G499" s="10"/>
      <c r="H499" s="10"/>
      <c r="I499" s="10"/>
      <c r="J499" s="265"/>
      <c r="K499" s="24">
        <v>482</v>
      </c>
      <c r="L499" s="6">
        <v>498</v>
      </c>
      <c r="M499" s="270">
        <f t="shared" si="8"/>
        <v>16</v>
      </c>
      <c r="N499" s="7"/>
      <c r="O499" s="277"/>
      <c r="P499" s="345"/>
      <c r="V499" s="383"/>
    </row>
    <row r="500" spans="1:22" ht="15" customHeight="1">
      <c r="A500" s="8">
        <v>36514</v>
      </c>
      <c r="B500" s="9"/>
      <c r="C500" s="9"/>
      <c r="D500" s="10"/>
      <c r="E500" s="10"/>
      <c r="F500" s="10">
        <v>178425</v>
      </c>
      <c r="G500" s="10"/>
      <c r="H500" s="10"/>
      <c r="I500" s="10"/>
      <c r="J500" s="265"/>
      <c r="K500" s="24">
        <v>477</v>
      </c>
      <c r="L500" s="6">
        <v>494.5</v>
      </c>
      <c r="M500" s="270">
        <f t="shared" si="8"/>
        <v>17.5</v>
      </c>
      <c r="N500" s="7"/>
      <c r="O500" s="277"/>
      <c r="P500" s="345"/>
      <c r="V500" s="383"/>
    </row>
    <row r="501" spans="1:22" ht="15" customHeight="1">
      <c r="A501" s="8">
        <v>36515</v>
      </c>
      <c r="B501" s="9"/>
      <c r="C501" s="9"/>
      <c r="D501" s="10"/>
      <c r="E501" s="10"/>
      <c r="F501" s="10">
        <v>178075</v>
      </c>
      <c r="G501" s="10"/>
      <c r="H501" s="10"/>
      <c r="I501" s="10"/>
      <c r="J501" s="265"/>
      <c r="K501" s="24">
        <v>476</v>
      </c>
      <c r="L501" s="6">
        <v>493</v>
      </c>
      <c r="M501" s="270">
        <f t="shared" si="8"/>
        <v>17</v>
      </c>
      <c r="N501" s="7"/>
      <c r="O501" s="277"/>
      <c r="P501" s="345"/>
      <c r="V501" s="383"/>
    </row>
    <row r="502" spans="1:22" ht="15" customHeight="1">
      <c r="A502" s="8">
        <v>36516</v>
      </c>
      <c r="B502" s="9"/>
      <c r="C502" s="9"/>
      <c r="D502" s="10"/>
      <c r="E502" s="10"/>
      <c r="F502" s="10">
        <v>177825</v>
      </c>
      <c r="G502" s="10"/>
      <c r="H502" s="10"/>
      <c r="I502" s="10"/>
      <c r="J502" s="265"/>
      <c r="K502" s="24">
        <v>477.5</v>
      </c>
      <c r="L502" s="6">
        <v>496</v>
      </c>
      <c r="M502" s="270">
        <f t="shared" si="8"/>
        <v>18.5</v>
      </c>
      <c r="N502" s="7"/>
      <c r="O502" s="277"/>
      <c r="P502" s="345"/>
      <c r="V502" s="383"/>
    </row>
    <row r="503" spans="1:22" ht="15" customHeight="1">
      <c r="A503" s="8">
        <v>36517</v>
      </c>
      <c r="B503" s="9"/>
      <c r="C503" s="9"/>
      <c r="D503" s="10"/>
      <c r="E503" s="10"/>
      <c r="F503" s="10">
        <v>177650</v>
      </c>
      <c r="G503" s="10"/>
      <c r="H503" s="10"/>
      <c r="I503" s="10"/>
      <c r="J503" s="265"/>
      <c r="K503" s="24">
        <v>477</v>
      </c>
      <c r="L503" s="6">
        <v>495</v>
      </c>
      <c r="M503" s="270">
        <f>L503-K503</f>
        <v>18</v>
      </c>
      <c r="N503" s="7"/>
      <c r="O503" s="277"/>
      <c r="P503" s="345"/>
      <c r="V503" s="383"/>
    </row>
    <row r="504" spans="1:22" ht="15" customHeight="1">
      <c r="A504" s="8">
        <v>36518</v>
      </c>
      <c r="B504" s="9"/>
      <c r="C504" s="9"/>
      <c r="D504" s="10"/>
      <c r="E504" s="10"/>
      <c r="F504" s="10">
        <v>177225</v>
      </c>
      <c r="G504" s="10"/>
      <c r="H504" s="10"/>
      <c r="I504" s="10"/>
      <c r="J504" s="265"/>
      <c r="K504" s="24">
        <v>474</v>
      </c>
      <c r="L504" s="6">
        <v>493</v>
      </c>
      <c r="M504" s="270">
        <f t="shared" si="8"/>
        <v>19</v>
      </c>
      <c r="N504" s="7"/>
      <c r="O504" s="277"/>
      <c r="P504" s="345"/>
      <c r="V504" s="383"/>
    </row>
    <row r="505" spans="1:22" ht="15" customHeight="1">
      <c r="A505" s="8">
        <v>36523</v>
      </c>
      <c r="B505" s="9"/>
      <c r="C505" s="9"/>
      <c r="D505" s="10"/>
      <c r="E505" s="10"/>
      <c r="F505" s="10">
        <v>177175</v>
      </c>
      <c r="G505" s="10"/>
      <c r="H505" s="10"/>
      <c r="I505" s="10"/>
      <c r="J505" s="265"/>
      <c r="K505" s="24">
        <v>477</v>
      </c>
      <c r="L505" s="6">
        <v>495</v>
      </c>
      <c r="M505" s="270">
        <f t="shared" si="8"/>
        <v>18</v>
      </c>
      <c r="N505" s="7"/>
      <c r="O505" s="277"/>
      <c r="P505" s="345"/>
      <c r="V505" s="383"/>
    </row>
    <row r="506" spans="1:22" ht="15" customHeight="1">
      <c r="A506" s="8">
        <v>36524</v>
      </c>
      <c r="B506" s="9"/>
      <c r="C506" s="9"/>
      <c r="D506" s="10"/>
      <c r="E506" s="10"/>
      <c r="F506" s="10">
        <v>176675</v>
      </c>
      <c r="G506" s="10"/>
      <c r="H506" s="10"/>
      <c r="I506" s="10"/>
      <c r="J506" s="265"/>
      <c r="K506" s="24">
        <v>478</v>
      </c>
      <c r="L506" s="6">
        <v>495.5</v>
      </c>
      <c r="M506" s="270">
        <f t="shared" si="8"/>
        <v>17.5</v>
      </c>
      <c r="N506" s="7"/>
      <c r="O506" s="277"/>
      <c r="P506" s="345"/>
      <c r="V506" s="383"/>
    </row>
    <row r="507" spans="1:22" ht="15" customHeight="1">
      <c r="A507" s="8">
        <v>36529</v>
      </c>
      <c r="B507" s="9"/>
      <c r="C507" s="9"/>
      <c r="D507" s="10"/>
      <c r="E507" s="10"/>
      <c r="F507" s="10">
        <v>176425</v>
      </c>
      <c r="G507" s="10"/>
      <c r="H507" s="10"/>
      <c r="I507" s="10"/>
      <c r="J507" s="265"/>
      <c r="K507" s="24">
        <v>474.5</v>
      </c>
      <c r="L507" s="6">
        <v>492.5</v>
      </c>
      <c r="M507" s="270">
        <f t="shared" si="8"/>
        <v>18</v>
      </c>
      <c r="N507" s="7"/>
      <c r="O507" s="277"/>
      <c r="P507" s="345"/>
      <c r="V507" s="383"/>
    </row>
    <row r="508" spans="1:22" ht="15" customHeight="1">
      <c r="A508" s="8">
        <v>36530</v>
      </c>
      <c r="B508" s="9"/>
      <c r="C508" s="9"/>
      <c r="D508" s="10"/>
      <c r="E508" s="10"/>
      <c r="F508" s="10">
        <v>175600</v>
      </c>
      <c r="G508" s="10"/>
      <c r="H508" s="10"/>
      <c r="I508" s="10"/>
      <c r="J508" s="265"/>
      <c r="K508" s="24">
        <v>474</v>
      </c>
      <c r="L508" s="6">
        <v>493</v>
      </c>
      <c r="M508" s="270">
        <f t="shared" si="8"/>
        <v>19</v>
      </c>
      <c r="N508" s="7"/>
      <c r="O508" s="277"/>
      <c r="P508" s="345"/>
      <c r="V508" s="383"/>
    </row>
    <row r="509" spans="1:22" ht="15" customHeight="1">
      <c r="A509" s="8">
        <v>36531</v>
      </c>
      <c r="B509" s="9"/>
      <c r="C509" s="9"/>
      <c r="D509" s="10"/>
      <c r="E509" s="10"/>
      <c r="F509" s="10">
        <v>175600</v>
      </c>
      <c r="G509" s="10"/>
      <c r="H509" s="10"/>
      <c r="I509" s="10"/>
      <c r="J509" s="265"/>
      <c r="K509" s="24">
        <v>478</v>
      </c>
      <c r="L509" s="6">
        <v>492</v>
      </c>
      <c r="M509" s="270">
        <f t="shared" si="8"/>
        <v>14</v>
      </c>
      <c r="N509" s="7"/>
      <c r="O509" s="277"/>
      <c r="P509" s="345"/>
      <c r="V509" s="383"/>
    </row>
    <row r="510" spans="1:22" ht="15" customHeight="1">
      <c r="A510" s="8">
        <v>36532</v>
      </c>
      <c r="B510" s="9"/>
      <c r="C510" s="9"/>
      <c r="D510" s="10"/>
      <c r="E510" s="10"/>
      <c r="F510" s="10">
        <v>175600</v>
      </c>
      <c r="G510" s="10"/>
      <c r="H510" s="10"/>
      <c r="I510" s="10"/>
      <c r="J510" s="265"/>
      <c r="K510" s="24">
        <v>484</v>
      </c>
      <c r="L510" s="6">
        <v>499</v>
      </c>
      <c r="M510" s="270">
        <f t="shared" si="8"/>
        <v>15</v>
      </c>
      <c r="N510" s="7"/>
      <c r="O510" s="277"/>
      <c r="P510" s="345"/>
      <c r="V510" s="383"/>
    </row>
    <row r="511" spans="1:22" ht="15" customHeight="1">
      <c r="A511" s="8">
        <v>36535</v>
      </c>
      <c r="B511" s="9"/>
      <c r="C511" s="9"/>
      <c r="D511" s="10"/>
      <c r="E511" s="10"/>
      <c r="F511" s="10">
        <v>175600</v>
      </c>
      <c r="G511" s="10"/>
      <c r="H511" s="10"/>
      <c r="I511" s="10"/>
      <c r="J511" s="265"/>
      <c r="K511" s="24">
        <v>493</v>
      </c>
      <c r="L511" s="6">
        <v>507.5</v>
      </c>
      <c r="M511" s="270">
        <f t="shared" si="8"/>
        <v>14.5</v>
      </c>
      <c r="N511" s="7"/>
      <c r="O511" s="277"/>
      <c r="P511" s="345"/>
      <c r="V511" s="383"/>
    </row>
    <row r="512" spans="1:22" ht="15" customHeight="1">
      <c r="A512" s="8">
        <v>36536</v>
      </c>
      <c r="B512" s="9"/>
      <c r="C512" s="9"/>
      <c r="D512" s="10"/>
      <c r="E512" s="10"/>
      <c r="F512" s="10">
        <v>178475</v>
      </c>
      <c r="G512" s="10"/>
      <c r="H512" s="10"/>
      <c r="I512" s="10"/>
      <c r="J512" s="265"/>
      <c r="K512" s="24">
        <v>483.5</v>
      </c>
      <c r="L512" s="6">
        <v>498.5</v>
      </c>
      <c r="M512" s="270">
        <f t="shared" si="8"/>
        <v>15</v>
      </c>
      <c r="N512" s="7"/>
      <c r="O512" s="277"/>
      <c r="P512" s="345"/>
      <c r="V512" s="383"/>
    </row>
    <row r="513" spans="1:22" ht="15" customHeight="1">
      <c r="A513" s="8">
        <v>36537</v>
      </c>
      <c r="B513" s="9"/>
      <c r="C513" s="9"/>
      <c r="D513" s="10"/>
      <c r="E513" s="10"/>
      <c r="F513" s="10">
        <v>179750</v>
      </c>
      <c r="G513" s="10"/>
      <c r="H513" s="10"/>
      <c r="I513" s="10"/>
      <c r="J513" s="265"/>
      <c r="K513" s="24">
        <v>482</v>
      </c>
      <c r="L513" s="6">
        <v>496</v>
      </c>
      <c r="M513" s="270">
        <f t="shared" si="8"/>
        <v>14</v>
      </c>
      <c r="N513" s="7"/>
      <c r="O513" s="277"/>
      <c r="P513" s="345"/>
      <c r="V513" s="383"/>
    </row>
    <row r="514" spans="1:22" ht="15" customHeight="1">
      <c r="A514" s="8">
        <v>36538</v>
      </c>
      <c r="B514" s="9"/>
      <c r="C514" s="9"/>
      <c r="D514" s="10"/>
      <c r="E514" s="10"/>
      <c r="F514" s="10">
        <v>186225</v>
      </c>
      <c r="G514" s="10"/>
      <c r="H514" s="10"/>
      <c r="I514" s="10"/>
      <c r="J514" s="265"/>
      <c r="K514" s="24">
        <v>480</v>
      </c>
      <c r="L514" s="6">
        <v>496</v>
      </c>
      <c r="M514" s="270">
        <f t="shared" si="8"/>
        <v>16</v>
      </c>
      <c r="N514" s="7"/>
      <c r="O514" s="277"/>
      <c r="P514" s="345"/>
      <c r="V514" s="383"/>
    </row>
    <row r="515" spans="1:22" ht="15" customHeight="1">
      <c r="A515" s="8">
        <v>36539</v>
      </c>
      <c r="B515" s="9"/>
      <c r="C515" s="9"/>
      <c r="D515" s="10"/>
      <c r="E515" s="10"/>
      <c r="F515" s="10">
        <v>187750</v>
      </c>
      <c r="G515" s="10"/>
      <c r="H515" s="10"/>
      <c r="I515" s="10"/>
      <c r="J515" s="265"/>
      <c r="K515" s="24">
        <v>474</v>
      </c>
      <c r="L515" s="6">
        <v>490.5</v>
      </c>
      <c r="M515" s="270">
        <f t="shared" si="8"/>
        <v>16.5</v>
      </c>
      <c r="N515" s="7"/>
      <c r="O515" s="277"/>
      <c r="P515" s="345"/>
      <c r="V515" s="383"/>
    </row>
    <row r="516" spans="1:22" ht="15" customHeight="1">
      <c r="A516" s="8">
        <v>36542</v>
      </c>
      <c r="B516" s="9"/>
      <c r="C516" s="9"/>
      <c r="D516" s="10"/>
      <c r="E516" s="10"/>
      <c r="F516" s="10">
        <v>187550</v>
      </c>
      <c r="G516" s="10"/>
      <c r="H516" s="10"/>
      <c r="I516" s="10"/>
      <c r="J516" s="265"/>
      <c r="K516" s="24">
        <v>467</v>
      </c>
      <c r="L516" s="6">
        <v>484.5</v>
      </c>
      <c r="M516" s="270">
        <f t="shared" si="8"/>
        <v>17.5</v>
      </c>
      <c r="N516" s="7"/>
      <c r="O516" s="277"/>
      <c r="P516" s="345"/>
      <c r="V516" s="383"/>
    </row>
    <row r="517" spans="1:22" ht="15" customHeight="1">
      <c r="A517" s="8">
        <v>36543</v>
      </c>
      <c r="B517" s="9"/>
      <c r="C517" s="9"/>
      <c r="D517" s="10"/>
      <c r="E517" s="10"/>
      <c r="F517" s="10">
        <v>186200</v>
      </c>
      <c r="G517" s="10"/>
      <c r="H517" s="10"/>
      <c r="I517" s="10"/>
      <c r="J517" s="265"/>
      <c r="K517" s="24">
        <v>466</v>
      </c>
      <c r="L517" s="6">
        <v>482</v>
      </c>
      <c r="M517" s="270">
        <f t="shared" si="8"/>
        <v>16</v>
      </c>
      <c r="N517" s="7"/>
      <c r="O517" s="277"/>
      <c r="P517" s="345"/>
      <c r="V517" s="383"/>
    </row>
    <row r="518" spans="1:22" ht="15" customHeight="1">
      <c r="A518" s="8">
        <v>36544</v>
      </c>
      <c r="B518" s="9"/>
      <c r="C518" s="9"/>
      <c r="D518" s="10"/>
      <c r="E518" s="10"/>
      <c r="F518" s="10">
        <v>185925</v>
      </c>
      <c r="G518" s="10"/>
      <c r="H518" s="10"/>
      <c r="I518" s="10"/>
      <c r="J518" s="265"/>
      <c r="K518" s="24">
        <v>473</v>
      </c>
      <c r="L518" s="6">
        <v>488</v>
      </c>
      <c r="M518" s="270">
        <f t="shared" si="8"/>
        <v>15</v>
      </c>
      <c r="N518" s="7"/>
      <c r="O518" s="277"/>
      <c r="P518" s="345"/>
      <c r="V518" s="383"/>
    </row>
    <row r="519" spans="1:22" ht="15" customHeight="1">
      <c r="A519" s="8">
        <v>36545</v>
      </c>
      <c r="B519" s="9"/>
      <c r="C519" s="9"/>
      <c r="D519" s="10"/>
      <c r="E519" s="10"/>
      <c r="F519" s="10">
        <v>185600</v>
      </c>
      <c r="G519" s="10"/>
      <c r="H519" s="10"/>
      <c r="I519" s="10"/>
      <c r="J519" s="265"/>
      <c r="K519" s="24">
        <v>465</v>
      </c>
      <c r="L519" s="6">
        <v>483</v>
      </c>
      <c r="M519" s="270">
        <f t="shared" si="8"/>
        <v>18</v>
      </c>
      <c r="N519" s="7"/>
      <c r="O519" s="277"/>
      <c r="P519" s="345"/>
      <c r="V519" s="383"/>
    </row>
    <row r="520" spans="1:22" ht="15" customHeight="1">
      <c r="A520" s="8">
        <v>36546</v>
      </c>
      <c r="B520" s="9"/>
      <c r="C520" s="9"/>
      <c r="D520" s="10"/>
      <c r="E520" s="10"/>
      <c r="F520" s="10">
        <v>186000</v>
      </c>
      <c r="G520" s="10"/>
      <c r="H520" s="10"/>
      <c r="I520" s="10"/>
      <c r="J520" s="265"/>
      <c r="K520" s="24">
        <v>464</v>
      </c>
      <c r="L520" s="6">
        <v>480</v>
      </c>
      <c r="M520" s="270">
        <f t="shared" si="8"/>
        <v>16</v>
      </c>
      <c r="N520" s="7"/>
      <c r="O520" s="277"/>
      <c r="P520" s="345"/>
      <c r="V520" s="383"/>
    </row>
    <row r="521" spans="1:22" ht="15" customHeight="1">
      <c r="A521" s="8">
        <v>36549</v>
      </c>
      <c r="B521" s="9"/>
      <c r="C521" s="9"/>
      <c r="D521" s="10"/>
      <c r="E521" s="10"/>
      <c r="F521" s="10">
        <v>185475</v>
      </c>
      <c r="G521" s="10"/>
      <c r="H521" s="10"/>
      <c r="I521" s="10"/>
      <c r="J521" s="265"/>
      <c r="K521" s="24">
        <v>462</v>
      </c>
      <c r="L521" s="6">
        <v>478</v>
      </c>
      <c r="M521" s="270">
        <f t="shared" si="8"/>
        <v>16</v>
      </c>
      <c r="N521" s="7"/>
      <c r="O521" s="277"/>
      <c r="P521" s="345"/>
      <c r="V521" s="383"/>
    </row>
    <row r="522" spans="1:22" ht="15" customHeight="1">
      <c r="A522" s="8">
        <v>36550</v>
      </c>
      <c r="B522" s="9"/>
      <c r="C522" s="9"/>
      <c r="D522" s="10"/>
      <c r="E522" s="10"/>
      <c r="F522" s="10">
        <v>187850</v>
      </c>
      <c r="G522" s="10"/>
      <c r="H522" s="10"/>
      <c r="I522" s="10"/>
      <c r="J522" s="265"/>
      <c r="K522" s="24">
        <v>464.5</v>
      </c>
      <c r="L522" s="6">
        <v>480.5</v>
      </c>
      <c r="M522" s="270">
        <f t="shared" si="8"/>
        <v>16</v>
      </c>
      <c r="N522" s="7"/>
      <c r="O522" s="277"/>
      <c r="P522" s="345"/>
      <c r="V522" s="383"/>
    </row>
    <row r="523" spans="1:22" ht="15" customHeight="1">
      <c r="A523" s="8">
        <v>36551</v>
      </c>
      <c r="B523" s="9"/>
      <c r="C523" s="9"/>
      <c r="D523" s="10"/>
      <c r="E523" s="10"/>
      <c r="F523" s="10">
        <v>187225</v>
      </c>
      <c r="G523" s="10"/>
      <c r="H523" s="10"/>
      <c r="I523" s="10"/>
      <c r="J523" s="265"/>
      <c r="K523" s="24">
        <v>465</v>
      </c>
      <c r="L523" s="6">
        <v>482.5</v>
      </c>
      <c r="M523" s="270">
        <f t="shared" si="8"/>
        <v>17.5</v>
      </c>
      <c r="N523" s="7"/>
      <c r="O523" s="277"/>
      <c r="P523" s="345"/>
      <c r="V523" s="383"/>
    </row>
    <row r="524" spans="1:22" ht="15" customHeight="1">
      <c r="A524" s="8">
        <v>36552</v>
      </c>
      <c r="B524" s="9"/>
      <c r="C524" s="9"/>
      <c r="D524" s="10"/>
      <c r="E524" s="10"/>
      <c r="F524" s="10">
        <v>187025</v>
      </c>
      <c r="G524" s="10"/>
      <c r="H524" s="10"/>
      <c r="I524" s="10"/>
      <c r="J524" s="265"/>
      <c r="K524" s="24">
        <v>464</v>
      </c>
      <c r="L524" s="6">
        <v>480</v>
      </c>
      <c r="M524" s="270">
        <f t="shared" si="8"/>
        <v>16</v>
      </c>
      <c r="N524" s="7"/>
      <c r="O524" s="277"/>
      <c r="P524" s="345"/>
      <c r="V524" s="383"/>
    </row>
    <row r="525" spans="1:22" ht="15" customHeight="1">
      <c r="A525" s="8">
        <v>36553</v>
      </c>
      <c r="B525" s="9"/>
      <c r="C525" s="9"/>
      <c r="D525" s="10"/>
      <c r="E525" s="10"/>
      <c r="F525" s="10">
        <v>186700</v>
      </c>
      <c r="G525" s="10"/>
      <c r="H525" s="10"/>
      <c r="I525" s="10"/>
      <c r="J525" s="265"/>
      <c r="K525" s="24">
        <v>467</v>
      </c>
      <c r="L525" s="6">
        <v>482.5</v>
      </c>
      <c r="M525" s="270">
        <f t="shared" si="8"/>
        <v>15.5</v>
      </c>
      <c r="N525" s="7"/>
      <c r="O525" s="277"/>
      <c r="P525" s="345"/>
      <c r="V525" s="383"/>
    </row>
    <row r="526" spans="1:22" ht="15" customHeight="1">
      <c r="A526" s="8">
        <v>36556</v>
      </c>
      <c r="B526" s="9"/>
      <c r="C526" s="9"/>
      <c r="D526" s="10"/>
      <c r="E526" s="10"/>
      <c r="F526" s="10">
        <v>187025</v>
      </c>
      <c r="G526" s="10"/>
      <c r="H526" s="10"/>
      <c r="I526" s="10"/>
      <c r="J526" s="265"/>
      <c r="K526" s="24">
        <v>461</v>
      </c>
      <c r="L526" s="6">
        <v>477.5</v>
      </c>
      <c r="M526" s="270">
        <f t="shared" si="8"/>
        <v>16.5</v>
      </c>
      <c r="N526" s="7"/>
      <c r="O526" s="277"/>
      <c r="P526" s="345"/>
      <c r="V526" s="383"/>
    </row>
    <row r="527" spans="1:22" ht="15" customHeight="1">
      <c r="A527" s="8">
        <v>36557</v>
      </c>
      <c r="B527" s="9"/>
      <c r="C527" s="9"/>
      <c r="D527" s="10"/>
      <c r="E527" s="10"/>
      <c r="F527" s="10">
        <v>185900</v>
      </c>
      <c r="G527" s="10"/>
      <c r="H527" s="10"/>
      <c r="I527" s="10"/>
      <c r="J527" s="265"/>
      <c r="K527" s="24">
        <v>462.5</v>
      </c>
      <c r="L527" s="6">
        <v>480</v>
      </c>
      <c r="M527" s="270">
        <f t="shared" si="8"/>
        <v>17.5</v>
      </c>
      <c r="N527" s="7"/>
      <c r="O527" s="277"/>
      <c r="P527" s="345"/>
      <c r="V527" s="383"/>
    </row>
    <row r="528" spans="1:22" ht="15" customHeight="1">
      <c r="A528" s="8">
        <v>36558</v>
      </c>
      <c r="B528" s="9"/>
      <c r="C528" s="9"/>
      <c r="D528" s="10"/>
      <c r="E528" s="10"/>
      <c r="F528" s="10">
        <v>185775</v>
      </c>
      <c r="G528" s="10"/>
      <c r="H528" s="10"/>
      <c r="I528" s="10"/>
      <c r="J528" s="265"/>
      <c r="K528" s="24">
        <v>454</v>
      </c>
      <c r="L528" s="6">
        <v>473</v>
      </c>
      <c r="M528" s="270">
        <f t="shared" si="8"/>
        <v>19</v>
      </c>
      <c r="N528" s="7"/>
      <c r="O528" s="277"/>
      <c r="P528" s="345"/>
      <c r="V528" s="383"/>
    </row>
    <row r="529" spans="1:22" ht="15" customHeight="1">
      <c r="A529" s="8">
        <v>36559</v>
      </c>
      <c r="B529" s="9"/>
      <c r="C529" s="9"/>
      <c r="D529" s="10"/>
      <c r="E529" s="10"/>
      <c r="F529" s="10">
        <v>189575</v>
      </c>
      <c r="G529" s="10"/>
      <c r="H529" s="10"/>
      <c r="I529" s="10"/>
      <c r="J529" s="265"/>
      <c r="K529" s="24">
        <v>454</v>
      </c>
      <c r="L529" s="6">
        <v>472</v>
      </c>
      <c r="M529" s="270">
        <f t="shared" ref="M529:M592" si="9">L529-K529</f>
        <v>18</v>
      </c>
      <c r="N529" s="7"/>
      <c r="O529" s="277"/>
      <c r="P529" s="345"/>
      <c r="V529" s="383"/>
    </row>
    <row r="530" spans="1:22" ht="15" customHeight="1">
      <c r="A530" s="8">
        <v>36560</v>
      </c>
      <c r="B530" s="9"/>
      <c r="C530" s="9"/>
      <c r="D530" s="10"/>
      <c r="E530" s="10"/>
      <c r="F530" s="10">
        <v>191825</v>
      </c>
      <c r="G530" s="10"/>
      <c r="H530" s="10"/>
      <c r="I530" s="10"/>
      <c r="J530" s="265"/>
      <c r="K530" s="24">
        <v>451</v>
      </c>
      <c r="L530" s="6">
        <v>468.5</v>
      </c>
      <c r="M530" s="270">
        <f t="shared" si="9"/>
        <v>17.5</v>
      </c>
      <c r="N530" s="7"/>
      <c r="O530" s="277"/>
      <c r="P530" s="345"/>
      <c r="V530" s="383"/>
    </row>
    <row r="531" spans="1:22" ht="15" customHeight="1">
      <c r="A531" s="8">
        <v>36563</v>
      </c>
      <c r="B531" s="9"/>
      <c r="C531" s="9"/>
      <c r="D531" s="10"/>
      <c r="E531" s="10"/>
      <c r="F531" s="10">
        <v>191675</v>
      </c>
      <c r="G531" s="10"/>
      <c r="H531" s="10"/>
      <c r="I531" s="10"/>
      <c r="J531" s="265"/>
      <c r="K531" s="24">
        <v>452.5</v>
      </c>
      <c r="L531" s="6">
        <v>470.5</v>
      </c>
      <c r="M531" s="270">
        <f t="shared" si="9"/>
        <v>18</v>
      </c>
      <c r="N531" s="7"/>
      <c r="O531" s="277"/>
      <c r="P531" s="345"/>
      <c r="V531" s="383"/>
    </row>
    <row r="532" spans="1:22" ht="15" customHeight="1">
      <c r="A532" s="8">
        <v>36564</v>
      </c>
      <c r="B532" s="9"/>
      <c r="C532" s="9"/>
      <c r="D532" s="10"/>
      <c r="E532" s="10"/>
      <c r="F532" s="10">
        <v>191500</v>
      </c>
      <c r="G532" s="10"/>
      <c r="H532" s="10"/>
      <c r="I532" s="10"/>
      <c r="J532" s="265"/>
      <c r="K532" s="24">
        <v>453.5</v>
      </c>
      <c r="L532" s="6">
        <v>472.5</v>
      </c>
      <c r="M532" s="270">
        <f t="shared" si="9"/>
        <v>19</v>
      </c>
      <c r="N532" s="7"/>
      <c r="O532" s="277"/>
      <c r="P532" s="345"/>
      <c r="V532" s="383"/>
    </row>
    <row r="533" spans="1:22" ht="15" customHeight="1">
      <c r="A533" s="8">
        <v>36565</v>
      </c>
      <c r="B533" s="9"/>
      <c r="C533" s="9"/>
      <c r="D533" s="10"/>
      <c r="E533" s="10"/>
      <c r="F533" s="10">
        <v>190950</v>
      </c>
      <c r="G533" s="10"/>
      <c r="H533" s="10"/>
      <c r="I533" s="10"/>
      <c r="J533" s="265"/>
      <c r="K533" s="24">
        <v>452.5</v>
      </c>
      <c r="L533" s="6">
        <v>470.5</v>
      </c>
      <c r="M533" s="270">
        <f t="shared" si="9"/>
        <v>18</v>
      </c>
      <c r="N533" s="7"/>
      <c r="O533" s="277"/>
      <c r="P533" s="345"/>
      <c r="V533" s="383"/>
    </row>
    <row r="534" spans="1:22" ht="15" customHeight="1">
      <c r="A534" s="8">
        <v>36566</v>
      </c>
      <c r="B534" s="9"/>
      <c r="C534" s="9"/>
      <c r="D534" s="10"/>
      <c r="E534" s="10"/>
      <c r="F534" s="10">
        <v>190800</v>
      </c>
      <c r="G534" s="10"/>
      <c r="H534" s="10"/>
      <c r="I534" s="10"/>
      <c r="J534" s="265"/>
      <c r="K534" s="24">
        <v>458.5</v>
      </c>
      <c r="L534" s="6">
        <v>477</v>
      </c>
      <c r="M534" s="270">
        <f t="shared" si="9"/>
        <v>18.5</v>
      </c>
      <c r="N534" s="7"/>
      <c r="O534" s="277"/>
      <c r="P534" s="345"/>
      <c r="V534" s="383"/>
    </row>
    <row r="535" spans="1:22" ht="15" customHeight="1">
      <c r="A535" s="8">
        <v>36567</v>
      </c>
      <c r="B535" s="9"/>
      <c r="C535" s="9"/>
      <c r="D535" s="10"/>
      <c r="E535" s="10"/>
      <c r="F535" s="10">
        <v>190650</v>
      </c>
      <c r="G535" s="10"/>
      <c r="H535" s="10"/>
      <c r="I535" s="10"/>
      <c r="J535" s="265"/>
      <c r="K535" s="24">
        <v>455.5</v>
      </c>
      <c r="L535" s="6">
        <v>472</v>
      </c>
      <c r="M535" s="270">
        <f t="shared" si="9"/>
        <v>16.5</v>
      </c>
      <c r="N535" s="7"/>
      <c r="O535" s="277"/>
      <c r="P535" s="345"/>
      <c r="V535" s="383"/>
    </row>
    <row r="536" spans="1:22" ht="15" customHeight="1">
      <c r="A536" s="8">
        <v>36570</v>
      </c>
      <c r="B536" s="9"/>
      <c r="C536" s="9"/>
      <c r="D536" s="10"/>
      <c r="E536" s="10"/>
      <c r="F536" s="10">
        <v>190175</v>
      </c>
      <c r="G536" s="10"/>
      <c r="H536" s="10"/>
      <c r="I536" s="10"/>
      <c r="J536" s="265"/>
      <c r="K536" s="24">
        <v>457</v>
      </c>
      <c r="L536" s="6">
        <v>475.5</v>
      </c>
      <c r="M536" s="270">
        <f t="shared" si="9"/>
        <v>18.5</v>
      </c>
      <c r="N536" s="7"/>
      <c r="O536" s="277"/>
      <c r="P536" s="345"/>
      <c r="V536" s="383"/>
    </row>
    <row r="537" spans="1:22" ht="15" customHeight="1">
      <c r="A537" s="8">
        <v>36571</v>
      </c>
      <c r="B537" s="9"/>
      <c r="C537" s="9"/>
      <c r="D537" s="10"/>
      <c r="E537" s="10"/>
      <c r="F537" s="10">
        <v>190025</v>
      </c>
      <c r="G537" s="10"/>
      <c r="H537" s="10"/>
      <c r="I537" s="10"/>
      <c r="J537" s="265"/>
      <c r="K537" s="24">
        <v>447.5</v>
      </c>
      <c r="L537" s="6">
        <v>467</v>
      </c>
      <c r="M537" s="270">
        <f t="shared" si="9"/>
        <v>19.5</v>
      </c>
      <c r="N537" s="7"/>
      <c r="O537" s="277"/>
      <c r="P537" s="345"/>
      <c r="V537" s="383"/>
    </row>
    <row r="538" spans="1:22" ht="15" customHeight="1">
      <c r="A538" s="8">
        <v>36572</v>
      </c>
      <c r="B538" s="9"/>
      <c r="C538" s="9"/>
      <c r="D538" s="10"/>
      <c r="E538" s="10"/>
      <c r="F538" s="10">
        <v>191375</v>
      </c>
      <c r="G538" s="10"/>
      <c r="H538" s="10"/>
      <c r="I538" s="10"/>
      <c r="J538" s="265"/>
      <c r="K538" s="24">
        <v>447</v>
      </c>
      <c r="L538" s="6">
        <v>465</v>
      </c>
      <c r="M538" s="270">
        <f t="shared" si="9"/>
        <v>18</v>
      </c>
      <c r="N538" s="7"/>
      <c r="O538" s="277"/>
      <c r="P538" s="345"/>
      <c r="V538" s="383"/>
    </row>
    <row r="539" spans="1:22" ht="15" customHeight="1">
      <c r="A539" s="8">
        <v>36573</v>
      </c>
      <c r="B539" s="9"/>
      <c r="C539" s="9"/>
      <c r="D539" s="10"/>
      <c r="E539" s="10"/>
      <c r="F539" s="10">
        <v>191275</v>
      </c>
      <c r="G539" s="10"/>
      <c r="H539" s="10"/>
      <c r="I539" s="10"/>
      <c r="J539" s="265"/>
      <c r="K539" s="24">
        <v>453</v>
      </c>
      <c r="L539" s="6">
        <v>470</v>
      </c>
      <c r="M539" s="270">
        <f t="shared" si="9"/>
        <v>17</v>
      </c>
      <c r="N539" s="7"/>
      <c r="O539" s="277"/>
      <c r="P539" s="345"/>
      <c r="V539" s="383"/>
    </row>
    <row r="540" spans="1:22" ht="15" customHeight="1">
      <c r="A540" s="8">
        <v>36574</v>
      </c>
      <c r="B540" s="9"/>
      <c r="C540" s="9"/>
      <c r="D540" s="10"/>
      <c r="E540" s="10"/>
      <c r="F540" s="10">
        <v>190975</v>
      </c>
      <c r="G540" s="10"/>
      <c r="H540" s="10"/>
      <c r="I540" s="10"/>
      <c r="J540" s="265"/>
      <c r="K540" s="24">
        <v>451.5</v>
      </c>
      <c r="L540" s="6">
        <v>470</v>
      </c>
      <c r="M540" s="270">
        <f t="shared" si="9"/>
        <v>18.5</v>
      </c>
      <c r="N540" s="7"/>
      <c r="O540" s="277"/>
      <c r="P540" s="345"/>
      <c r="V540" s="383"/>
    </row>
    <row r="541" spans="1:22" ht="15" customHeight="1">
      <c r="A541" s="8">
        <v>36577</v>
      </c>
      <c r="B541" s="9"/>
      <c r="C541" s="9"/>
      <c r="D541" s="10"/>
      <c r="E541" s="10"/>
      <c r="F541" s="10">
        <v>190600</v>
      </c>
      <c r="G541" s="10"/>
      <c r="H541" s="10"/>
      <c r="I541" s="10"/>
      <c r="J541" s="265"/>
      <c r="K541" s="24">
        <v>448</v>
      </c>
      <c r="L541" s="6">
        <v>467.5</v>
      </c>
      <c r="M541" s="270">
        <f t="shared" si="9"/>
        <v>19.5</v>
      </c>
      <c r="N541" s="7"/>
      <c r="O541" s="277"/>
      <c r="P541" s="345"/>
      <c r="V541" s="383"/>
    </row>
    <row r="542" spans="1:22" ht="15" customHeight="1">
      <c r="A542" s="8">
        <v>36578</v>
      </c>
      <c r="B542" s="9"/>
      <c r="C542" s="9"/>
      <c r="D542" s="10"/>
      <c r="E542" s="10"/>
      <c r="F542" s="10">
        <v>191650</v>
      </c>
      <c r="G542" s="10"/>
      <c r="H542" s="10"/>
      <c r="I542" s="10"/>
      <c r="J542" s="265"/>
      <c r="K542" s="24">
        <v>447</v>
      </c>
      <c r="L542" s="6">
        <v>466.5</v>
      </c>
      <c r="M542" s="270">
        <f t="shared" si="9"/>
        <v>19.5</v>
      </c>
      <c r="N542" s="7"/>
      <c r="O542" s="277"/>
      <c r="P542" s="345"/>
      <c r="V542" s="383"/>
    </row>
    <row r="543" spans="1:22" ht="15" customHeight="1">
      <c r="A543" s="8">
        <v>36579</v>
      </c>
      <c r="B543" s="9"/>
      <c r="C543" s="9"/>
      <c r="D543" s="10"/>
      <c r="E543" s="10"/>
      <c r="F543" s="10">
        <v>192050</v>
      </c>
      <c r="G543" s="10"/>
      <c r="H543" s="10"/>
      <c r="I543" s="10"/>
      <c r="J543" s="265"/>
      <c r="K543" s="24">
        <v>449</v>
      </c>
      <c r="L543" s="6">
        <v>467</v>
      </c>
      <c r="M543" s="270">
        <f t="shared" si="9"/>
        <v>18</v>
      </c>
      <c r="N543" s="7"/>
      <c r="O543" s="277"/>
      <c r="P543" s="345"/>
      <c r="V543" s="383"/>
    </row>
    <row r="544" spans="1:22" ht="15" customHeight="1">
      <c r="A544" s="8">
        <v>36580</v>
      </c>
      <c r="B544" s="9"/>
      <c r="C544" s="9"/>
      <c r="D544" s="10"/>
      <c r="E544" s="10"/>
      <c r="F544" s="10">
        <v>193025</v>
      </c>
      <c r="G544" s="10"/>
      <c r="H544" s="10"/>
      <c r="I544" s="10"/>
      <c r="J544" s="265"/>
      <c r="K544" s="24">
        <v>456.5</v>
      </c>
      <c r="L544" s="6">
        <v>473</v>
      </c>
      <c r="M544" s="270">
        <f t="shared" si="9"/>
        <v>16.5</v>
      </c>
      <c r="N544" s="7"/>
      <c r="O544" s="277"/>
      <c r="P544" s="345"/>
      <c r="V544" s="383"/>
    </row>
    <row r="545" spans="1:22" ht="15" customHeight="1">
      <c r="A545" s="8">
        <v>36581</v>
      </c>
      <c r="B545" s="9"/>
      <c r="C545" s="9"/>
      <c r="D545" s="10"/>
      <c r="E545" s="10"/>
      <c r="F545" s="10">
        <v>193000</v>
      </c>
      <c r="G545" s="10"/>
      <c r="H545" s="10"/>
      <c r="I545" s="10"/>
      <c r="J545" s="265"/>
      <c r="K545" s="24">
        <v>453.5</v>
      </c>
      <c r="L545" s="6">
        <v>467</v>
      </c>
      <c r="M545" s="270">
        <f t="shared" si="9"/>
        <v>13.5</v>
      </c>
      <c r="N545" s="7"/>
      <c r="O545" s="277"/>
      <c r="P545" s="345"/>
      <c r="V545" s="383"/>
    </row>
    <row r="546" spans="1:22" ht="15" customHeight="1">
      <c r="A546" s="8">
        <v>36584</v>
      </c>
      <c r="B546" s="9"/>
      <c r="C546" s="9"/>
      <c r="D546" s="10"/>
      <c r="E546" s="10"/>
      <c r="F546" s="10">
        <v>192775</v>
      </c>
      <c r="G546" s="10"/>
      <c r="H546" s="10"/>
      <c r="I546" s="10"/>
      <c r="J546" s="265"/>
      <c r="K546" s="24">
        <v>449</v>
      </c>
      <c r="L546" s="6">
        <v>465.5</v>
      </c>
      <c r="M546" s="270">
        <f t="shared" si="9"/>
        <v>16.5</v>
      </c>
      <c r="N546" s="7"/>
      <c r="O546" s="277"/>
      <c r="P546" s="345"/>
      <c r="V546" s="383"/>
    </row>
    <row r="547" spans="1:22" ht="15" customHeight="1">
      <c r="A547" s="8">
        <v>36585</v>
      </c>
      <c r="B547" s="9"/>
      <c r="C547" s="9"/>
      <c r="D547" s="10"/>
      <c r="E547" s="10"/>
      <c r="F547" s="10">
        <v>192275</v>
      </c>
      <c r="G547" s="10"/>
      <c r="H547" s="10"/>
      <c r="I547" s="10"/>
      <c r="J547" s="265"/>
      <c r="K547" s="24">
        <v>447</v>
      </c>
      <c r="L547" s="6">
        <v>465</v>
      </c>
      <c r="M547" s="270">
        <f t="shared" si="9"/>
        <v>18</v>
      </c>
      <c r="N547" s="7"/>
      <c r="O547" s="277"/>
      <c r="P547" s="345"/>
      <c r="V547" s="383"/>
    </row>
    <row r="548" spans="1:22" ht="15" customHeight="1">
      <c r="A548" s="8">
        <v>36586</v>
      </c>
      <c r="B548" s="9"/>
      <c r="C548" s="9"/>
      <c r="D548" s="10"/>
      <c r="E548" s="10"/>
      <c r="F548" s="10">
        <v>191925</v>
      </c>
      <c r="G548" s="10"/>
      <c r="H548" s="10"/>
      <c r="I548" s="10"/>
      <c r="J548" s="265"/>
      <c r="K548" s="23">
        <v>456</v>
      </c>
      <c r="L548" s="11">
        <v>467</v>
      </c>
      <c r="M548" s="270">
        <f t="shared" si="9"/>
        <v>11</v>
      </c>
      <c r="N548" s="7"/>
      <c r="O548" s="277"/>
      <c r="P548" s="345"/>
      <c r="V548" s="383"/>
    </row>
    <row r="549" spans="1:22" ht="15" customHeight="1">
      <c r="A549" s="8">
        <v>36587</v>
      </c>
      <c r="B549" s="9"/>
      <c r="C549" s="9"/>
      <c r="D549" s="10"/>
      <c r="E549" s="10"/>
      <c r="F549" s="10">
        <v>191975</v>
      </c>
      <c r="G549" s="10"/>
      <c r="H549" s="10"/>
      <c r="I549" s="10"/>
      <c r="J549" s="265"/>
      <c r="K549" s="23">
        <v>452.5</v>
      </c>
      <c r="L549" s="11">
        <v>468</v>
      </c>
      <c r="M549" s="270">
        <f t="shared" si="9"/>
        <v>15.5</v>
      </c>
      <c r="N549" s="7"/>
      <c r="O549" s="277"/>
      <c r="P549" s="345"/>
      <c r="V549" s="383"/>
    </row>
    <row r="550" spans="1:22" ht="15" customHeight="1">
      <c r="A550" s="8">
        <v>36588</v>
      </c>
      <c r="B550" s="9"/>
      <c r="C550" s="9"/>
      <c r="D550" s="10"/>
      <c r="E550" s="10"/>
      <c r="F550" s="10">
        <v>191975</v>
      </c>
      <c r="G550" s="10"/>
      <c r="H550" s="10"/>
      <c r="I550" s="10"/>
      <c r="J550" s="265"/>
      <c r="K550" s="23">
        <v>447</v>
      </c>
      <c r="L550" s="11">
        <v>463.5</v>
      </c>
      <c r="M550" s="270">
        <f t="shared" si="9"/>
        <v>16.5</v>
      </c>
      <c r="N550" s="7"/>
      <c r="O550" s="277"/>
      <c r="P550" s="345"/>
      <c r="V550" s="383"/>
    </row>
    <row r="551" spans="1:22" ht="15" customHeight="1">
      <c r="A551" s="8">
        <v>36591</v>
      </c>
      <c r="B551" s="9"/>
      <c r="C551" s="9"/>
      <c r="D551" s="10"/>
      <c r="E551" s="10"/>
      <c r="F551" s="10">
        <v>191675</v>
      </c>
      <c r="G551" s="10"/>
      <c r="H551" s="10"/>
      <c r="I551" s="10"/>
      <c r="J551" s="265"/>
      <c r="K551" s="23">
        <v>444.5</v>
      </c>
      <c r="L551" s="11">
        <v>459</v>
      </c>
      <c r="M551" s="270">
        <f t="shared" si="9"/>
        <v>14.5</v>
      </c>
      <c r="N551" s="7"/>
      <c r="O551" s="277"/>
      <c r="P551" s="345"/>
      <c r="V551" s="383"/>
    </row>
    <row r="552" spans="1:22" ht="15" customHeight="1">
      <c r="A552" s="8">
        <v>36592</v>
      </c>
      <c r="B552" s="9"/>
      <c r="C552" s="9"/>
      <c r="D552" s="10"/>
      <c r="E552" s="10"/>
      <c r="F552" s="10">
        <v>191550</v>
      </c>
      <c r="G552" s="10"/>
      <c r="H552" s="10"/>
      <c r="I552" s="10"/>
      <c r="J552" s="265"/>
      <c r="K552" s="23">
        <v>450</v>
      </c>
      <c r="L552" s="11">
        <v>465</v>
      </c>
      <c r="M552" s="270">
        <f t="shared" si="9"/>
        <v>15</v>
      </c>
      <c r="N552" s="7"/>
      <c r="O552" s="277"/>
      <c r="P552" s="345"/>
      <c r="V552" s="383"/>
    </row>
    <row r="553" spans="1:22" ht="15" customHeight="1">
      <c r="A553" s="8">
        <v>36593</v>
      </c>
      <c r="B553" s="9"/>
      <c r="C553" s="9"/>
      <c r="D553" s="10"/>
      <c r="E553" s="10"/>
      <c r="F553" s="10">
        <v>191525</v>
      </c>
      <c r="G553" s="10"/>
      <c r="H553" s="10"/>
      <c r="I553" s="10"/>
      <c r="J553" s="265"/>
      <c r="K553" s="23">
        <v>442</v>
      </c>
      <c r="L553" s="11">
        <v>456</v>
      </c>
      <c r="M553" s="270">
        <f t="shared" si="9"/>
        <v>14</v>
      </c>
      <c r="N553" s="7"/>
      <c r="O553" s="277"/>
      <c r="P553" s="345"/>
      <c r="V553" s="383"/>
    </row>
    <row r="554" spans="1:22" ht="15" customHeight="1">
      <c r="A554" s="8">
        <v>36594</v>
      </c>
      <c r="B554" s="9"/>
      <c r="C554" s="9"/>
      <c r="D554" s="10"/>
      <c r="E554" s="10"/>
      <c r="F554" s="10">
        <v>191025</v>
      </c>
      <c r="G554" s="10"/>
      <c r="H554" s="10"/>
      <c r="I554" s="10"/>
      <c r="J554" s="265"/>
      <c r="K554" s="23">
        <v>443</v>
      </c>
      <c r="L554" s="11">
        <v>458</v>
      </c>
      <c r="M554" s="270">
        <f t="shared" si="9"/>
        <v>15</v>
      </c>
      <c r="N554" s="7"/>
      <c r="O554" s="277"/>
      <c r="P554" s="345"/>
      <c r="V554" s="383"/>
    </row>
    <row r="555" spans="1:22" ht="15" customHeight="1">
      <c r="A555" s="8">
        <v>36595</v>
      </c>
      <c r="B555" s="9"/>
      <c r="C555" s="9"/>
      <c r="D555" s="10"/>
      <c r="E555" s="10"/>
      <c r="F555" s="10">
        <v>191250</v>
      </c>
      <c r="G555" s="10"/>
      <c r="H555" s="10"/>
      <c r="I555" s="10"/>
      <c r="J555" s="265"/>
      <c r="K555" s="23">
        <v>445</v>
      </c>
      <c r="L555" s="11">
        <v>458</v>
      </c>
      <c r="M555" s="270">
        <f t="shared" si="9"/>
        <v>13</v>
      </c>
      <c r="N555" s="7"/>
      <c r="O555" s="277"/>
      <c r="P555" s="345"/>
      <c r="V555" s="383"/>
    </row>
    <row r="556" spans="1:22" ht="15" customHeight="1">
      <c r="A556" s="8">
        <v>36598</v>
      </c>
      <c r="B556" s="9"/>
      <c r="C556" s="9"/>
      <c r="D556" s="10"/>
      <c r="E556" s="10"/>
      <c r="F556" s="10">
        <v>191225</v>
      </c>
      <c r="G556" s="10"/>
      <c r="H556" s="10"/>
      <c r="I556" s="10"/>
      <c r="J556" s="265"/>
      <c r="K556" s="23">
        <v>439</v>
      </c>
      <c r="L556" s="11">
        <v>458</v>
      </c>
      <c r="M556" s="270">
        <f t="shared" si="9"/>
        <v>19</v>
      </c>
      <c r="N556" s="7"/>
      <c r="O556" s="277"/>
      <c r="P556" s="345"/>
      <c r="V556" s="383"/>
    </row>
    <row r="557" spans="1:22" ht="15" customHeight="1">
      <c r="A557" s="8">
        <v>36599</v>
      </c>
      <c r="B557" s="9"/>
      <c r="C557" s="9"/>
      <c r="D557" s="10"/>
      <c r="E557" s="10"/>
      <c r="F557" s="10">
        <v>190950</v>
      </c>
      <c r="G557" s="10"/>
      <c r="H557" s="10"/>
      <c r="I557" s="10"/>
      <c r="J557" s="265"/>
      <c r="K557" s="23">
        <v>440</v>
      </c>
      <c r="L557" s="11">
        <v>455</v>
      </c>
      <c r="M557" s="270">
        <f t="shared" si="9"/>
        <v>15</v>
      </c>
      <c r="N557" s="7"/>
      <c r="O557" s="277"/>
      <c r="P557" s="345"/>
      <c r="V557" s="383"/>
    </row>
    <row r="558" spans="1:22" ht="15" customHeight="1">
      <c r="A558" s="8">
        <v>36600</v>
      </c>
      <c r="B558" s="9"/>
      <c r="C558" s="9"/>
      <c r="D558" s="10"/>
      <c r="E558" s="10"/>
      <c r="F558" s="10">
        <v>191975</v>
      </c>
      <c r="G558" s="10"/>
      <c r="H558" s="10"/>
      <c r="I558" s="10"/>
      <c r="J558" s="265"/>
      <c r="K558" s="23">
        <v>439</v>
      </c>
      <c r="L558" s="11">
        <v>452.5</v>
      </c>
      <c r="M558" s="270">
        <f t="shared" si="9"/>
        <v>13.5</v>
      </c>
      <c r="N558" s="7"/>
      <c r="O558" s="277"/>
      <c r="P558" s="345"/>
      <c r="V558" s="383"/>
    </row>
    <row r="559" spans="1:22" ht="15" customHeight="1">
      <c r="A559" s="8">
        <v>36601</v>
      </c>
      <c r="B559" s="9"/>
      <c r="C559" s="9"/>
      <c r="D559" s="10"/>
      <c r="E559" s="10"/>
      <c r="F559" s="10">
        <v>191975</v>
      </c>
      <c r="G559" s="10"/>
      <c r="H559" s="10"/>
      <c r="I559" s="10"/>
      <c r="J559" s="265"/>
      <c r="K559" s="23">
        <v>441</v>
      </c>
      <c r="L559" s="11">
        <v>454</v>
      </c>
      <c r="M559" s="270">
        <f t="shared" si="9"/>
        <v>13</v>
      </c>
      <c r="N559" s="7"/>
      <c r="O559" s="277"/>
      <c r="P559" s="345"/>
      <c r="V559" s="383"/>
    </row>
    <row r="560" spans="1:22" ht="15" customHeight="1">
      <c r="A560" s="8">
        <v>36602</v>
      </c>
      <c r="B560" s="9"/>
      <c r="C560" s="9"/>
      <c r="D560" s="10"/>
      <c r="E560" s="10"/>
      <c r="F560" s="10">
        <v>191975</v>
      </c>
      <c r="G560" s="10"/>
      <c r="H560" s="10"/>
      <c r="I560" s="10"/>
      <c r="J560" s="265"/>
      <c r="K560" s="23">
        <v>439</v>
      </c>
      <c r="L560" s="11">
        <v>453.5</v>
      </c>
      <c r="M560" s="270">
        <f t="shared" si="9"/>
        <v>14.5</v>
      </c>
      <c r="N560" s="7"/>
      <c r="O560" s="277"/>
      <c r="P560" s="345"/>
      <c r="V560" s="383"/>
    </row>
    <row r="561" spans="1:22" ht="15" customHeight="1">
      <c r="A561" s="8">
        <v>36605</v>
      </c>
      <c r="B561" s="9"/>
      <c r="C561" s="9"/>
      <c r="D561" s="10"/>
      <c r="E561" s="10"/>
      <c r="F561" s="10">
        <v>191950</v>
      </c>
      <c r="G561" s="10"/>
      <c r="H561" s="10"/>
      <c r="I561" s="10"/>
      <c r="J561" s="265"/>
      <c r="K561" s="23">
        <v>445</v>
      </c>
      <c r="L561" s="11">
        <v>456.5</v>
      </c>
      <c r="M561" s="270">
        <f t="shared" si="9"/>
        <v>11.5</v>
      </c>
      <c r="N561" s="7"/>
      <c r="O561" s="277"/>
      <c r="P561" s="345"/>
      <c r="V561" s="383"/>
    </row>
    <row r="562" spans="1:22" ht="15" customHeight="1">
      <c r="A562" s="8">
        <v>36606</v>
      </c>
      <c r="B562" s="9"/>
      <c r="C562" s="9"/>
      <c r="D562" s="10"/>
      <c r="E562" s="10"/>
      <c r="F562" s="10">
        <v>191725</v>
      </c>
      <c r="G562" s="10"/>
      <c r="H562" s="10"/>
      <c r="I562" s="10"/>
      <c r="J562" s="265"/>
      <c r="K562" s="23">
        <v>442.5</v>
      </c>
      <c r="L562" s="11">
        <v>458</v>
      </c>
      <c r="M562" s="270">
        <f t="shared" si="9"/>
        <v>15.5</v>
      </c>
      <c r="N562" s="7"/>
      <c r="O562" s="277"/>
      <c r="P562" s="345"/>
      <c r="V562" s="383"/>
    </row>
    <row r="563" spans="1:22" ht="15" customHeight="1">
      <c r="A563" s="8">
        <v>36607</v>
      </c>
      <c r="B563" s="9"/>
      <c r="C563" s="9"/>
      <c r="D563" s="10"/>
      <c r="E563" s="10"/>
      <c r="F563" s="10">
        <v>196750</v>
      </c>
      <c r="G563" s="10"/>
      <c r="H563" s="10"/>
      <c r="I563" s="10"/>
      <c r="J563" s="265"/>
      <c r="K563" s="23">
        <v>438</v>
      </c>
      <c r="L563" s="11">
        <v>454</v>
      </c>
      <c r="M563" s="270">
        <f t="shared" si="9"/>
        <v>16</v>
      </c>
      <c r="N563" s="7"/>
      <c r="O563" s="277"/>
      <c r="P563" s="345"/>
      <c r="V563" s="383"/>
    </row>
    <row r="564" spans="1:22" ht="15" customHeight="1">
      <c r="A564" s="8">
        <v>36608</v>
      </c>
      <c r="B564" s="9"/>
      <c r="C564" s="9"/>
      <c r="D564" s="10"/>
      <c r="E564" s="10"/>
      <c r="F564" s="10">
        <v>199225</v>
      </c>
      <c r="G564" s="10"/>
      <c r="H564" s="10"/>
      <c r="I564" s="10"/>
      <c r="J564" s="265"/>
      <c r="K564" s="23">
        <v>438</v>
      </c>
      <c r="L564" s="11">
        <v>452.5</v>
      </c>
      <c r="M564" s="270">
        <f t="shared" si="9"/>
        <v>14.5</v>
      </c>
      <c r="N564" s="7"/>
      <c r="O564" s="277"/>
      <c r="P564" s="345"/>
      <c r="V564" s="383"/>
    </row>
    <row r="565" spans="1:22" ht="15" customHeight="1">
      <c r="A565" s="8">
        <v>36609</v>
      </c>
      <c r="B565" s="9"/>
      <c r="C565" s="9"/>
      <c r="D565" s="10"/>
      <c r="E565" s="10"/>
      <c r="F565" s="10">
        <v>199025</v>
      </c>
      <c r="G565" s="10"/>
      <c r="H565" s="10"/>
      <c r="I565" s="10"/>
      <c r="J565" s="265"/>
      <c r="K565" s="23">
        <v>437</v>
      </c>
      <c r="L565" s="11">
        <v>452.5</v>
      </c>
      <c r="M565" s="270">
        <f t="shared" si="9"/>
        <v>15.5</v>
      </c>
      <c r="N565" s="7"/>
      <c r="O565" s="277"/>
      <c r="P565" s="345"/>
      <c r="V565" s="383"/>
    </row>
    <row r="566" spans="1:22" ht="15" customHeight="1">
      <c r="A566" s="8">
        <v>36612</v>
      </c>
      <c r="B566" s="9"/>
      <c r="C566" s="9"/>
      <c r="D566" s="10"/>
      <c r="E566" s="10"/>
      <c r="F566" s="10">
        <v>198400</v>
      </c>
      <c r="G566" s="10"/>
      <c r="H566" s="10"/>
      <c r="I566" s="10"/>
      <c r="J566" s="265"/>
      <c r="K566" s="23">
        <v>436</v>
      </c>
      <c r="L566" s="11">
        <v>453</v>
      </c>
      <c r="M566" s="270">
        <f t="shared" si="9"/>
        <v>17</v>
      </c>
      <c r="N566" s="7"/>
      <c r="O566" s="277"/>
      <c r="P566" s="345"/>
      <c r="V566" s="383"/>
    </row>
    <row r="567" spans="1:22" ht="15" customHeight="1">
      <c r="A567" s="8">
        <v>36613</v>
      </c>
      <c r="B567" s="9"/>
      <c r="C567" s="9"/>
      <c r="D567" s="10"/>
      <c r="E567" s="10"/>
      <c r="F567" s="10">
        <v>197825</v>
      </c>
      <c r="G567" s="10"/>
      <c r="H567" s="10"/>
      <c r="I567" s="10"/>
      <c r="J567" s="265"/>
      <c r="K567" s="23">
        <v>433</v>
      </c>
      <c r="L567" s="11">
        <v>451.5</v>
      </c>
      <c r="M567" s="270">
        <f t="shared" si="9"/>
        <v>18.5</v>
      </c>
      <c r="N567" s="7"/>
      <c r="O567" s="277"/>
      <c r="P567" s="345"/>
      <c r="V567" s="383"/>
    </row>
    <row r="568" spans="1:22" ht="15" customHeight="1">
      <c r="A568" s="8">
        <v>36614</v>
      </c>
      <c r="B568" s="9"/>
      <c r="C568" s="9"/>
      <c r="D568" s="10"/>
      <c r="E568" s="10"/>
      <c r="F568" s="10">
        <v>197900</v>
      </c>
      <c r="G568" s="10"/>
      <c r="H568" s="10"/>
      <c r="I568" s="10"/>
      <c r="J568" s="265"/>
      <c r="K568" s="23">
        <v>433</v>
      </c>
      <c r="L568" s="11">
        <v>451</v>
      </c>
      <c r="M568" s="270">
        <f t="shared" si="9"/>
        <v>18</v>
      </c>
      <c r="N568" s="7"/>
      <c r="O568" s="277"/>
      <c r="P568" s="345"/>
      <c r="V568" s="383"/>
    </row>
    <row r="569" spans="1:22" ht="15" customHeight="1">
      <c r="A569" s="8">
        <v>36615</v>
      </c>
      <c r="B569" s="9"/>
      <c r="C569" s="9"/>
      <c r="D569" s="10"/>
      <c r="E569" s="10"/>
      <c r="F569" s="10">
        <v>197675</v>
      </c>
      <c r="G569" s="10"/>
      <c r="H569" s="10"/>
      <c r="I569" s="10"/>
      <c r="J569" s="265"/>
      <c r="K569" s="23">
        <v>434.5</v>
      </c>
      <c r="L569" s="11">
        <v>452</v>
      </c>
      <c r="M569" s="270">
        <f t="shared" si="9"/>
        <v>17.5</v>
      </c>
      <c r="N569" s="7"/>
      <c r="O569" s="277"/>
      <c r="P569" s="345"/>
      <c r="V569" s="383"/>
    </row>
    <row r="570" spans="1:22" ht="15" customHeight="1">
      <c r="A570" s="8">
        <v>36616</v>
      </c>
      <c r="B570" s="9"/>
      <c r="C570" s="9"/>
      <c r="D570" s="10"/>
      <c r="E570" s="10"/>
      <c r="F570" s="10">
        <v>198450</v>
      </c>
      <c r="G570" s="10"/>
      <c r="H570" s="10"/>
      <c r="I570" s="10"/>
      <c r="J570" s="265"/>
      <c r="K570" s="23">
        <v>435</v>
      </c>
      <c r="L570" s="11">
        <v>453</v>
      </c>
      <c r="M570" s="270">
        <f t="shared" si="9"/>
        <v>18</v>
      </c>
      <c r="N570" s="7"/>
      <c r="O570" s="277"/>
      <c r="P570" s="345"/>
      <c r="V570" s="383"/>
    </row>
    <row r="571" spans="1:22" ht="15" customHeight="1">
      <c r="A571" s="8">
        <v>36619</v>
      </c>
      <c r="B571" s="9"/>
      <c r="C571" s="9"/>
      <c r="D571" s="10"/>
      <c r="E571" s="10"/>
      <c r="F571" s="10">
        <v>198400</v>
      </c>
      <c r="G571" s="10"/>
      <c r="H571" s="10"/>
      <c r="I571" s="10"/>
      <c r="J571" s="265"/>
      <c r="K571" s="23">
        <v>431</v>
      </c>
      <c r="L571" s="11">
        <v>447</v>
      </c>
      <c r="M571" s="270">
        <f t="shared" si="9"/>
        <v>16</v>
      </c>
      <c r="N571" s="7"/>
      <c r="O571" s="277"/>
      <c r="P571" s="345"/>
      <c r="V571" s="383"/>
    </row>
    <row r="572" spans="1:22" ht="15" customHeight="1">
      <c r="A572" s="8">
        <v>36620</v>
      </c>
      <c r="B572" s="9"/>
      <c r="C572" s="9"/>
      <c r="D572" s="10"/>
      <c r="E572" s="10"/>
      <c r="F572" s="10">
        <v>199300</v>
      </c>
      <c r="G572" s="10"/>
      <c r="H572" s="10"/>
      <c r="I572" s="10"/>
      <c r="J572" s="265"/>
      <c r="K572" s="23">
        <v>431</v>
      </c>
      <c r="L572" s="11">
        <v>448</v>
      </c>
      <c r="M572" s="270">
        <f t="shared" si="9"/>
        <v>17</v>
      </c>
      <c r="N572" s="7"/>
      <c r="O572" s="277"/>
      <c r="P572" s="345"/>
      <c r="V572" s="383"/>
    </row>
    <row r="573" spans="1:22" ht="15" customHeight="1">
      <c r="A573" s="8">
        <v>36621</v>
      </c>
      <c r="B573" s="9"/>
      <c r="C573" s="9"/>
      <c r="D573" s="10"/>
      <c r="E573" s="10"/>
      <c r="F573" s="10">
        <v>199050</v>
      </c>
      <c r="G573" s="10"/>
      <c r="H573" s="10"/>
      <c r="I573" s="10"/>
      <c r="J573" s="265"/>
      <c r="K573" s="23">
        <v>428.5</v>
      </c>
      <c r="L573" s="11">
        <v>448</v>
      </c>
      <c r="M573" s="270">
        <f t="shared" si="9"/>
        <v>19.5</v>
      </c>
      <c r="N573" s="7"/>
      <c r="O573" s="277"/>
      <c r="P573" s="345"/>
      <c r="V573" s="383"/>
    </row>
    <row r="574" spans="1:22" ht="15" customHeight="1">
      <c r="A574" s="8">
        <v>36622</v>
      </c>
      <c r="B574" s="9"/>
      <c r="C574" s="9"/>
      <c r="D574" s="10"/>
      <c r="E574" s="10"/>
      <c r="F574" s="10">
        <v>198900</v>
      </c>
      <c r="G574" s="10"/>
      <c r="H574" s="10"/>
      <c r="I574" s="10"/>
      <c r="J574" s="265"/>
      <c r="K574" s="23">
        <v>425.5</v>
      </c>
      <c r="L574" s="11">
        <v>445</v>
      </c>
      <c r="M574" s="270">
        <f t="shared" si="9"/>
        <v>19.5</v>
      </c>
      <c r="N574" s="7"/>
      <c r="O574" s="277"/>
      <c r="P574" s="345"/>
      <c r="V574" s="383"/>
    </row>
    <row r="575" spans="1:22" ht="15" customHeight="1">
      <c r="A575" s="3">
        <v>36623</v>
      </c>
      <c r="F575" s="5">
        <v>198825</v>
      </c>
      <c r="K575" s="23">
        <v>418.5</v>
      </c>
      <c r="L575" s="11">
        <v>437.5</v>
      </c>
      <c r="M575" s="270">
        <f t="shared" si="9"/>
        <v>19</v>
      </c>
      <c r="N575" s="7"/>
      <c r="O575" s="277"/>
      <c r="P575" s="345"/>
      <c r="V575" s="383"/>
    </row>
    <row r="576" spans="1:22" ht="15" customHeight="1">
      <c r="A576" s="3">
        <v>36626</v>
      </c>
      <c r="F576" s="5">
        <v>200425</v>
      </c>
      <c r="K576" s="23">
        <v>422</v>
      </c>
      <c r="L576" s="11">
        <v>442.5</v>
      </c>
      <c r="M576" s="270">
        <f t="shared" si="9"/>
        <v>20.5</v>
      </c>
      <c r="N576" s="7"/>
      <c r="O576" s="277"/>
      <c r="P576" s="345"/>
      <c r="V576" s="383"/>
    </row>
    <row r="577" spans="1:22" ht="15" customHeight="1">
      <c r="A577" s="3">
        <v>36627</v>
      </c>
      <c r="F577" s="5">
        <v>199850</v>
      </c>
      <c r="K577" s="23">
        <v>420.5</v>
      </c>
      <c r="L577" s="11">
        <v>443</v>
      </c>
      <c r="M577" s="270">
        <f t="shared" si="9"/>
        <v>22.5</v>
      </c>
      <c r="N577" s="7"/>
      <c r="O577" s="277"/>
      <c r="P577" s="345"/>
      <c r="V577" s="383"/>
    </row>
    <row r="578" spans="1:22" ht="15" customHeight="1">
      <c r="A578" s="3">
        <v>36628</v>
      </c>
      <c r="F578" s="5">
        <v>202300</v>
      </c>
      <c r="K578" s="23">
        <v>422.5</v>
      </c>
      <c r="L578" s="11">
        <v>441.5</v>
      </c>
      <c r="M578" s="270">
        <f t="shared" si="9"/>
        <v>19</v>
      </c>
      <c r="N578" s="7"/>
      <c r="O578" s="277"/>
      <c r="P578" s="345"/>
      <c r="V578" s="383"/>
    </row>
    <row r="579" spans="1:22" ht="15" customHeight="1">
      <c r="A579" s="3">
        <v>36629</v>
      </c>
      <c r="F579" s="5">
        <v>201900</v>
      </c>
      <c r="K579" s="23">
        <v>421</v>
      </c>
      <c r="L579" s="11">
        <v>440</v>
      </c>
      <c r="M579" s="270">
        <f t="shared" si="9"/>
        <v>19</v>
      </c>
      <c r="N579" s="7"/>
      <c r="O579" s="277"/>
      <c r="P579" s="345"/>
      <c r="V579" s="383"/>
    </row>
    <row r="580" spans="1:22" ht="15" customHeight="1">
      <c r="A580" s="3">
        <v>36630</v>
      </c>
      <c r="F580" s="5">
        <v>201900</v>
      </c>
      <c r="K580" s="23">
        <v>420.5</v>
      </c>
      <c r="L580" s="11">
        <v>439</v>
      </c>
      <c r="M580" s="270">
        <f t="shared" si="9"/>
        <v>18.5</v>
      </c>
      <c r="N580" s="7"/>
      <c r="O580" s="277"/>
      <c r="P580" s="345"/>
      <c r="V580" s="383"/>
    </row>
    <row r="581" spans="1:22" ht="15" customHeight="1">
      <c r="A581" s="3">
        <v>36633</v>
      </c>
      <c r="F581" s="5">
        <v>201875</v>
      </c>
      <c r="K581" s="23">
        <v>419</v>
      </c>
      <c r="L581" s="11">
        <v>437</v>
      </c>
      <c r="M581" s="270">
        <f t="shared" si="9"/>
        <v>18</v>
      </c>
      <c r="N581" s="7"/>
      <c r="O581" s="277"/>
      <c r="P581" s="345"/>
      <c r="V581" s="383"/>
    </row>
    <row r="582" spans="1:22" ht="15" customHeight="1">
      <c r="A582" s="3">
        <v>36634</v>
      </c>
      <c r="F582" s="5">
        <v>201825</v>
      </c>
      <c r="K582" s="23">
        <v>421</v>
      </c>
      <c r="L582" s="11">
        <v>440</v>
      </c>
      <c r="M582" s="270">
        <f t="shared" si="9"/>
        <v>19</v>
      </c>
      <c r="N582" s="7"/>
      <c r="O582" s="277"/>
      <c r="P582" s="345"/>
      <c r="V582" s="383"/>
    </row>
    <row r="583" spans="1:22" ht="15" customHeight="1">
      <c r="A583" s="3">
        <v>36635</v>
      </c>
      <c r="F583" s="5">
        <v>204225</v>
      </c>
      <c r="K583" s="23">
        <v>428</v>
      </c>
      <c r="L583" s="11">
        <v>443.5</v>
      </c>
      <c r="M583" s="270">
        <f t="shared" si="9"/>
        <v>15.5</v>
      </c>
      <c r="N583" s="7"/>
      <c r="O583" s="277"/>
      <c r="P583" s="345"/>
      <c r="V583" s="383"/>
    </row>
    <row r="584" spans="1:22" ht="15" customHeight="1">
      <c r="A584" s="3">
        <v>36636</v>
      </c>
      <c r="F584" s="5">
        <v>204750</v>
      </c>
      <c r="K584" s="23">
        <v>429</v>
      </c>
      <c r="L584" s="11">
        <v>445.5</v>
      </c>
      <c r="M584" s="270">
        <f t="shared" si="9"/>
        <v>16.5</v>
      </c>
      <c r="N584" s="7"/>
      <c r="O584" s="277"/>
      <c r="P584" s="345"/>
      <c r="V584" s="383"/>
    </row>
    <row r="585" spans="1:22" ht="15" customHeight="1">
      <c r="A585" s="3">
        <v>36641</v>
      </c>
      <c r="F585" s="5">
        <v>204725</v>
      </c>
      <c r="K585" s="23">
        <v>422.5</v>
      </c>
      <c r="L585" s="11">
        <v>442</v>
      </c>
      <c r="M585" s="270">
        <f t="shared" si="9"/>
        <v>19.5</v>
      </c>
      <c r="N585" s="7"/>
      <c r="O585" s="277"/>
      <c r="P585" s="345"/>
      <c r="V585" s="383"/>
    </row>
    <row r="586" spans="1:22" ht="15" customHeight="1">
      <c r="A586" s="3">
        <v>36642</v>
      </c>
      <c r="F586" s="5">
        <v>205975</v>
      </c>
      <c r="K586" s="23">
        <v>415.5</v>
      </c>
      <c r="L586" s="11">
        <v>433</v>
      </c>
      <c r="M586" s="270">
        <f t="shared" si="9"/>
        <v>17.5</v>
      </c>
      <c r="N586" s="7"/>
      <c r="O586" s="277"/>
      <c r="P586" s="345"/>
      <c r="V586" s="383"/>
    </row>
    <row r="587" spans="1:22" ht="15" customHeight="1">
      <c r="A587" s="3">
        <v>36643</v>
      </c>
      <c r="F587" s="5">
        <v>207125</v>
      </c>
      <c r="K587" s="23">
        <v>399</v>
      </c>
      <c r="L587" s="11">
        <v>419</v>
      </c>
      <c r="M587" s="270">
        <f t="shared" si="9"/>
        <v>20</v>
      </c>
      <c r="N587" s="7"/>
      <c r="O587" s="277"/>
      <c r="P587" s="345"/>
      <c r="V587" s="383"/>
    </row>
    <row r="588" spans="1:22" ht="15" customHeight="1">
      <c r="A588" s="3">
        <v>36644</v>
      </c>
      <c r="F588" s="5">
        <v>207000</v>
      </c>
      <c r="K588" s="23">
        <v>405.5</v>
      </c>
      <c r="L588" s="11">
        <v>424</v>
      </c>
      <c r="M588" s="270">
        <f t="shared" si="9"/>
        <v>18.5</v>
      </c>
      <c r="N588" s="7"/>
      <c r="O588" s="277"/>
      <c r="P588" s="345"/>
      <c r="V588" s="383"/>
    </row>
    <row r="589" spans="1:22" ht="15" customHeight="1">
      <c r="A589" s="3">
        <v>36648</v>
      </c>
      <c r="F589" s="5">
        <v>206975</v>
      </c>
      <c r="K589" s="23">
        <v>411</v>
      </c>
      <c r="L589" s="11">
        <v>427</v>
      </c>
      <c r="M589" s="270">
        <f t="shared" si="9"/>
        <v>16</v>
      </c>
      <c r="N589" s="7"/>
      <c r="O589" s="277"/>
      <c r="P589" s="345"/>
      <c r="V589" s="383"/>
    </row>
    <row r="590" spans="1:22" ht="15" customHeight="1">
      <c r="A590" s="3">
        <v>36649</v>
      </c>
      <c r="F590" s="5">
        <v>206950</v>
      </c>
      <c r="K590" s="23">
        <v>406</v>
      </c>
      <c r="L590" s="11">
        <v>424.5</v>
      </c>
      <c r="M590" s="270">
        <f t="shared" si="9"/>
        <v>18.5</v>
      </c>
      <c r="N590" s="7"/>
      <c r="O590" s="277"/>
      <c r="P590" s="345"/>
      <c r="V590" s="383"/>
    </row>
    <row r="591" spans="1:22" ht="15" customHeight="1">
      <c r="A591" s="3">
        <v>36650</v>
      </c>
      <c r="F591" s="5">
        <v>206875</v>
      </c>
      <c r="K591" s="23">
        <v>404.5</v>
      </c>
      <c r="L591" s="11">
        <v>423.5</v>
      </c>
      <c r="M591" s="270">
        <f t="shared" si="9"/>
        <v>19</v>
      </c>
      <c r="N591" s="7"/>
      <c r="O591" s="277"/>
      <c r="P591" s="345"/>
      <c r="V591" s="383"/>
    </row>
    <row r="592" spans="1:22" ht="15" customHeight="1">
      <c r="A592" s="3">
        <v>36651</v>
      </c>
      <c r="F592" s="5">
        <v>206875</v>
      </c>
      <c r="K592" s="23">
        <v>413</v>
      </c>
      <c r="L592" s="11">
        <v>427.5</v>
      </c>
      <c r="M592" s="270">
        <f t="shared" si="9"/>
        <v>14.5</v>
      </c>
      <c r="N592" s="7"/>
      <c r="O592" s="277"/>
      <c r="P592" s="345"/>
      <c r="V592" s="383"/>
    </row>
    <row r="593" spans="1:22" ht="15" customHeight="1">
      <c r="A593" s="3">
        <v>36654</v>
      </c>
      <c r="F593" s="5">
        <v>206750</v>
      </c>
      <c r="K593" s="23">
        <v>410.5</v>
      </c>
      <c r="L593" s="11">
        <v>431.5</v>
      </c>
      <c r="M593" s="270">
        <f t="shared" ref="M593:M656" si="10">L593-K593</f>
        <v>21</v>
      </c>
      <c r="N593" s="7"/>
      <c r="O593" s="277"/>
      <c r="P593" s="345"/>
      <c r="V593" s="383"/>
    </row>
    <row r="594" spans="1:22" ht="15" customHeight="1">
      <c r="A594" s="3">
        <v>36655</v>
      </c>
      <c r="F594" s="5">
        <v>206450</v>
      </c>
      <c r="K594" s="23">
        <v>409</v>
      </c>
      <c r="L594" s="11">
        <v>428</v>
      </c>
      <c r="M594" s="270">
        <f t="shared" si="10"/>
        <v>19</v>
      </c>
      <c r="N594" s="7"/>
      <c r="O594" s="277"/>
      <c r="P594" s="345"/>
      <c r="V594" s="383"/>
    </row>
    <row r="595" spans="1:22" ht="15" customHeight="1">
      <c r="A595" s="3">
        <v>36656</v>
      </c>
      <c r="F595" s="5">
        <v>206375</v>
      </c>
      <c r="K595" s="23">
        <v>412</v>
      </c>
      <c r="L595" s="11">
        <v>432</v>
      </c>
      <c r="M595" s="270">
        <f t="shared" si="10"/>
        <v>20</v>
      </c>
      <c r="N595" s="7"/>
      <c r="O595" s="277"/>
      <c r="P595" s="345"/>
      <c r="V595" s="383"/>
    </row>
    <row r="596" spans="1:22" ht="15" customHeight="1">
      <c r="A596" s="3">
        <v>36657</v>
      </c>
      <c r="F596" s="5">
        <v>207025</v>
      </c>
      <c r="K596" s="23">
        <v>409</v>
      </c>
      <c r="L596" s="11">
        <v>428</v>
      </c>
      <c r="M596" s="270">
        <f t="shared" si="10"/>
        <v>19</v>
      </c>
      <c r="N596" s="7"/>
      <c r="O596" s="277"/>
      <c r="P596" s="345"/>
      <c r="V596" s="383"/>
    </row>
    <row r="597" spans="1:22" ht="15" customHeight="1">
      <c r="A597" s="3">
        <v>36658</v>
      </c>
      <c r="F597" s="5">
        <v>207350</v>
      </c>
      <c r="K597" s="23">
        <v>418</v>
      </c>
      <c r="L597" s="11">
        <v>435</v>
      </c>
      <c r="M597" s="270">
        <f t="shared" si="10"/>
        <v>17</v>
      </c>
      <c r="N597" s="7"/>
      <c r="O597" s="277"/>
      <c r="P597" s="345"/>
      <c r="V597" s="383"/>
    </row>
    <row r="598" spans="1:22" ht="15" customHeight="1">
      <c r="A598" s="3">
        <v>36661</v>
      </c>
      <c r="F598" s="5">
        <v>208650</v>
      </c>
      <c r="K598" s="23">
        <v>408</v>
      </c>
      <c r="L598" s="11">
        <v>429.5</v>
      </c>
      <c r="M598" s="270">
        <f t="shared" si="10"/>
        <v>21.5</v>
      </c>
      <c r="N598" s="7"/>
      <c r="O598" s="277"/>
      <c r="P598" s="345"/>
      <c r="V598" s="383"/>
    </row>
    <row r="599" spans="1:22" ht="15" customHeight="1">
      <c r="A599" s="3">
        <v>36662</v>
      </c>
      <c r="F599" s="5">
        <v>208350</v>
      </c>
      <c r="K599" s="23">
        <v>403.5</v>
      </c>
      <c r="L599" s="11">
        <v>427</v>
      </c>
      <c r="M599" s="270">
        <f t="shared" si="10"/>
        <v>23.5</v>
      </c>
      <c r="N599" s="7"/>
      <c r="O599" s="277"/>
      <c r="P599" s="345"/>
      <c r="V599" s="383"/>
    </row>
    <row r="600" spans="1:22" ht="15" customHeight="1">
      <c r="A600" s="3">
        <v>36663</v>
      </c>
      <c r="F600" s="5">
        <v>208150</v>
      </c>
      <c r="K600" s="23">
        <v>407</v>
      </c>
      <c r="L600" s="11">
        <v>425.5</v>
      </c>
      <c r="M600" s="270">
        <f t="shared" si="10"/>
        <v>18.5</v>
      </c>
      <c r="N600" s="7"/>
      <c r="O600" s="277"/>
      <c r="P600" s="345"/>
      <c r="V600" s="383"/>
    </row>
    <row r="601" spans="1:22" ht="15" customHeight="1">
      <c r="A601" s="3">
        <v>36664</v>
      </c>
      <c r="F601" s="5">
        <v>207950</v>
      </c>
      <c r="K601" s="23">
        <v>403</v>
      </c>
      <c r="L601" s="11">
        <v>423</v>
      </c>
      <c r="M601" s="270">
        <f t="shared" si="10"/>
        <v>20</v>
      </c>
      <c r="N601" s="7"/>
      <c r="O601" s="277"/>
      <c r="P601" s="345"/>
      <c r="V601" s="383"/>
    </row>
    <row r="602" spans="1:22" ht="15" customHeight="1">
      <c r="A602" s="3">
        <v>36665</v>
      </c>
      <c r="F602" s="5">
        <v>207825</v>
      </c>
      <c r="K602" s="23">
        <v>403</v>
      </c>
      <c r="L602" s="11">
        <v>422</v>
      </c>
      <c r="M602" s="270">
        <f t="shared" si="10"/>
        <v>19</v>
      </c>
      <c r="N602" s="7"/>
      <c r="O602" s="277"/>
      <c r="P602" s="345"/>
      <c r="V602" s="383"/>
    </row>
    <row r="603" spans="1:22" ht="15" customHeight="1">
      <c r="A603" s="3">
        <v>36668</v>
      </c>
      <c r="F603" s="5">
        <v>207125</v>
      </c>
      <c r="K603" s="23">
        <v>408</v>
      </c>
      <c r="L603" s="11">
        <v>425</v>
      </c>
      <c r="M603" s="270">
        <f t="shared" si="10"/>
        <v>17</v>
      </c>
      <c r="N603" s="7"/>
      <c r="O603" s="277"/>
      <c r="P603" s="345"/>
      <c r="V603" s="383"/>
    </row>
    <row r="604" spans="1:22" ht="15" customHeight="1">
      <c r="A604" s="3">
        <v>36669</v>
      </c>
      <c r="F604" s="5">
        <v>207050</v>
      </c>
      <c r="K604" s="23">
        <v>419</v>
      </c>
      <c r="L604" s="11">
        <v>435</v>
      </c>
      <c r="M604" s="270">
        <f t="shared" si="10"/>
        <v>16</v>
      </c>
      <c r="N604" s="7"/>
      <c r="O604" s="277"/>
      <c r="P604" s="345"/>
      <c r="V604" s="383"/>
    </row>
    <row r="605" spans="1:22" ht="15" customHeight="1">
      <c r="A605" s="3">
        <v>36670</v>
      </c>
      <c r="F605" s="5">
        <v>204975</v>
      </c>
      <c r="K605" s="23">
        <v>412</v>
      </c>
      <c r="L605" s="11">
        <v>433</v>
      </c>
      <c r="M605" s="270">
        <f t="shared" si="10"/>
        <v>21</v>
      </c>
      <c r="N605" s="7"/>
      <c r="O605" s="277"/>
      <c r="P605" s="345"/>
      <c r="V605" s="383"/>
    </row>
    <row r="606" spans="1:22" ht="15" customHeight="1">
      <c r="A606" s="3">
        <v>36671</v>
      </c>
      <c r="F606" s="5">
        <v>203975</v>
      </c>
      <c r="K606" s="23">
        <v>418.5</v>
      </c>
      <c r="L606" s="11">
        <v>436</v>
      </c>
      <c r="M606" s="270">
        <f t="shared" si="10"/>
        <v>17.5</v>
      </c>
      <c r="N606" s="7"/>
      <c r="O606" s="277"/>
      <c r="P606" s="345"/>
      <c r="V606" s="383"/>
    </row>
    <row r="607" spans="1:22" ht="15" customHeight="1">
      <c r="A607" s="3">
        <v>36672</v>
      </c>
      <c r="F607" s="5">
        <v>203300</v>
      </c>
      <c r="K607" s="23">
        <v>432</v>
      </c>
      <c r="L607" s="11">
        <v>446</v>
      </c>
      <c r="M607" s="270">
        <f t="shared" si="10"/>
        <v>14</v>
      </c>
      <c r="N607" s="7"/>
      <c r="O607" s="277"/>
      <c r="P607" s="345"/>
      <c r="V607" s="383"/>
    </row>
    <row r="608" spans="1:22" ht="15" customHeight="1">
      <c r="A608" s="3">
        <v>36676</v>
      </c>
      <c r="F608" s="5">
        <v>202425</v>
      </c>
      <c r="K608" s="23">
        <v>431</v>
      </c>
      <c r="L608" s="11">
        <v>445</v>
      </c>
      <c r="M608" s="270">
        <f t="shared" si="10"/>
        <v>14</v>
      </c>
      <c r="N608" s="7"/>
      <c r="O608" s="277"/>
      <c r="P608" s="345"/>
      <c r="V608" s="383"/>
    </row>
    <row r="609" spans="1:22" ht="15" customHeight="1">
      <c r="A609" s="3">
        <v>36677</v>
      </c>
      <c r="F609" s="5">
        <v>200075</v>
      </c>
      <c r="K609" s="23">
        <v>416.5</v>
      </c>
      <c r="L609" s="11">
        <v>435</v>
      </c>
      <c r="M609" s="270">
        <f t="shared" si="10"/>
        <v>18.5</v>
      </c>
      <c r="N609" s="7"/>
      <c r="O609" s="277"/>
      <c r="P609" s="345"/>
      <c r="V609" s="383"/>
    </row>
    <row r="610" spans="1:22" ht="15" customHeight="1">
      <c r="A610" s="3">
        <v>36678</v>
      </c>
      <c r="F610" s="5">
        <v>199875</v>
      </c>
      <c r="K610" s="23">
        <v>410.5</v>
      </c>
      <c r="L610" s="11">
        <v>426</v>
      </c>
      <c r="M610" s="270">
        <f t="shared" si="10"/>
        <v>15.5</v>
      </c>
      <c r="N610" s="7"/>
      <c r="O610" s="277"/>
      <c r="P610" s="345"/>
      <c r="V610" s="383"/>
    </row>
    <row r="611" spans="1:22" ht="15" customHeight="1">
      <c r="A611" s="3">
        <v>36679</v>
      </c>
      <c r="F611" s="5">
        <v>198875</v>
      </c>
      <c r="K611" s="23">
        <v>423</v>
      </c>
      <c r="L611" s="11">
        <v>436</v>
      </c>
      <c r="M611" s="270">
        <f t="shared" si="10"/>
        <v>13</v>
      </c>
      <c r="N611" s="7"/>
      <c r="O611" s="277"/>
      <c r="P611" s="345"/>
      <c r="V611" s="383"/>
    </row>
    <row r="612" spans="1:22" ht="15" customHeight="1">
      <c r="A612" s="3">
        <v>36682</v>
      </c>
      <c r="F612" s="5">
        <v>197550</v>
      </c>
      <c r="K612" s="23">
        <v>410</v>
      </c>
      <c r="L612" s="11">
        <v>428</v>
      </c>
      <c r="M612" s="270">
        <f t="shared" si="10"/>
        <v>18</v>
      </c>
      <c r="N612" s="7"/>
      <c r="O612" s="277"/>
      <c r="P612" s="345"/>
      <c r="V612" s="383"/>
    </row>
    <row r="613" spans="1:22" ht="15" customHeight="1">
      <c r="A613" s="3">
        <v>36683</v>
      </c>
      <c r="F613" s="5">
        <v>195075</v>
      </c>
      <c r="K613" s="23">
        <v>421.5</v>
      </c>
      <c r="L613" s="11">
        <v>437</v>
      </c>
      <c r="M613" s="270">
        <f t="shared" si="10"/>
        <v>15.5</v>
      </c>
      <c r="N613" s="7"/>
      <c r="O613" s="277"/>
      <c r="P613" s="345"/>
      <c r="V613" s="383"/>
    </row>
    <row r="614" spans="1:22" ht="15" customHeight="1">
      <c r="A614" s="3">
        <v>36684</v>
      </c>
      <c r="F614" s="5">
        <v>194275</v>
      </c>
      <c r="K614" s="23">
        <v>417.5</v>
      </c>
      <c r="L614" s="11">
        <v>435</v>
      </c>
      <c r="M614" s="270">
        <f t="shared" si="10"/>
        <v>17.5</v>
      </c>
      <c r="N614" s="7"/>
      <c r="O614" s="277"/>
      <c r="P614" s="345"/>
      <c r="V614" s="383"/>
    </row>
    <row r="615" spans="1:22" ht="15" customHeight="1">
      <c r="A615" s="3">
        <v>36685</v>
      </c>
      <c r="F615" s="5">
        <v>193100</v>
      </c>
      <c r="K615" s="23">
        <v>417</v>
      </c>
      <c r="L615" s="11">
        <v>434</v>
      </c>
      <c r="M615" s="270">
        <f t="shared" si="10"/>
        <v>17</v>
      </c>
      <c r="N615" s="7"/>
      <c r="O615" s="277"/>
      <c r="P615" s="345"/>
      <c r="V615" s="383"/>
    </row>
    <row r="616" spans="1:22" ht="15" customHeight="1">
      <c r="A616" s="3">
        <v>36686</v>
      </c>
      <c r="F616" s="5">
        <v>192100</v>
      </c>
      <c r="K616" s="23">
        <v>421</v>
      </c>
      <c r="L616" s="11">
        <v>439</v>
      </c>
      <c r="M616" s="270">
        <f t="shared" si="10"/>
        <v>18</v>
      </c>
      <c r="N616" s="7"/>
      <c r="O616" s="277"/>
      <c r="P616" s="345"/>
      <c r="V616" s="383"/>
    </row>
    <row r="617" spans="1:22" ht="15" customHeight="1">
      <c r="A617" s="3">
        <v>36689</v>
      </c>
      <c r="F617" s="5">
        <v>191525</v>
      </c>
      <c r="K617" s="23">
        <v>422.5</v>
      </c>
      <c r="L617" s="11">
        <v>440</v>
      </c>
      <c r="M617" s="270">
        <f t="shared" si="10"/>
        <v>17.5</v>
      </c>
      <c r="N617" s="7"/>
      <c r="O617" s="277"/>
      <c r="P617" s="345"/>
      <c r="V617" s="383"/>
    </row>
    <row r="618" spans="1:22" ht="15" customHeight="1">
      <c r="A618" s="3">
        <v>36690</v>
      </c>
      <c r="F618" s="5">
        <v>191450</v>
      </c>
      <c r="K618" s="23">
        <v>422</v>
      </c>
      <c r="L618" s="11">
        <v>440.5</v>
      </c>
      <c r="M618" s="270">
        <f t="shared" si="10"/>
        <v>18.5</v>
      </c>
      <c r="N618" s="7"/>
      <c r="O618" s="277"/>
      <c r="P618" s="345"/>
      <c r="V618" s="383"/>
    </row>
    <row r="619" spans="1:22" ht="15" customHeight="1">
      <c r="A619" s="3">
        <v>36691</v>
      </c>
      <c r="F619" s="5">
        <v>188950</v>
      </c>
      <c r="K619" s="23">
        <v>422</v>
      </c>
      <c r="L619" s="11">
        <v>441</v>
      </c>
      <c r="M619" s="270">
        <f t="shared" si="10"/>
        <v>19</v>
      </c>
      <c r="N619" s="7"/>
      <c r="O619" s="277"/>
      <c r="P619" s="345"/>
      <c r="V619" s="383"/>
    </row>
    <row r="620" spans="1:22" ht="15" customHeight="1">
      <c r="A620" s="3">
        <v>36692</v>
      </c>
      <c r="F620" s="5">
        <v>187575</v>
      </c>
      <c r="K620" s="23">
        <v>417</v>
      </c>
      <c r="L620" s="11">
        <v>434</v>
      </c>
      <c r="M620" s="270">
        <f t="shared" si="10"/>
        <v>17</v>
      </c>
      <c r="N620" s="7"/>
      <c r="O620" s="277"/>
      <c r="P620" s="345"/>
      <c r="V620" s="383"/>
    </row>
    <row r="621" spans="1:22" ht="15" customHeight="1">
      <c r="A621" s="3">
        <v>36693</v>
      </c>
      <c r="F621" s="5">
        <v>185575</v>
      </c>
      <c r="K621" s="23">
        <v>422</v>
      </c>
      <c r="L621" s="11">
        <v>439</v>
      </c>
      <c r="M621" s="270">
        <f t="shared" si="10"/>
        <v>17</v>
      </c>
      <c r="N621" s="7"/>
      <c r="O621" s="277"/>
      <c r="P621" s="345"/>
      <c r="V621" s="383"/>
    </row>
    <row r="622" spans="1:22" ht="15" customHeight="1">
      <c r="A622" s="3">
        <v>36696</v>
      </c>
      <c r="F622" s="5">
        <v>183800</v>
      </c>
      <c r="K622" s="23">
        <v>417.5</v>
      </c>
      <c r="L622" s="11">
        <v>436</v>
      </c>
      <c r="M622" s="270">
        <f t="shared" si="10"/>
        <v>18.5</v>
      </c>
      <c r="N622" s="7"/>
      <c r="O622" s="277"/>
      <c r="P622" s="345"/>
      <c r="V622" s="383"/>
    </row>
    <row r="623" spans="1:22" ht="15" customHeight="1">
      <c r="A623" s="3">
        <v>36697</v>
      </c>
      <c r="F623" s="5">
        <v>180900</v>
      </c>
      <c r="K623" s="23">
        <v>419</v>
      </c>
      <c r="L623" s="11">
        <v>437</v>
      </c>
      <c r="M623" s="270">
        <f t="shared" si="10"/>
        <v>18</v>
      </c>
      <c r="N623" s="7"/>
      <c r="O623" s="277"/>
      <c r="P623" s="345"/>
      <c r="V623" s="383"/>
    </row>
    <row r="624" spans="1:22" ht="15" customHeight="1">
      <c r="A624" s="3">
        <v>36698</v>
      </c>
      <c r="F624" s="5">
        <v>181525</v>
      </c>
      <c r="K624" s="23">
        <v>418.5</v>
      </c>
      <c r="L624" s="11">
        <v>436</v>
      </c>
      <c r="M624" s="270">
        <f t="shared" si="10"/>
        <v>17.5</v>
      </c>
      <c r="N624" s="7"/>
      <c r="O624" s="277"/>
      <c r="P624" s="345"/>
      <c r="V624" s="383"/>
    </row>
    <row r="625" spans="1:22" ht="15" customHeight="1">
      <c r="A625" s="3">
        <v>36699</v>
      </c>
      <c r="F625" s="5">
        <v>180075</v>
      </c>
      <c r="K625" s="23">
        <v>417</v>
      </c>
      <c r="L625" s="11">
        <v>434</v>
      </c>
      <c r="M625" s="270">
        <f t="shared" si="10"/>
        <v>17</v>
      </c>
      <c r="N625" s="7"/>
      <c r="O625" s="277"/>
      <c r="P625" s="345"/>
      <c r="V625" s="383"/>
    </row>
    <row r="626" spans="1:22" ht="15" customHeight="1">
      <c r="A626" s="3">
        <v>36700</v>
      </c>
      <c r="F626" s="5">
        <v>180050</v>
      </c>
      <c r="K626" s="23">
        <v>416</v>
      </c>
      <c r="L626" s="11">
        <v>433</v>
      </c>
      <c r="M626" s="270">
        <f t="shared" si="10"/>
        <v>17</v>
      </c>
      <c r="N626" s="7"/>
      <c r="O626" s="277"/>
      <c r="P626" s="345"/>
      <c r="V626" s="383"/>
    </row>
    <row r="627" spans="1:22" ht="15" customHeight="1">
      <c r="A627" s="3">
        <v>36703</v>
      </c>
      <c r="F627" s="5">
        <v>179950</v>
      </c>
      <c r="K627" s="23">
        <v>418</v>
      </c>
      <c r="L627" s="11">
        <v>436</v>
      </c>
      <c r="M627" s="270">
        <f t="shared" si="10"/>
        <v>18</v>
      </c>
      <c r="N627" s="7"/>
      <c r="O627" s="277"/>
      <c r="P627" s="345"/>
      <c r="V627" s="383"/>
    </row>
    <row r="628" spans="1:22" ht="15" customHeight="1">
      <c r="A628" s="3">
        <v>36704</v>
      </c>
      <c r="F628" s="5">
        <v>179800</v>
      </c>
      <c r="K628" s="23">
        <v>419.5</v>
      </c>
      <c r="L628" s="11">
        <v>436</v>
      </c>
      <c r="M628" s="270">
        <f t="shared" si="10"/>
        <v>16.5</v>
      </c>
      <c r="N628" s="7"/>
      <c r="O628" s="277"/>
      <c r="P628" s="345"/>
      <c r="V628" s="383"/>
    </row>
    <row r="629" spans="1:22" ht="15" customHeight="1">
      <c r="A629" s="3">
        <v>36705</v>
      </c>
      <c r="F629" s="5">
        <v>178875</v>
      </c>
      <c r="K629" s="23">
        <v>419</v>
      </c>
      <c r="L629" s="11">
        <v>435.5</v>
      </c>
      <c r="M629" s="270">
        <f t="shared" si="10"/>
        <v>16.5</v>
      </c>
      <c r="N629" s="7"/>
      <c r="O629" s="277"/>
      <c r="P629" s="345"/>
      <c r="V629" s="383"/>
    </row>
    <row r="630" spans="1:22" ht="15" customHeight="1">
      <c r="A630" s="3">
        <v>36706</v>
      </c>
      <c r="F630" s="5">
        <v>178875</v>
      </c>
      <c r="K630" s="23">
        <v>420</v>
      </c>
      <c r="L630" s="11">
        <v>437</v>
      </c>
      <c r="M630" s="270">
        <f t="shared" si="10"/>
        <v>17</v>
      </c>
      <c r="N630" s="7"/>
      <c r="O630" s="277"/>
      <c r="P630" s="345"/>
      <c r="V630" s="383"/>
    </row>
    <row r="631" spans="1:22" ht="15" customHeight="1">
      <c r="A631" s="3">
        <v>36707</v>
      </c>
      <c r="F631" s="5">
        <v>178750</v>
      </c>
      <c r="K631" s="23">
        <v>440.5</v>
      </c>
      <c r="L631" s="11">
        <v>450</v>
      </c>
      <c r="M631" s="270">
        <f t="shared" si="10"/>
        <v>9.5</v>
      </c>
      <c r="N631" s="7"/>
      <c r="O631" s="277"/>
      <c r="P631" s="345"/>
      <c r="V631" s="383"/>
    </row>
    <row r="632" spans="1:22" ht="15" customHeight="1">
      <c r="A632" s="3">
        <v>36710</v>
      </c>
      <c r="F632" s="5">
        <v>178750</v>
      </c>
      <c r="K632" s="23">
        <v>440</v>
      </c>
      <c r="L632" s="11">
        <v>454</v>
      </c>
      <c r="M632" s="270">
        <f t="shared" si="10"/>
        <v>14</v>
      </c>
      <c r="N632" s="7"/>
      <c r="O632" s="277"/>
      <c r="P632" s="345"/>
      <c r="V632" s="383"/>
    </row>
    <row r="633" spans="1:22" ht="15" customHeight="1">
      <c r="A633" s="3">
        <v>36711</v>
      </c>
      <c r="F633" s="5">
        <v>178550</v>
      </c>
      <c r="K633" s="23">
        <v>436.5</v>
      </c>
      <c r="L633" s="11">
        <v>448.5</v>
      </c>
      <c r="M633" s="270">
        <f t="shared" si="10"/>
        <v>12</v>
      </c>
      <c r="N633" s="7"/>
      <c r="O633" s="277"/>
      <c r="P633" s="345"/>
      <c r="V633" s="383"/>
    </row>
    <row r="634" spans="1:22" ht="15" customHeight="1">
      <c r="A634" s="3">
        <v>36712</v>
      </c>
      <c r="F634" s="5">
        <v>178225</v>
      </c>
      <c r="K634" s="23">
        <v>435</v>
      </c>
      <c r="L634" s="11">
        <v>447</v>
      </c>
      <c r="M634" s="270">
        <f t="shared" si="10"/>
        <v>12</v>
      </c>
      <c r="N634" s="7"/>
      <c r="O634" s="277"/>
      <c r="P634" s="345"/>
      <c r="V634" s="383"/>
    </row>
    <row r="635" spans="1:22" ht="15" customHeight="1">
      <c r="A635" s="3">
        <v>36713</v>
      </c>
      <c r="F635" s="5">
        <v>178075</v>
      </c>
      <c r="K635" s="23">
        <v>434</v>
      </c>
      <c r="L635" s="11">
        <v>448.5</v>
      </c>
      <c r="M635" s="270">
        <f t="shared" si="10"/>
        <v>14.5</v>
      </c>
      <c r="N635" s="7"/>
      <c r="O635" s="277"/>
      <c r="P635" s="345"/>
      <c r="V635" s="383"/>
    </row>
    <row r="636" spans="1:22" ht="15" customHeight="1">
      <c r="A636" s="3">
        <v>36714</v>
      </c>
      <c r="F636" s="5">
        <v>175575</v>
      </c>
      <c r="K636" s="23">
        <v>434</v>
      </c>
      <c r="L636" s="11">
        <v>446.5</v>
      </c>
      <c r="M636" s="270">
        <f t="shared" si="10"/>
        <v>12.5</v>
      </c>
      <c r="N636" s="7"/>
      <c r="O636" s="277"/>
      <c r="P636" s="345"/>
      <c r="V636" s="383"/>
    </row>
    <row r="637" spans="1:22" ht="15" customHeight="1">
      <c r="A637" s="3">
        <v>36717</v>
      </c>
      <c r="F637" s="5">
        <v>174975</v>
      </c>
      <c r="K637" s="23">
        <v>445</v>
      </c>
      <c r="L637" s="11">
        <v>456</v>
      </c>
      <c r="M637" s="270">
        <f t="shared" si="10"/>
        <v>11</v>
      </c>
      <c r="N637" s="7"/>
      <c r="O637" s="277"/>
      <c r="P637" s="345"/>
      <c r="V637" s="383"/>
    </row>
    <row r="638" spans="1:22" ht="15" customHeight="1">
      <c r="A638" s="3">
        <v>36718</v>
      </c>
      <c r="F638" s="5">
        <v>172675</v>
      </c>
      <c r="K638" s="23">
        <v>447</v>
      </c>
      <c r="L638" s="11">
        <v>458</v>
      </c>
      <c r="M638" s="270">
        <f t="shared" si="10"/>
        <v>11</v>
      </c>
      <c r="N638" s="7"/>
      <c r="O638" s="277"/>
      <c r="P638" s="345"/>
      <c r="V638" s="383"/>
    </row>
    <row r="639" spans="1:22" ht="15" customHeight="1">
      <c r="A639" s="3">
        <v>36719</v>
      </c>
      <c r="F639" s="5">
        <v>171475</v>
      </c>
      <c r="K639" s="23">
        <v>446</v>
      </c>
      <c r="L639" s="11">
        <v>455.5</v>
      </c>
      <c r="M639" s="270">
        <f t="shared" si="10"/>
        <v>9.5</v>
      </c>
      <c r="N639" s="7"/>
      <c r="O639" s="277"/>
      <c r="P639" s="345"/>
      <c r="V639" s="383"/>
    </row>
    <row r="640" spans="1:22" ht="15" customHeight="1">
      <c r="A640" s="3">
        <v>36720</v>
      </c>
      <c r="F640" s="5">
        <v>169950</v>
      </c>
      <c r="K640" s="23">
        <v>460</v>
      </c>
      <c r="L640" s="11">
        <v>464</v>
      </c>
      <c r="M640" s="270">
        <f t="shared" si="10"/>
        <v>4</v>
      </c>
      <c r="N640" s="7"/>
      <c r="O640" s="277"/>
      <c r="P640" s="345"/>
      <c r="V640" s="383"/>
    </row>
    <row r="641" spans="1:22" ht="15" customHeight="1">
      <c r="A641" s="3">
        <v>36721</v>
      </c>
      <c r="F641" s="5">
        <v>168100</v>
      </c>
      <c r="K641" s="23">
        <v>453</v>
      </c>
      <c r="L641" s="11">
        <v>460.5</v>
      </c>
      <c r="M641" s="270">
        <f t="shared" si="10"/>
        <v>7.5</v>
      </c>
      <c r="N641" s="7"/>
      <c r="O641" s="277"/>
      <c r="P641" s="345"/>
      <c r="V641" s="383"/>
    </row>
    <row r="642" spans="1:22" ht="15" customHeight="1">
      <c r="A642" s="3">
        <v>36724</v>
      </c>
      <c r="F642" s="5">
        <v>166625</v>
      </c>
      <c r="K642" s="23">
        <v>454.5</v>
      </c>
      <c r="L642" s="11">
        <v>464.5</v>
      </c>
      <c r="M642" s="270">
        <f t="shared" si="10"/>
        <v>10</v>
      </c>
      <c r="N642" s="7"/>
      <c r="O642" s="277"/>
      <c r="P642" s="345"/>
      <c r="V642" s="383"/>
    </row>
    <row r="643" spans="1:22" ht="15" customHeight="1">
      <c r="A643" s="3">
        <v>36725</v>
      </c>
      <c r="F643" s="5">
        <v>161825</v>
      </c>
      <c r="K643" s="23">
        <v>450</v>
      </c>
      <c r="L643" s="11">
        <v>461</v>
      </c>
      <c r="M643" s="270">
        <f t="shared" si="10"/>
        <v>11</v>
      </c>
      <c r="N643" s="7"/>
      <c r="O643" s="277"/>
      <c r="P643" s="345"/>
      <c r="V643" s="383"/>
    </row>
    <row r="644" spans="1:22" ht="15" customHeight="1">
      <c r="A644" s="3">
        <v>36726</v>
      </c>
      <c r="F644" s="5">
        <v>160600</v>
      </c>
      <c r="K644" s="23">
        <v>451.5</v>
      </c>
      <c r="L644" s="11">
        <v>462.5</v>
      </c>
      <c r="M644" s="270">
        <f t="shared" si="10"/>
        <v>11</v>
      </c>
      <c r="N644" s="7"/>
      <c r="O644" s="277"/>
      <c r="P644" s="345"/>
      <c r="V644" s="383"/>
    </row>
    <row r="645" spans="1:22" ht="15" customHeight="1">
      <c r="A645" s="3">
        <v>36727</v>
      </c>
      <c r="F645" s="5">
        <v>159625</v>
      </c>
      <c r="K645" s="23">
        <v>447.5</v>
      </c>
      <c r="L645" s="11">
        <v>458.5</v>
      </c>
      <c r="M645" s="270">
        <f t="shared" si="10"/>
        <v>11</v>
      </c>
      <c r="N645" s="7"/>
      <c r="O645" s="277"/>
      <c r="P645" s="345"/>
      <c r="V645" s="383"/>
    </row>
    <row r="646" spans="1:22" ht="15" customHeight="1">
      <c r="A646" s="3">
        <v>36728</v>
      </c>
      <c r="F646" s="5">
        <v>157100</v>
      </c>
      <c r="K646" s="23">
        <v>458</v>
      </c>
      <c r="L646" s="11">
        <v>467</v>
      </c>
      <c r="M646" s="270">
        <f t="shared" si="10"/>
        <v>9</v>
      </c>
      <c r="N646" s="7"/>
      <c r="O646" s="277"/>
      <c r="P646" s="345"/>
      <c r="V646" s="383"/>
    </row>
    <row r="647" spans="1:22" ht="15" customHeight="1">
      <c r="A647" s="3">
        <v>36731</v>
      </c>
      <c r="F647" s="5">
        <v>156700</v>
      </c>
      <c r="K647" s="23">
        <v>460</v>
      </c>
      <c r="L647" s="11">
        <v>470</v>
      </c>
      <c r="M647" s="270">
        <f t="shared" si="10"/>
        <v>10</v>
      </c>
      <c r="N647" s="7"/>
      <c r="O647" s="277"/>
      <c r="P647" s="345"/>
      <c r="V647" s="383"/>
    </row>
    <row r="648" spans="1:22" ht="15" customHeight="1">
      <c r="A648" s="3">
        <v>36732</v>
      </c>
      <c r="F648" s="5">
        <v>154275</v>
      </c>
      <c r="K648" s="23">
        <v>466.5</v>
      </c>
      <c r="L648" s="11">
        <v>477</v>
      </c>
      <c r="M648" s="270">
        <f t="shared" si="10"/>
        <v>10.5</v>
      </c>
      <c r="N648" s="7"/>
      <c r="O648" s="277"/>
      <c r="P648" s="345"/>
      <c r="V648" s="383"/>
    </row>
    <row r="649" spans="1:22" ht="15" customHeight="1">
      <c r="A649" s="3">
        <v>36733</v>
      </c>
      <c r="F649" s="5">
        <v>152275</v>
      </c>
      <c r="K649" s="23">
        <v>469</v>
      </c>
      <c r="L649" s="11">
        <v>478.5</v>
      </c>
      <c r="M649" s="270">
        <f t="shared" si="10"/>
        <v>9.5</v>
      </c>
      <c r="N649" s="7"/>
      <c r="O649" s="277"/>
      <c r="P649" s="345"/>
      <c r="V649" s="383"/>
    </row>
    <row r="650" spans="1:22" ht="15" customHeight="1">
      <c r="A650" s="3">
        <v>36734</v>
      </c>
      <c r="F650" s="5">
        <v>149225</v>
      </c>
      <c r="K650" s="23">
        <v>469</v>
      </c>
      <c r="L650" s="11">
        <v>479</v>
      </c>
      <c r="M650" s="270">
        <f t="shared" si="10"/>
        <v>10</v>
      </c>
      <c r="N650" s="7"/>
      <c r="O650" s="277"/>
      <c r="P650" s="345"/>
      <c r="V650" s="383"/>
    </row>
    <row r="651" spans="1:22" ht="15" customHeight="1">
      <c r="A651" s="3">
        <v>36735</v>
      </c>
      <c r="F651" s="5">
        <v>147650</v>
      </c>
      <c r="K651" s="23">
        <v>472</v>
      </c>
      <c r="L651" s="11">
        <v>482</v>
      </c>
      <c r="M651" s="270">
        <f t="shared" si="10"/>
        <v>10</v>
      </c>
      <c r="N651" s="7"/>
      <c r="O651" s="277"/>
      <c r="P651" s="345"/>
      <c r="V651" s="383"/>
    </row>
    <row r="652" spans="1:22" ht="15" customHeight="1">
      <c r="A652" s="3">
        <v>36738</v>
      </c>
      <c r="F652" s="5">
        <v>144600</v>
      </c>
      <c r="K652" s="23">
        <v>466</v>
      </c>
      <c r="L652" s="11">
        <v>476</v>
      </c>
      <c r="M652" s="270">
        <f t="shared" si="10"/>
        <v>10</v>
      </c>
      <c r="N652" s="7"/>
      <c r="O652" s="277"/>
      <c r="P652" s="345"/>
      <c r="V652" s="383"/>
    </row>
    <row r="653" spans="1:22" ht="15" customHeight="1">
      <c r="A653" s="3">
        <v>36739</v>
      </c>
      <c r="F653" s="5">
        <v>143000</v>
      </c>
      <c r="K653" s="23">
        <v>472</v>
      </c>
      <c r="L653" s="11">
        <v>483</v>
      </c>
      <c r="M653" s="270">
        <f t="shared" si="10"/>
        <v>11</v>
      </c>
      <c r="N653" s="7"/>
      <c r="O653" s="277"/>
      <c r="P653" s="345"/>
      <c r="V653" s="383"/>
    </row>
    <row r="654" spans="1:22" ht="15" customHeight="1">
      <c r="A654" s="3">
        <v>36740</v>
      </c>
      <c r="F654" s="5">
        <v>141250</v>
      </c>
      <c r="K654" s="23">
        <v>470</v>
      </c>
      <c r="L654" s="11">
        <v>480.5</v>
      </c>
      <c r="M654" s="270">
        <f t="shared" si="10"/>
        <v>10.5</v>
      </c>
      <c r="N654" s="7"/>
      <c r="O654" s="277"/>
      <c r="P654" s="345"/>
      <c r="V654" s="383"/>
    </row>
    <row r="655" spans="1:22" ht="15" customHeight="1">
      <c r="A655" s="3">
        <v>36741</v>
      </c>
      <c r="F655" s="5">
        <v>139775</v>
      </c>
      <c r="K655" s="23">
        <v>466</v>
      </c>
      <c r="L655" s="11">
        <v>477</v>
      </c>
      <c r="M655" s="270">
        <f t="shared" si="10"/>
        <v>11</v>
      </c>
      <c r="N655" s="7"/>
      <c r="O655" s="277"/>
      <c r="P655" s="345"/>
      <c r="V655" s="383"/>
    </row>
    <row r="656" spans="1:22" ht="15" customHeight="1">
      <c r="A656" s="3">
        <v>36742</v>
      </c>
      <c r="F656" s="5">
        <v>139275</v>
      </c>
      <c r="K656" s="23">
        <v>467.5</v>
      </c>
      <c r="L656" s="11">
        <v>480</v>
      </c>
      <c r="M656" s="270">
        <f t="shared" si="10"/>
        <v>12.5</v>
      </c>
      <c r="N656" s="7"/>
      <c r="O656" s="277"/>
      <c r="P656" s="345"/>
      <c r="V656" s="383"/>
    </row>
    <row r="657" spans="1:22" ht="15" customHeight="1">
      <c r="A657" s="3">
        <v>36745</v>
      </c>
      <c r="F657" s="5">
        <v>139025</v>
      </c>
      <c r="K657" s="23">
        <v>470.5</v>
      </c>
      <c r="L657" s="11">
        <v>484</v>
      </c>
      <c r="M657" s="270">
        <f t="shared" ref="M657:M693" si="11">L657-K657</f>
        <v>13.5</v>
      </c>
      <c r="N657" s="7"/>
      <c r="O657" s="277"/>
      <c r="P657" s="345"/>
      <c r="V657" s="383"/>
    </row>
    <row r="658" spans="1:22" ht="15" customHeight="1">
      <c r="A658" s="3">
        <v>36746</v>
      </c>
      <c r="F658" s="5">
        <v>138775</v>
      </c>
      <c r="K658" s="23">
        <v>474</v>
      </c>
      <c r="L658" s="11">
        <v>486.5</v>
      </c>
      <c r="M658" s="270">
        <f t="shared" si="11"/>
        <v>12.5</v>
      </c>
      <c r="N658" s="7"/>
      <c r="O658" s="277"/>
      <c r="P658" s="345"/>
      <c r="V658" s="383"/>
    </row>
    <row r="659" spans="1:22" ht="15" customHeight="1">
      <c r="A659" s="3">
        <v>36747</v>
      </c>
      <c r="F659" s="5">
        <v>137500</v>
      </c>
      <c r="K659" s="23">
        <v>478</v>
      </c>
      <c r="L659" s="11">
        <v>488</v>
      </c>
      <c r="M659" s="270">
        <f t="shared" si="11"/>
        <v>10</v>
      </c>
      <c r="N659" s="7"/>
      <c r="O659" s="277"/>
      <c r="P659" s="345"/>
      <c r="V659" s="383"/>
    </row>
    <row r="660" spans="1:22" ht="15" customHeight="1">
      <c r="A660" s="3">
        <v>36748</v>
      </c>
      <c r="F660" s="5">
        <v>136600</v>
      </c>
      <c r="K660" s="23">
        <v>476</v>
      </c>
      <c r="L660" s="11">
        <v>487.5</v>
      </c>
      <c r="M660" s="270">
        <f t="shared" si="11"/>
        <v>11.5</v>
      </c>
      <c r="N660" s="7"/>
      <c r="O660" s="277"/>
      <c r="P660" s="345"/>
      <c r="V660" s="383"/>
    </row>
    <row r="661" spans="1:22" ht="15" customHeight="1">
      <c r="A661" s="3">
        <v>36749</v>
      </c>
      <c r="F661" s="5">
        <v>135700</v>
      </c>
      <c r="K661" s="23">
        <v>476.5</v>
      </c>
      <c r="L661" s="11">
        <v>489</v>
      </c>
      <c r="M661" s="270">
        <f t="shared" si="11"/>
        <v>12.5</v>
      </c>
      <c r="N661" s="7"/>
      <c r="O661" s="277"/>
      <c r="P661" s="345"/>
      <c r="V661" s="383"/>
    </row>
    <row r="662" spans="1:22" ht="15" customHeight="1">
      <c r="A662" s="3">
        <v>36752</v>
      </c>
      <c r="F662" s="5">
        <v>134400</v>
      </c>
      <c r="K662" s="23">
        <v>480</v>
      </c>
      <c r="L662" s="11">
        <v>492</v>
      </c>
      <c r="M662" s="270">
        <f t="shared" si="11"/>
        <v>12</v>
      </c>
      <c r="N662" s="7"/>
      <c r="O662" s="277"/>
      <c r="P662" s="345"/>
      <c r="V662" s="383"/>
    </row>
    <row r="663" spans="1:22" ht="15" customHeight="1">
      <c r="A663" s="3">
        <v>36753</v>
      </c>
      <c r="F663" s="5">
        <v>132725</v>
      </c>
      <c r="K663" s="23">
        <v>479.5</v>
      </c>
      <c r="L663" s="11">
        <v>492</v>
      </c>
      <c r="M663" s="270">
        <f t="shared" si="11"/>
        <v>12.5</v>
      </c>
      <c r="N663" s="7"/>
      <c r="O663" s="277"/>
      <c r="P663" s="345"/>
      <c r="V663" s="383"/>
    </row>
    <row r="664" spans="1:22" ht="15" customHeight="1">
      <c r="A664" s="3">
        <v>36754</v>
      </c>
      <c r="F664" s="5">
        <v>131825</v>
      </c>
      <c r="K664" s="23">
        <v>474.5</v>
      </c>
      <c r="L664" s="11">
        <v>487</v>
      </c>
      <c r="M664" s="270">
        <f t="shared" si="11"/>
        <v>12.5</v>
      </c>
      <c r="N664" s="7"/>
      <c r="O664" s="277"/>
      <c r="P664" s="345"/>
      <c r="V664" s="383"/>
    </row>
    <row r="665" spans="1:22" ht="15" customHeight="1">
      <c r="A665" s="3">
        <v>36755</v>
      </c>
      <c r="F665" s="5">
        <v>130900</v>
      </c>
      <c r="K665" s="23">
        <v>469</v>
      </c>
      <c r="L665" s="11">
        <v>482</v>
      </c>
      <c r="M665" s="270">
        <f t="shared" si="11"/>
        <v>13</v>
      </c>
      <c r="N665" s="7"/>
      <c r="O665" s="277"/>
      <c r="P665" s="345"/>
      <c r="V665" s="383"/>
    </row>
    <row r="666" spans="1:22" ht="15" customHeight="1">
      <c r="A666" s="3">
        <v>36756</v>
      </c>
      <c r="F666" s="5">
        <v>130675</v>
      </c>
      <c r="K666" s="23">
        <v>471</v>
      </c>
      <c r="L666" s="11">
        <v>486</v>
      </c>
      <c r="M666" s="270">
        <f t="shared" si="11"/>
        <v>15</v>
      </c>
      <c r="N666" s="7"/>
      <c r="O666" s="277"/>
      <c r="P666" s="345"/>
      <c r="V666" s="383"/>
    </row>
    <row r="667" spans="1:22" ht="15" customHeight="1">
      <c r="A667" s="3">
        <v>36759</v>
      </c>
      <c r="F667" s="5">
        <v>130025</v>
      </c>
      <c r="K667" s="23">
        <v>474</v>
      </c>
      <c r="L667" s="11">
        <v>489</v>
      </c>
      <c r="M667" s="270">
        <f t="shared" si="11"/>
        <v>15</v>
      </c>
      <c r="N667" s="7"/>
      <c r="O667" s="277"/>
      <c r="P667" s="345"/>
      <c r="V667" s="383"/>
    </row>
    <row r="668" spans="1:22" ht="15" customHeight="1">
      <c r="A668" s="3">
        <v>36760</v>
      </c>
      <c r="F668" s="5">
        <v>129375</v>
      </c>
      <c r="K668" s="23">
        <v>474</v>
      </c>
      <c r="L668" s="11">
        <v>488</v>
      </c>
      <c r="M668" s="270">
        <f t="shared" si="11"/>
        <v>14</v>
      </c>
      <c r="N668" s="7"/>
      <c r="O668" s="277"/>
      <c r="P668" s="345"/>
      <c r="V668" s="383"/>
    </row>
    <row r="669" spans="1:22" ht="15" customHeight="1">
      <c r="A669" s="3">
        <v>36761</v>
      </c>
      <c r="F669" s="5">
        <v>128325</v>
      </c>
      <c r="K669" s="23">
        <v>478</v>
      </c>
      <c r="L669" s="11">
        <v>491</v>
      </c>
      <c r="M669" s="270">
        <f t="shared" si="11"/>
        <v>13</v>
      </c>
      <c r="N669" s="7"/>
      <c r="O669" s="277"/>
      <c r="P669" s="345"/>
      <c r="V669" s="383"/>
    </row>
    <row r="670" spans="1:22" ht="15" customHeight="1">
      <c r="A670" s="3">
        <v>36762</v>
      </c>
      <c r="F670" s="5">
        <v>128075</v>
      </c>
      <c r="K670" s="23">
        <v>473.5</v>
      </c>
      <c r="L670" s="11">
        <v>487</v>
      </c>
      <c r="M670" s="270">
        <f t="shared" si="11"/>
        <v>13.5</v>
      </c>
      <c r="N670" s="7"/>
      <c r="O670" s="277"/>
      <c r="P670" s="345"/>
      <c r="V670" s="383"/>
    </row>
    <row r="671" spans="1:22" ht="15" customHeight="1">
      <c r="A671" s="3">
        <v>36763</v>
      </c>
      <c r="F671" s="5">
        <v>127500</v>
      </c>
      <c r="K671" s="23">
        <v>472</v>
      </c>
      <c r="L671" s="11">
        <v>486</v>
      </c>
      <c r="M671" s="270">
        <f t="shared" si="11"/>
        <v>14</v>
      </c>
      <c r="N671" s="7"/>
      <c r="O671" s="277"/>
      <c r="P671" s="345"/>
      <c r="V671" s="383"/>
    </row>
    <row r="672" spans="1:22" ht="15" customHeight="1">
      <c r="A672" s="3">
        <v>36767</v>
      </c>
      <c r="F672" s="5">
        <v>126675</v>
      </c>
      <c r="K672" s="23">
        <v>472</v>
      </c>
      <c r="L672" s="11">
        <v>487</v>
      </c>
      <c r="M672" s="270">
        <f t="shared" si="11"/>
        <v>15</v>
      </c>
      <c r="N672" s="7"/>
      <c r="O672" s="277"/>
      <c r="P672" s="345"/>
      <c r="V672" s="383"/>
    </row>
    <row r="673" spans="1:22" ht="15" customHeight="1">
      <c r="A673" s="3">
        <v>36768</v>
      </c>
      <c r="F673" s="5">
        <v>123500</v>
      </c>
      <c r="K673" s="23">
        <v>473</v>
      </c>
      <c r="L673" s="11">
        <v>486</v>
      </c>
      <c r="M673" s="270">
        <f t="shared" si="11"/>
        <v>13</v>
      </c>
      <c r="N673" s="7"/>
      <c r="O673" s="277"/>
      <c r="P673" s="345"/>
      <c r="V673" s="383"/>
    </row>
    <row r="674" spans="1:22" ht="15" customHeight="1">
      <c r="A674" s="3">
        <v>36769</v>
      </c>
      <c r="F674" s="5">
        <v>122200</v>
      </c>
      <c r="K674" s="23">
        <v>467</v>
      </c>
      <c r="L674" s="11">
        <v>479.5</v>
      </c>
      <c r="M674" s="270">
        <f t="shared" si="11"/>
        <v>12.5</v>
      </c>
      <c r="N674" s="7"/>
      <c r="O674" s="277"/>
      <c r="P674" s="345"/>
      <c r="V674" s="383"/>
    </row>
    <row r="675" spans="1:22" ht="15" customHeight="1">
      <c r="A675" s="3">
        <v>36770</v>
      </c>
      <c r="F675" s="5">
        <v>121250</v>
      </c>
      <c r="K675" s="23">
        <v>467.5</v>
      </c>
      <c r="L675" s="11">
        <v>480.5</v>
      </c>
      <c r="M675" s="270">
        <f t="shared" si="11"/>
        <v>13</v>
      </c>
      <c r="N675" s="7"/>
      <c r="O675" s="277"/>
      <c r="P675" s="345"/>
      <c r="V675" s="383"/>
    </row>
    <row r="676" spans="1:22" ht="15" customHeight="1">
      <c r="A676" s="3">
        <v>36773</v>
      </c>
      <c r="F676" s="5">
        <v>119575</v>
      </c>
      <c r="K676" s="23">
        <v>467</v>
      </c>
      <c r="L676" s="11">
        <v>480</v>
      </c>
      <c r="M676" s="270">
        <f t="shared" si="11"/>
        <v>13</v>
      </c>
      <c r="N676" s="7"/>
      <c r="O676" s="277"/>
      <c r="P676" s="345"/>
      <c r="V676" s="383"/>
    </row>
    <row r="677" spans="1:22" ht="15" customHeight="1">
      <c r="A677" s="3">
        <v>36774</v>
      </c>
      <c r="F677" s="5">
        <v>118125</v>
      </c>
      <c r="K677" s="23">
        <v>466</v>
      </c>
      <c r="L677" s="11">
        <v>479</v>
      </c>
      <c r="M677" s="270">
        <f t="shared" si="11"/>
        <v>13</v>
      </c>
      <c r="N677" s="7"/>
      <c r="O677" s="277"/>
      <c r="P677" s="345"/>
      <c r="V677" s="383"/>
    </row>
    <row r="678" spans="1:22" ht="15" customHeight="1">
      <c r="A678" s="3">
        <v>36775</v>
      </c>
      <c r="F678" s="5">
        <v>117650</v>
      </c>
      <c r="K678" s="23">
        <v>469</v>
      </c>
      <c r="L678" s="11">
        <v>482</v>
      </c>
      <c r="M678" s="270">
        <f t="shared" si="11"/>
        <v>13</v>
      </c>
      <c r="N678" s="7"/>
      <c r="O678" s="277"/>
      <c r="P678" s="345"/>
      <c r="V678" s="383"/>
    </row>
    <row r="679" spans="1:22" ht="15" customHeight="1">
      <c r="A679" s="3">
        <v>36776</v>
      </c>
      <c r="F679" s="5">
        <v>117025</v>
      </c>
      <c r="K679" s="23">
        <v>473</v>
      </c>
      <c r="L679" s="11">
        <v>485</v>
      </c>
      <c r="M679" s="270">
        <f t="shared" si="11"/>
        <v>12</v>
      </c>
      <c r="N679" s="7"/>
      <c r="O679" s="277"/>
      <c r="P679" s="345"/>
      <c r="V679" s="383"/>
    </row>
    <row r="680" spans="1:22" ht="15" customHeight="1">
      <c r="A680" s="3">
        <v>36777</v>
      </c>
      <c r="F680" s="5">
        <v>117125</v>
      </c>
      <c r="K680" s="23">
        <v>471</v>
      </c>
      <c r="L680" s="11">
        <v>483</v>
      </c>
      <c r="M680" s="270">
        <f t="shared" si="11"/>
        <v>12</v>
      </c>
      <c r="N680" s="7"/>
      <c r="O680" s="277"/>
      <c r="P680" s="345"/>
      <c r="V680" s="383"/>
    </row>
    <row r="681" spans="1:22" ht="15" customHeight="1">
      <c r="A681" s="3">
        <v>36780</v>
      </c>
      <c r="F681" s="5">
        <v>116950</v>
      </c>
      <c r="K681" s="23">
        <v>466</v>
      </c>
      <c r="L681" s="11">
        <v>478.5</v>
      </c>
      <c r="M681" s="270">
        <f t="shared" si="11"/>
        <v>12.5</v>
      </c>
      <c r="N681" s="7"/>
      <c r="O681" s="277"/>
      <c r="P681" s="345"/>
      <c r="V681" s="383"/>
    </row>
    <row r="682" spans="1:22" ht="15" customHeight="1">
      <c r="A682" s="3">
        <v>36781</v>
      </c>
      <c r="F682" s="5">
        <v>115950</v>
      </c>
      <c r="K682" s="23">
        <v>463.5</v>
      </c>
      <c r="L682" s="11">
        <v>475.5</v>
      </c>
      <c r="M682" s="270">
        <f t="shared" si="11"/>
        <v>12</v>
      </c>
      <c r="N682" s="7"/>
      <c r="O682" s="277"/>
      <c r="P682" s="345"/>
      <c r="V682" s="383"/>
    </row>
    <row r="683" spans="1:22" ht="15" customHeight="1">
      <c r="A683" s="3">
        <v>36782</v>
      </c>
      <c r="F683" s="5">
        <v>115375</v>
      </c>
      <c r="K683" s="23">
        <v>479.5</v>
      </c>
      <c r="L683" s="11">
        <v>490</v>
      </c>
      <c r="M683" s="270">
        <f t="shared" si="11"/>
        <v>10.5</v>
      </c>
      <c r="N683" s="7"/>
      <c r="O683" s="277"/>
      <c r="P683" s="345"/>
      <c r="V683" s="383"/>
    </row>
    <row r="684" spans="1:22" ht="15" customHeight="1">
      <c r="A684" s="3">
        <v>36783</v>
      </c>
      <c r="F684" s="5">
        <v>114875</v>
      </c>
      <c r="K684" s="23">
        <v>485</v>
      </c>
      <c r="L684" s="11">
        <v>492</v>
      </c>
      <c r="M684" s="270">
        <f t="shared" si="11"/>
        <v>7</v>
      </c>
      <c r="N684" s="7"/>
      <c r="O684" s="277"/>
      <c r="P684" s="345"/>
      <c r="V684" s="383"/>
    </row>
    <row r="685" spans="1:22" ht="15" customHeight="1">
      <c r="A685" s="3">
        <v>36784</v>
      </c>
      <c r="F685" s="5">
        <v>114175</v>
      </c>
      <c r="K685" s="23">
        <v>491</v>
      </c>
      <c r="L685" s="11">
        <v>495</v>
      </c>
      <c r="M685" s="270">
        <f t="shared" si="11"/>
        <v>4</v>
      </c>
      <c r="N685" s="7"/>
      <c r="O685" s="277"/>
      <c r="P685" s="345"/>
      <c r="V685" s="383"/>
    </row>
    <row r="686" spans="1:22" ht="15" customHeight="1">
      <c r="A686" s="3">
        <v>36787</v>
      </c>
      <c r="F686" s="5">
        <v>113575</v>
      </c>
      <c r="K686" s="23">
        <v>486</v>
      </c>
      <c r="L686" s="11">
        <v>495</v>
      </c>
      <c r="M686" s="270">
        <f t="shared" si="11"/>
        <v>9</v>
      </c>
      <c r="N686" s="7"/>
      <c r="O686" s="277"/>
      <c r="P686" s="345"/>
      <c r="V686" s="383"/>
    </row>
    <row r="687" spans="1:22" ht="15" customHeight="1">
      <c r="A687" s="3">
        <v>36788</v>
      </c>
      <c r="F687" s="5">
        <v>112525</v>
      </c>
      <c r="K687" s="23">
        <v>482</v>
      </c>
      <c r="L687" s="11">
        <v>490</v>
      </c>
      <c r="M687" s="270">
        <f t="shared" si="11"/>
        <v>8</v>
      </c>
      <c r="N687" s="7"/>
      <c r="O687" s="277"/>
      <c r="P687" s="345"/>
      <c r="V687" s="383"/>
    </row>
    <row r="688" spans="1:22" ht="15" customHeight="1">
      <c r="A688" s="3">
        <v>36789</v>
      </c>
      <c r="F688" s="5">
        <v>111450</v>
      </c>
      <c r="K688" s="23">
        <v>492</v>
      </c>
      <c r="L688" s="11">
        <v>493</v>
      </c>
      <c r="M688" s="270">
        <f t="shared" si="11"/>
        <v>1</v>
      </c>
      <c r="N688" s="7"/>
      <c r="O688" s="277"/>
      <c r="P688" s="345"/>
      <c r="V688" s="383"/>
    </row>
    <row r="689" spans="1:22" ht="15" customHeight="1">
      <c r="A689" s="3">
        <v>36790</v>
      </c>
      <c r="F689" s="5">
        <v>110000</v>
      </c>
      <c r="K689" s="23">
        <v>503</v>
      </c>
      <c r="L689" s="11">
        <v>503</v>
      </c>
      <c r="M689" s="270">
        <f t="shared" si="11"/>
        <v>0</v>
      </c>
      <c r="N689" s="7"/>
      <c r="O689" s="277"/>
      <c r="P689" s="345"/>
      <c r="V689" s="383"/>
    </row>
    <row r="690" spans="1:22" ht="15" customHeight="1">
      <c r="A690" s="3">
        <v>36791</v>
      </c>
      <c r="F690" s="5">
        <v>108400</v>
      </c>
      <c r="K690" s="23">
        <v>509.5</v>
      </c>
      <c r="L690" s="11">
        <v>508.5</v>
      </c>
      <c r="M690" s="270">
        <f t="shared" si="11"/>
        <v>-1</v>
      </c>
      <c r="N690" s="7"/>
      <c r="O690" s="277"/>
      <c r="P690" s="345"/>
      <c r="V690" s="383"/>
    </row>
    <row r="691" spans="1:22" ht="15" customHeight="1">
      <c r="A691" s="3">
        <v>36794</v>
      </c>
      <c r="F691" s="5">
        <v>108075</v>
      </c>
      <c r="K691" s="23">
        <v>514.5</v>
      </c>
      <c r="L691" s="11">
        <v>512</v>
      </c>
      <c r="M691" s="270">
        <f t="shared" si="11"/>
        <v>-2.5</v>
      </c>
      <c r="N691" s="7"/>
      <c r="O691" s="277"/>
      <c r="P691" s="345"/>
      <c r="V691" s="383"/>
    </row>
    <row r="692" spans="1:22" ht="15" customHeight="1">
      <c r="A692" s="3">
        <v>36795</v>
      </c>
      <c r="F692" s="5">
        <v>105925</v>
      </c>
      <c r="K692" s="23">
        <v>518.5</v>
      </c>
      <c r="L692" s="11">
        <v>515</v>
      </c>
      <c r="M692" s="270">
        <f t="shared" si="11"/>
        <v>-3.5</v>
      </c>
      <c r="N692" s="7"/>
      <c r="O692" s="277"/>
      <c r="P692" s="345"/>
      <c r="V692" s="383"/>
    </row>
    <row r="693" spans="1:22" ht="15" customHeight="1">
      <c r="A693" s="3">
        <v>36796</v>
      </c>
      <c r="F693" s="5">
        <v>105350</v>
      </c>
      <c r="K693" s="23">
        <v>511</v>
      </c>
      <c r="L693" s="11">
        <v>510</v>
      </c>
      <c r="M693" s="270">
        <f t="shared" si="11"/>
        <v>-1</v>
      </c>
      <c r="N693" s="7"/>
      <c r="O693" s="277"/>
      <c r="P693" s="345"/>
      <c r="V693" s="383"/>
    </row>
    <row r="694" spans="1:22" ht="15" customHeight="1">
      <c r="A694" s="3">
        <v>36797</v>
      </c>
      <c r="F694" s="5">
        <v>104325</v>
      </c>
      <c r="K694" s="23">
        <v>508.5</v>
      </c>
      <c r="L694" s="11">
        <v>507.5</v>
      </c>
      <c r="M694" s="270">
        <f>L694-K694</f>
        <v>-1</v>
      </c>
      <c r="N694" s="7"/>
      <c r="O694" s="277"/>
      <c r="P694" s="345"/>
      <c r="V694" s="383"/>
    </row>
    <row r="695" spans="1:22" ht="15" customHeight="1">
      <c r="A695" s="3">
        <v>36798</v>
      </c>
      <c r="F695" s="5">
        <v>102800</v>
      </c>
      <c r="K695" s="23">
        <v>504.5</v>
      </c>
      <c r="L695" s="11">
        <v>504</v>
      </c>
      <c r="M695" s="270">
        <f t="shared" ref="M695:M758" si="12">L695-K695</f>
        <v>-0.5</v>
      </c>
      <c r="N695" s="7"/>
      <c r="O695" s="277"/>
      <c r="P695" s="345"/>
      <c r="V695" s="383"/>
    </row>
    <row r="696" spans="1:22" ht="15" customHeight="1">
      <c r="A696" s="3">
        <v>36801</v>
      </c>
      <c r="F696" s="5">
        <v>101375</v>
      </c>
      <c r="K696" s="23">
        <v>503.5</v>
      </c>
      <c r="L696" s="11">
        <v>504</v>
      </c>
      <c r="M696" s="270">
        <f t="shared" si="12"/>
        <v>0.5</v>
      </c>
      <c r="N696" s="7"/>
      <c r="O696" s="277"/>
      <c r="P696" s="345"/>
      <c r="V696" s="383"/>
    </row>
    <row r="697" spans="1:22" ht="15" customHeight="1">
      <c r="A697" s="3">
        <v>36802</v>
      </c>
      <c r="F697" s="5">
        <v>100700</v>
      </c>
      <c r="K697" s="23">
        <v>507</v>
      </c>
      <c r="L697" s="11">
        <v>506</v>
      </c>
      <c r="M697" s="270">
        <f t="shared" si="12"/>
        <v>-1</v>
      </c>
      <c r="N697" s="7"/>
      <c r="O697" s="277"/>
      <c r="P697" s="345"/>
      <c r="V697" s="383"/>
    </row>
    <row r="698" spans="1:22" ht="15" customHeight="1">
      <c r="A698" s="3">
        <v>36803</v>
      </c>
      <c r="F698" s="5">
        <v>99750</v>
      </c>
      <c r="K698" s="23">
        <v>506</v>
      </c>
      <c r="L698" s="11">
        <v>508</v>
      </c>
      <c r="M698" s="270">
        <f t="shared" si="12"/>
        <v>2</v>
      </c>
      <c r="N698" s="7"/>
      <c r="O698" s="277"/>
      <c r="P698" s="345"/>
      <c r="V698" s="383"/>
    </row>
    <row r="699" spans="1:22" ht="15" customHeight="1">
      <c r="A699" s="3">
        <v>36804</v>
      </c>
      <c r="F699" s="5">
        <v>111300</v>
      </c>
      <c r="K699" s="23">
        <v>493</v>
      </c>
      <c r="L699" s="11">
        <v>495</v>
      </c>
      <c r="M699" s="270">
        <f t="shared" si="12"/>
        <v>2</v>
      </c>
      <c r="N699" s="7"/>
      <c r="O699" s="277"/>
      <c r="P699" s="345"/>
      <c r="V699" s="383"/>
    </row>
    <row r="700" spans="1:22" ht="15" customHeight="1">
      <c r="A700" s="3">
        <v>36805</v>
      </c>
      <c r="F700" s="5">
        <v>143600</v>
      </c>
      <c r="K700" s="23">
        <v>477</v>
      </c>
      <c r="L700" s="11">
        <v>481</v>
      </c>
      <c r="M700" s="270">
        <f t="shared" si="12"/>
        <v>4</v>
      </c>
      <c r="N700" s="7"/>
      <c r="O700" s="277"/>
      <c r="P700" s="345"/>
      <c r="V700" s="383"/>
    </row>
    <row r="701" spans="1:22" ht="15" customHeight="1">
      <c r="A701" s="3">
        <v>36808</v>
      </c>
      <c r="F701" s="5">
        <v>146275</v>
      </c>
      <c r="K701" s="23">
        <v>470.5</v>
      </c>
      <c r="L701" s="11">
        <v>480.5</v>
      </c>
      <c r="M701" s="270">
        <f t="shared" si="12"/>
        <v>10</v>
      </c>
      <c r="N701" s="7"/>
      <c r="O701" s="277"/>
      <c r="P701" s="345"/>
      <c r="V701" s="383"/>
    </row>
    <row r="702" spans="1:22" ht="15" customHeight="1">
      <c r="A702" s="3">
        <v>36809</v>
      </c>
      <c r="F702" s="5">
        <v>149750</v>
      </c>
      <c r="K702" s="23">
        <v>489</v>
      </c>
      <c r="L702" s="11">
        <v>490.5</v>
      </c>
      <c r="M702" s="270">
        <f t="shared" si="12"/>
        <v>1.5</v>
      </c>
      <c r="N702" s="7"/>
      <c r="O702" s="277"/>
      <c r="P702" s="345"/>
      <c r="V702" s="383"/>
    </row>
    <row r="703" spans="1:22" ht="15" customHeight="1">
      <c r="A703" s="3">
        <v>36810</v>
      </c>
      <c r="F703" s="5">
        <v>153400</v>
      </c>
      <c r="K703" s="23">
        <v>486</v>
      </c>
      <c r="L703" s="11">
        <v>493</v>
      </c>
      <c r="M703" s="270">
        <f t="shared" si="12"/>
        <v>7</v>
      </c>
      <c r="N703" s="7"/>
      <c r="O703" s="277"/>
      <c r="P703" s="345"/>
      <c r="V703" s="383"/>
    </row>
    <row r="704" spans="1:22" ht="15" customHeight="1">
      <c r="A704" s="3">
        <v>36811</v>
      </c>
      <c r="F704" s="5">
        <v>157000</v>
      </c>
      <c r="K704" s="23">
        <v>492</v>
      </c>
      <c r="L704" s="11">
        <v>497.5</v>
      </c>
      <c r="M704" s="270">
        <f t="shared" si="12"/>
        <v>5.5</v>
      </c>
      <c r="N704" s="7"/>
      <c r="O704" s="277"/>
      <c r="P704" s="345"/>
      <c r="V704" s="383"/>
    </row>
    <row r="705" spans="1:22" ht="15" customHeight="1">
      <c r="A705" s="3">
        <v>36812</v>
      </c>
      <c r="F705" s="5">
        <v>156525</v>
      </c>
      <c r="K705" s="23">
        <v>492</v>
      </c>
      <c r="L705" s="11">
        <v>495</v>
      </c>
      <c r="M705" s="270">
        <f t="shared" si="12"/>
        <v>3</v>
      </c>
      <c r="N705" s="7"/>
      <c r="O705" s="277"/>
      <c r="P705" s="345"/>
      <c r="V705" s="383"/>
    </row>
    <row r="706" spans="1:22" ht="15" customHeight="1">
      <c r="A706" s="3">
        <v>36815</v>
      </c>
      <c r="F706" s="5">
        <v>156450</v>
      </c>
      <c r="K706" s="23">
        <v>492</v>
      </c>
      <c r="L706" s="11">
        <v>497</v>
      </c>
      <c r="M706" s="270">
        <f t="shared" si="12"/>
        <v>5</v>
      </c>
      <c r="N706" s="7"/>
      <c r="O706" s="277"/>
      <c r="P706" s="345"/>
      <c r="V706" s="383"/>
    </row>
    <row r="707" spans="1:22" ht="15" customHeight="1">
      <c r="A707" s="3">
        <v>36816</v>
      </c>
      <c r="F707" s="5">
        <v>155775</v>
      </c>
      <c r="K707" s="23">
        <v>483.5</v>
      </c>
      <c r="L707" s="11">
        <v>492</v>
      </c>
      <c r="M707" s="270">
        <f t="shared" si="12"/>
        <v>8.5</v>
      </c>
      <c r="N707" s="7"/>
      <c r="O707" s="277"/>
      <c r="P707" s="345"/>
      <c r="V707" s="383"/>
    </row>
    <row r="708" spans="1:22" ht="15" customHeight="1">
      <c r="A708" s="3">
        <v>36817</v>
      </c>
      <c r="F708" s="5">
        <v>154225</v>
      </c>
      <c r="K708" s="23">
        <v>476.5</v>
      </c>
      <c r="L708" s="11">
        <v>487</v>
      </c>
      <c r="M708" s="270">
        <f t="shared" si="12"/>
        <v>10.5</v>
      </c>
      <c r="N708" s="7"/>
      <c r="O708" s="277"/>
      <c r="P708" s="345"/>
      <c r="V708" s="383"/>
    </row>
    <row r="709" spans="1:22" ht="15" customHeight="1">
      <c r="A709" s="3">
        <v>36818</v>
      </c>
      <c r="F709" s="5">
        <v>146475</v>
      </c>
      <c r="K709" s="23">
        <v>473</v>
      </c>
      <c r="L709" s="11">
        <v>485</v>
      </c>
      <c r="M709" s="270">
        <f t="shared" si="12"/>
        <v>12</v>
      </c>
      <c r="N709" s="7"/>
      <c r="O709" s="277"/>
      <c r="P709" s="345"/>
      <c r="V709" s="383"/>
    </row>
    <row r="710" spans="1:22" ht="15" customHeight="1">
      <c r="A710" s="3">
        <v>36819</v>
      </c>
      <c r="F710" s="5">
        <v>144925</v>
      </c>
      <c r="K710" s="23">
        <v>475</v>
      </c>
      <c r="L710" s="11">
        <v>483.5</v>
      </c>
      <c r="M710" s="270">
        <f t="shared" si="12"/>
        <v>8.5</v>
      </c>
      <c r="N710" s="7"/>
      <c r="O710" s="277"/>
      <c r="P710" s="345"/>
      <c r="V710" s="383"/>
    </row>
    <row r="711" spans="1:22" ht="15" customHeight="1">
      <c r="A711" s="3">
        <v>36822</v>
      </c>
      <c r="F711" s="5">
        <v>145200</v>
      </c>
      <c r="K711" s="23">
        <v>478</v>
      </c>
      <c r="L711" s="11">
        <v>488.5</v>
      </c>
      <c r="M711" s="270">
        <f t="shared" si="12"/>
        <v>10.5</v>
      </c>
      <c r="N711" s="7"/>
      <c r="O711" s="277"/>
      <c r="P711" s="345"/>
      <c r="V711" s="383"/>
    </row>
    <row r="712" spans="1:22" ht="15" customHeight="1">
      <c r="A712" s="3">
        <v>36823</v>
      </c>
      <c r="F712" s="5">
        <v>144775</v>
      </c>
      <c r="K712" s="23">
        <v>485.5</v>
      </c>
      <c r="L712" s="11">
        <v>494</v>
      </c>
      <c r="M712" s="270">
        <f t="shared" si="12"/>
        <v>8.5</v>
      </c>
      <c r="N712" s="7"/>
      <c r="O712" s="277"/>
      <c r="P712" s="345"/>
      <c r="V712" s="383"/>
    </row>
    <row r="713" spans="1:22" ht="15" customHeight="1">
      <c r="A713" s="3">
        <v>36824</v>
      </c>
      <c r="F713" s="5">
        <v>144000</v>
      </c>
      <c r="K713" s="23">
        <v>481</v>
      </c>
      <c r="L713" s="11">
        <v>492</v>
      </c>
      <c r="M713" s="270">
        <f t="shared" si="12"/>
        <v>11</v>
      </c>
      <c r="N713" s="7"/>
      <c r="O713" s="277"/>
      <c r="P713" s="345"/>
      <c r="V713" s="383"/>
    </row>
    <row r="714" spans="1:22" ht="15" customHeight="1">
      <c r="A714" s="3">
        <v>36825</v>
      </c>
      <c r="F714" s="5">
        <v>143275</v>
      </c>
      <c r="K714" s="23">
        <v>472</v>
      </c>
      <c r="L714" s="11">
        <v>484</v>
      </c>
      <c r="M714" s="270">
        <f t="shared" si="12"/>
        <v>12</v>
      </c>
      <c r="N714" s="7"/>
      <c r="O714" s="277"/>
      <c r="P714" s="345"/>
      <c r="V714" s="383"/>
    </row>
    <row r="715" spans="1:22" ht="15" customHeight="1">
      <c r="A715" s="3">
        <v>36826</v>
      </c>
      <c r="F715" s="5">
        <v>141425</v>
      </c>
      <c r="K715" s="23">
        <v>476.5</v>
      </c>
      <c r="L715" s="11">
        <v>488.5</v>
      </c>
      <c r="M715" s="270">
        <f t="shared" si="12"/>
        <v>12</v>
      </c>
      <c r="N715" s="7"/>
      <c r="O715" s="277"/>
      <c r="P715" s="345"/>
      <c r="V715" s="383"/>
    </row>
    <row r="716" spans="1:22" ht="15" customHeight="1">
      <c r="A716" s="3">
        <v>36829</v>
      </c>
      <c r="F716" s="5">
        <v>142075</v>
      </c>
      <c r="K716" s="23">
        <v>482</v>
      </c>
      <c r="L716" s="11">
        <v>494</v>
      </c>
      <c r="M716" s="270">
        <f t="shared" si="12"/>
        <v>12</v>
      </c>
      <c r="N716" s="7"/>
      <c r="O716" s="277"/>
      <c r="P716" s="345"/>
      <c r="V716" s="383"/>
    </row>
    <row r="717" spans="1:22" ht="15" customHeight="1">
      <c r="A717" s="3">
        <v>36830</v>
      </c>
      <c r="F717" s="5">
        <v>141375</v>
      </c>
      <c r="K717" s="23">
        <v>504</v>
      </c>
      <c r="L717" s="11">
        <v>510</v>
      </c>
      <c r="M717" s="270">
        <f t="shared" si="12"/>
        <v>6</v>
      </c>
      <c r="N717" s="7"/>
      <c r="O717" s="277"/>
      <c r="P717" s="345"/>
      <c r="V717" s="383"/>
    </row>
    <row r="718" spans="1:22" ht="15" customHeight="1">
      <c r="A718" s="3">
        <v>36831</v>
      </c>
      <c r="F718" s="5">
        <v>140850</v>
      </c>
      <c r="K718" s="23">
        <v>496</v>
      </c>
      <c r="L718" s="11">
        <v>503</v>
      </c>
      <c r="M718" s="270">
        <f t="shared" si="12"/>
        <v>7</v>
      </c>
      <c r="N718" s="7"/>
      <c r="O718" s="277"/>
      <c r="P718" s="345"/>
      <c r="V718" s="383"/>
    </row>
    <row r="719" spans="1:22" ht="15" customHeight="1">
      <c r="A719" s="3">
        <v>36832</v>
      </c>
      <c r="F719" s="5">
        <v>140650</v>
      </c>
      <c r="K719" s="23">
        <v>471</v>
      </c>
      <c r="L719" s="11">
        <v>483</v>
      </c>
      <c r="M719" s="270">
        <f t="shared" si="12"/>
        <v>12</v>
      </c>
      <c r="N719" s="7"/>
      <c r="O719" s="277"/>
      <c r="P719" s="345"/>
      <c r="V719" s="383"/>
    </row>
    <row r="720" spans="1:22" ht="15" customHeight="1">
      <c r="A720" s="3">
        <v>36833</v>
      </c>
      <c r="F720" s="5">
        <v>141350</v>
      </c>
      <c r="K720" s="23">
        <v>476</v>
      </c>
      <c r="L720" s="11">
        <v>486</v>
      </c>
      <c r="M720" s="270">
        <f t="shared" si="12"/>
        <v>10</v>
      </c>
      <c r="N720" s="7"/>
      <c r="O720" s="277"/>
      <c r="P720" s="345"/>
      <c r="V720" s="383"/>
    </row>
    <row r="721" spans="1:22" ht="15" customHeight="1">
      <c r="A721" s="3">
        <v>36836</v>
      </c>
      <c r="F721" s="5">
        <v>141325</v>
      </c>
      <c r="K721" s="23">
        <v>483</v>
      </c>
      <c r="L721" s="11">
        <v>492</v>
      </c>
      <c r="M721" s="270">
        <f t="shared" si="12"/>
        <v>9</v>
      </c>
      <c r="N721" s="7"/>
      <c r="O721" s="277"/>
      <c r="P721" s="345"/>
      <c r="V721" s="383"/>
    </row>
    <row r="722" spans="1:22" ht="15" customHeight="1">
      <c r="A722" s="3">
        <v>36837</v>
      </c>
      <c r="F722" s="5">
        <v>139450</v>
      </c>
      <c r="K722" s="23">
        <v>476</v>
      </c>
      <c r="L722" s="11">
        <v>486</v>
      </c>
      <c r="M722" s="270">
        <f t="shared" si="12"/>
        <v>10</v>
      </c>
      <c r="N722" s="7"/>
      <c r="O722" s="277"/>
      <c r="P722" s="345"/>
      <c r="V722" s="383"/>
    </row>
    <row r="723" spans="1:22" ht="15" customHeight="1">
      <c r="A723" s="3">
        <v>36838</v>
      </c>
      <c r="F723" s="5">
        <v>139075</v>
      </c>
      <c r="K723" s="23">
        <v>480.5</v>
      </c>
      <c r="L723" s="11">
        <v>490</v>
      </c>
      <c r="M723" s="270">
        <f t="shared" si="12"/>
        <v>9.5</v>
      </c>
      <c r="N723" s="7"/>
      <c r="O723" s="277"/>
      <c r="P723" s="345"/>
      <c r="V723" s="383"/>
    </row>
    <row r="724" spans="1:22" ht="15" customHeight="1">
      <c r="A724" s="3">
        <v>36839</v>
      </c>
      <c r="F724" s="5">
        <v>138850</v>
      </c>
      <c r="K724" s="23">
        <v>481</v>
      </c>
      <c r="L724" s="11">
        <v>492</v>
      </c>
      <c r="M724" s="270">
        <f t="shared" si="12"/>
        <v>11</v>
      </c>
      <c r="N724" s="7"/>
      <c r="O724" s="277"/>
      <c r="P724" s="345"/>
      <c r="V724" s="383"/>
    </row>
    <row r="725" spans="1:22" ht="15" customHeight="1">
      <c r="A725" s="3">
        <v>36840</v>
      </c>
      <c r="F725" s="5">
        <v>138700</v>
      </c>
      <c r="K725" s="23">
        <v>478</v>
      </c>
      <c r="L725" s="11">
        <v>489</v>
      </c>
      <c r="M725" s="270">
        <f t="shared" si="12"/>
        <v>11</v>
      </c>
      <c r="N725" s="7"/>
      <c r="O725" s="277"/>
      <c r="P725" s="345"/>
      <c r="V725" s="383"/>
    </row>
    <row r="726" spans="1:22" ht="15" customHeight="1">
      <c r="A726" s="3">
        <v>36843</v>
      </c>
      <c r="F726" s="5">
        <v>138500</v>
      </c>
      <c r="K726" s="23">
        <v>461</v>
      </c>
      <c r="L726" s="11">
        <v>475</v>
      </c>
      <c r="M726" s="270">
        <f t="shared" si="12"/>
        <v>14</v>
      </c>
      <c r="N726" s="7"/>
      <c r="O726" s="277"/>
      <c r="P726" s="345"/>
      <c r="V726" s="383"/>
    </row>
    <row r="727" spans="1:22" ht="15" customHeight="1">
      <c r="A727" s="3">
        <v>36844</v>
      </c>
      <c r="F727" s="5">
        <v>137650</v>
      </c>
      <c r="K727" s="23">
        <v>459.5</v>
      </c>
      <c r="L727" s="11">
        <v>474</v>
      </c>
      <c r="M727" s="270">
        <f t="shared" si="12"/>
        <v>14.5</v>
      </c>
      <c r="N727" s="7"/>
      <c r="O727" s="277"/>
      <c r="P727" s="345"/>
      <c r="V727" s="383"/>
    </row>
    <row r="728" spans="1:22" ht="15" customHeight="1">
      <c r="A728" s="3">
        <v>36845</v>
      </c>
      <c r="F728" s="5">
        <v>137300</v>
      </c>
      <c r="K728" s="23">
        <v>466</v>
      </c>
      <c r="L728" s="11">
        <v>477</v>
      </c>
      <c r="M728" s="270">
        <f t="shared" si="12"/>
        <v>11</v>
      </c>
      <c r="N728" s="7"/>
      <c r="O728" s="277"/>
      <c r="P728" s="345"/>
      <c r="V728" s="383"/>
    </row>
    <row r="729" spans="1:22" ht="15" customHeight="1">
      <c r="A729" s="3">
        <v>36846</v>
      </c>
      <c r="F729" s="5">
        <v>137200</v>
      </c>
      <c r="K729" s="23">
        <v>468</v>
      </c>
      <c r="L729" s="11">
        <v>481</v>
      </c>
      <c r="M729" s="270">
        <f t="shared" si="12"/>
        <v>13</v>
      </c>
      <c r="N729" s="7"/>
      <c r="O729" s="277"/>
      <c r="P729" s="345"/>
      <c r="V729" s="383"/>
    </row>
    <row r="730" spans="1:22" ht="15" customHeight="1">
      <c r="A730" s="3">
        <v>36847</v>
      </c>
      <c r="F730" s="5">
        <v>136650</v>
      </c>
      <c r="K730" s="23">
        <v>461.5</v>
      </c>
      <c r="L730" s="11">
        <v>476</v>
      </c>
      <c r="M730" s="270">
        <f t="shared" si="12"/>
        <v>14.5</v>
      </c>
      <c r="N730" s="7"/>
      <c r="O730" s="277"/>
      <c r="P730" s="345"/>
      <c r="V730" s="383"/>
    </row>
    <row r="731" spans="1:22" ht="15" customHeight="1">
      <c r="A731" s="3">
        <v>36850</v>
      </c>
      <c r="F731" s="5">
        <v>136475</v>
      </c>
      <c r="K731" s="23">
        <v>455</v>
      </c>
      <c r="L731" s="11">
        <v>472</v>
      </c>
      <c r="M731" s="270">
        <f t="shared" si="12"/>
        <v>17</v>
      </c>
      <c r="N731" s="7"/>
      <c r="O731" s="277"/>
      <c r="P731" s="345"/>
      <c r="V731" s="383"/>
    </row>
    <row r="732" spans="1:22" ht="15" customHeight="1">
      <c r="A732" s="3">
        <v>36851</v>
      </c>
      <c r="F732" s="5">
        <v>135850</v>
      </c>
      <c r="K732" s="23">
        <v>449.5</v>
      </c>
      <c r="L732" s="11">
        <v>466</v>
      </c>
      <c r="M732" s="270">
        <f t="shared" si="12"/>
        <v>16.5</v>
      </c>
      <c r="N732" s="7"/>
      <c r="O732" s="277"/>
      <c r="P732" s="345"/>
      <c r="V732" s="383"/>
    </row>
    <row r="733" spans="1:22" ht="15" customHeight="1">
      <c r="A733" s="3">
        <v>36852</v>
      </c>
      <c r="F733" s="5">
        <v>134725</v>
      </c>
      <c r="K733" s="23">
        <v>455</v>
      </c>
      <c r="L733" s="11">
        <v>472</v>
      </c>
      <c r="M733" s="270">
        <f t="shared" si="12"/>
        <v>17</v>
      </c>
      <c r="N733" s="7"/>
      <c r="O733" s="277"/>
      <c r="P733" s="345"/>
      <c r="V733" s="383"/>
    </row>
    <row r="734" spans="1:22" ht="15" customHeight="1">
      <c r="A734" s="3">
        <v>36853</v>
      </c>
      <c r="F734" s="5">
        <v>134700</v>
      </c>
      <c r="K734" s="23">
        <v>455.5</v>
      </c>
      <c r="L734" s="11">
        <v>471</v>
      </c>
      <c r="M734" s="270">
        <f t="shared" si="12"/>
        <v>15.5</v>
      </c>
      <c r="N734" s="7"/>
      <c r="O734" s="277"/>
      <c r="P734" s="345"/>
      <c r="V734" s="383"/>
    </row>
    <row r="735" spans="1:22" ht="15" customHeight="1">
      <c r="A735" s="3">
        <v>36854</v>
      </c>
      <c r="F735" s="5">
        <v>134600</v>
      </c>
      <c r="K735" s="23">
        <v>461.5</v>
      </c>
      <c r="L735" s="11">
        <v>478</v>
      </c>
      <c r="M735" s="270">
        <f t="shared" si="12"/>
        <v>16.5</v>
      </c>
      <c r="N735" s="7"/>
      <c r="O735" s="277"/>
      <c r="P735" s="345"/>
      <c r="V735" s="383"/>
    </row>
    <row r="736" spans="1:22" ht="15" customHeight="1">
      <c r="A736" s="3">
        <v>36857</v>
      </c>
      <c r="F736" s="5">
        <v>135875</v>
      </c>
      <c r="K736" s="23">
        <v>466</v>
      </c>
      <c r="L736" s="11">
        <v>481</v>
      </c>
      <c r="M736" s="270">
        <f t="shared" si="12"/>
        <v>15</v>
      </c>
      <c r="N736" s="7"/>
      <c r="O736" s="277"/>
      <c r="P736" s="345"/>
      <c r="V736" s="383"/>
    </row>
    <row r="737" spans="1:22" ht="15" customHeight="1">
      <c r="A737" s="3">
        <v>36858</v>
      </c>
      <c r="F737" s="5">
        <v>135675</v>
      </c>
      <c r="K737" s="23">
        <v>467.5</v>
      </c>
      <c r="L737" s="11">
        <v>483</v>
      </c>
      <c r="M737" s="270">
        <f t="shared" si="12"/>
        <v>15.5</v>
      </c>
      <c r="N737" s="7"/>
      <c r="O737" s="277"/>
      <c r="P737" s="345"/>
      <c r="V737" s="383"/>
    </row>
    <row r="738" spans="1:22" ht="15" customHeight="1">
      <c r="A738" s="3">
        <v>36859</v>
      </c>
      <c r="F738" s="5">
        <v>136400</v>
      </c>
      <c r="K738" s="23">
        <v>463</v>
      </c>
      <c r="L738" s="11">
        <v>478</v>
      </c>
      <c r="M738" s="270">
        <f t="shared" si="12"/>
        <v>15</v>
      </c>
      <c r="N738" s="7"/>
      <c r="O738" s="277"/>
      <c r="P738" s="345"/>
      <c r="V738" s="383"/>
    </row>
    <row r="739" spans="1:22" ht="15" customHeight="1">
      <c r="A739" s="3">
        <v>36860</v>
      </c>
      <c r="F739" s="5">
        <v>136225</v>
      </c>
      <c r="K739" s="23">
        <v>466</v>
      </c>
      <c r="L739" s="11">
        <v>483</v>
      </c>
      <c r="M739" s="270">
        <f t="shared" si="12"/>
        <v>17</v>
      </c>
      <c r="N739" s="7"/>
      <c r="O739" s="277"/>
      <c r="P739" s="345"/>
      <c r="V739" s="383"/>
    </row>
    <row r="740" spans="1:22" ht="15" customHeight="1">
      <c r="A740" s="3">
        <v>36861</v>
      </c>
      <c r="F740" s="5">
        <v>135950</v>
      </c>
      <c r="K740" s="23">
        <v>466.5</v>
      </c>
      <c r="L740" s="11">
        <v>483.5</v>
      </c>
      <c r="M740" s="270">
        <f t="shared" si="12"/>
        <v>17</v>
      </c>
      <c r="N740" s="7"/>
      <c r="O740" s="277"/>
      <c r="P740" s="345"/>
      <c r="V740" s="383"/>
    </row>
    <row r="741" spans="1:22" ht="15" customHeight="1">
      <c r="A741" s="3">
        <v>36864</v>
      </c>
      <c r="F741" s="5">
        <v>133550</v>
      </c>
      <c r="K741" s="23">
        <v>463.5</v>
      </c>
      <c r="L741" s="11">
        <v>476.5</v>
      </c>
      <c r="M741" s="270">
        <f t="shared" si="12"/>
        <v>13</v>
      </c>
      <c r="N741" s="7"/>
      <c r="O741" s="277"/>
      <c r="P741" s="345"/>
      <c r="V741" s="383"/>
    </row>
    <row r="742" spans="1:22" ht="15" customHeight="1">
      <c r="A742" s="3">
        <v>36865</v>
      </c>
      <c r="F742" s="5">
        <v>133125</v>
      </c>
      <c r="K742" s="23">
        <v>457.5</v>
      </c>
      <c r="L742" s="11">
        <v>473</v>
      </c>
      <c r="M742" s="270">
        <f t="shared" si="12"/>
        <v>15.5</v>
      </c>
      <c r="N742" s="7"/>
      <c r="O742" s="277"/>
      <c r="P742" s="345"/>
      <c r="V742" s="383"/>
    </row>
    <row r="743" spans="1:22" ht="15" customHeight="1">
      <c r="A743" s="3">
        <v>36866</v>
      </c>
      <c r="F743" s="5">
        <v>132500</v>
      </c>
      <c r="K743" s="23">
        <v>463</v>
      </c>
      <c r="L743" s="11">
        <v>478</v>
      </c>
      <c r="M743" s="270">
        <f t="shared" si="12"/>
        <v>15</v>
      </c>
      <c r="N743" s="7"/>
      <c r="O743" s="277"/>
      <c r="P743" s="345"/>
      <c r="V743" s="383"/>
    </row>
    <row r="744" spans="1:22" ht="15" customHeight="1">
      <c r="A744" s="3">
        <v>36867</v>
      </c>
      <c r="F744" s="5">
        <v>132275</v>
      </c>
      <c r="K744" s="23">
        <v>467</v>
      </c>
      <c r="L744" s="11">
        <v>479</v>
      </c>
      <c r="M744" s="270">
        <f t="shared" si="12"/>
        <v>12</v>
      </c>
      <c r="N744" s="7"/>
      <c r="O744" s="277"/>
      <c r="P744" s="345"/>
      <c r="V744" s="383"/>
    </row>
    <row r="745" spans="1:22" ht="15" customHeight="1">
      <c r="A745" s="3">
        <v>36868</v>
      </c>
      <c r="F745" s="5">
        <v>132300</v>
      </c>
      <c r="K745" s="23">
        <v>467</v>
      </c>
      <c r="L745" s="11">
        <v>481</v>
      </c>
      <c r="M745" s="270">
        <f t="shared" si="12"/>
        <v>14</v>
      </c>
      <c r="N745" s="7"/>
      <c r="O745" s="277"/>
      <c r="P745" s="345"/>
      <c r="V745" s="383"/>
    </row>
    <row r="746" spans="1:22" ht="15" customHeight="1">
      <c r="A746" s="3">
        <v>36871</v>
      </c>
      <c r="F746" s="5">
        <v>132250</v>
      </c>
      <c r="K746" s="23">
        <v>463.5</v>
      </c>
      <c r="L746" s="11">
        <v>479</v>
      </c>
      <c r="M746" s="270">
        <f t="shared" si="12"/>
        <v>15.5</v>
      </c>
      <c r="N746" s="7"/>
      <c r="O746" s="277"/>
      <c r="P746" s="345"/>
      <c r="V746" s="383"/>
    </row>
    <row r="747" spans="1:22" ht="15" customHeight="1">
      <c r="A747" s="3">
        <v>36872</v>
      </c>
      <c r="F747" s="5">
        <v>131925</v>
      </c>
      <c r="K747" s="23">
        <v>453.5</v>
      </c>
      <c r="L747" s="11">
        <v>469</v>
      </c>
      <c r="M747" s="270">
        <f t="shared" si="12"/>
        <v>15.5</v>
      </c>
      <c r="N747" s="7"/>
      <c r="O747" s="277"/>
      <c r="P747" s="345"/>
      <c r="V747" s="383"/>
    </row>
    <row r="748" spans="1:22" ht="15" customHeight="1">
      <c r="A748" s="3">
        <v>36873</v>
      </c>
      <c r="F748" s="5">
        <v>131675</v>
      </c>
      <c r="K748" s="23">
        <v>446</v>
      </c>
      <c r="L748" s="11">
        <v>463</v>
      </c>
      <c r="M748" s="270">
        <f t="shared" si="12"/>
        <v>17</v>
      </c>
      <c r="N748" s="7"/>
      <c r="O748" s="277"/>
      <c r="P748" s="345"/>
      <c r="V748" s="383"/>
    </row>
    <row r="749" spans="1:22" ht="15" customHeight="1">
      <c r="A749" s="3">
        <v>36874</v>
      </c>
      <c r="F749" s="5">
        <v>131175</v>
      </c>
      <c r="K749" s="23">
        <v>455.5</v>
      </c>
      <c r="L749" s="11">
        <v>471</v>
      </c>
      <c r="M749" s="270">
        <f t="shared" si="12"/>
        <v>15.5</v>
      </c>
      <c r="N749" s="7"/>
      <c r="O749" s="277"/>
      <c r="P749" s="345"/>
      <c r="V749" s="383"/>
    </row>
    <row r="750" spans="1:22" ht="15" customHeight="1">
      <c r="A750" s="3">
        <v>36875</v>
      </c>
      <c r="F750" s="5">
        <v>131675</v>
      </c>
      <c r="K750" s="23">
        <v>454</v>
      </c>
      <c r="L750" s="11">
        <v>473</v>
      </c>
      <c r="M750" s="270">
        <f t="shared" si="12"/>
        <v>19</v>
      </c>
      <c r="N750" s="7"/>
      <c r="O750" s="277"/>
      <c r="P750" s="345"/>
      <c r="V750" s="383"/>
    </row>
    <row r="751" spans="1:22" ht="15" customHeight="1">
      <c r="A751" s="3">
        <v>36878</v>
      </c>
      <c r="F751" s="5">
        <v>131525</v>
      </c>
      <c r="K751" s="23">
        <v>448</v>
      </c>
      <c r="L751" s="11">
        <v>464.5</v>
      </c>
      <c r="M751" s="270">
        <f t="shared" si="12"/>
        <v>16.5</v>
      </c>
      <c r="N751" s="7"/>
      <c r="O751" s="277"/>
      <c r="P751" s="345"/>
      <c r="V751" s="383"/>
    </row>
    <row r="752" spans="1:22" ht="15" customHeight="1">
      <c r="A752" s="3">
        <v>36879</v>
      </c>
      <c r="F752" s="5">
        <v>131375</v>
      </c>
      <c r="K752" s="23">
        <v>452.5</v>
      </c>
      <c r="L752" s="11">
        <v>468</v>
      </c>
      <c r="M752" s="270">
        <f t="shared" si="12"/>
        <v>15.5</v>
      </c>
      <c r="N752" s="7"/>
      <c r="O752" s="277"/>
      <c r="P752" s="345"/>
      <c r="V752" s="383"/>
    </row>
    <row r="753" spans="1:22" ht="15" customHeight="1">
      <c r="A753" s="3">
        <v>36880</v>
      </c>
      <c r="F753" s="5">
        <v>131325</v>
      </c>
      <c r="K753" s="23">
        <v>454</v>
      </c>
      <c r="L753" s="11">
        <v>470</v>
      </c>
      <c r="M753" s="270">
        <f t="shared" si="12"/>
        <v>16</v>
      </c>
      <c r="N753" s="7"/>
      <c r="O753" s="277"/>
      <c r="P753" s="345"/>
      <c r="V753" s="383"/>
    </row>
    <row r="754" spans="1:22" ht="15" customHeight="1">
      <c r="A754" s="3">
        <v>36881</v>
      </c>
      <c r="F754" s="5">
        <v>130775</v>
      </c>
      <c r="K754" s="23">
        <v>466</v>
      </c>
      <c r="L754" s="11">
        <v>476.5</v>
      </c>
      <c r="M754" s="270">
        <f t="shared" si="12"/>
        <v>10.5</v>
      </c>
      <c r="N754" s="7"/>
      <c r="O754" s="277"/>
      <c r="P754" s="345"/>
      <c r="V754" s="383"/>
    </row>
    <row r="755" spans="1:22" ht="15" customHeight="1">
      <c r="A755" s="3">
        <v>36882</v>
      </c>
      <c r="F755" s="5">
        <v>130725</v>
      </c>
      <c r="K755" s="23">
        <v>478</v>
      </c>
      <c r="L755" s="11">
        <v>493</v>
      </c>
      <c r="M755" s="270">
        <f t="shared" si="12"/>
        <v>15</v>
      </c>
      <c r="N755" s="7"/>
      <c r="O755" s="277"/>
      <c r="P755" s="345"/>
      <c r="V755" s="383"/>
    </row>
    <row r="756" spans="1:22" ht="15" customHeight="1">
      <c r="A756" s="3">
        <v>36887</v>
      </c>
      <c r="F756" s="5">
        <v>130400</v>
      </c>
      <c r="K756" s="23">
        <v>480.5</v>
      </c>
      <c r="L756" s="11">
        <v>493</v>
      </c>
      <c r="M756" s="270">
        <f t="shared" si="12"/>
        <v>12.5</v>
      </c>
      <c r="N756" s="7"/>
      <c r="O756" s="277"/>
      <c r="P756" s="345"/>
      <c r="V756" s="383"/>
    </row>
    <row r="757" spans="1:22" ht="15" customHeight="1">
      <c r="A757" s="3">
        <v>36888</v>
      </c>
      <c r="F757" s="5">
        <v>129900</v>
      </c>
      <c r="K757" s="23">
        <v>477.5</v>
      </c>
      <c r="L757" s="11">
        <v>490</v>
      </c>
      <c r="M757" s="270">
        <f t="shared" si="12"/>
        <v>12.5</v>
      </c>
      <c r="N757" s="7"/>
      <c r="O757" s="277"/>
      <c r="P757" s="345"/>
      <c r="V757" s="383"/>
    </row>
    <row r="758" spans="1:22" ht="15" customHeight="1">
      <c r="A758" s="3">
        <v>36889</v>
      </c>
      <c r="F758" s="5">
        <v>130125</v>
      </c>
      <c r="K758" s="23">
        <v>471</v>
      </c>
      <c r="L758" s="11">
        <v>484</v>
      </c>
      <c r="M758" s="270">
        <f t="shared" si="12"/>
        <v>13</v>
      </c>
      <c r="N758" s="7"/>
      <c r="O758" s="277"/>
      <c r="P758" s="345"/>
      <c r="V758" s="383"/>
    </row>
    <row r="759" spans="1:22" ht="15" customHeight="1">
      <c r="A759" s="3">
        <v>36893</v>
      </c>
      <c r="B759" s="4">
        <v>76375</v>
      </c>
      <c r="D759" s="5">
        <v>7875</v>
      </c>
      <c r="E759" s="5">
        <f>F759-(B759+D759)</f>
        <v>46400</v>
      </c>
      <c r="F759" s="5">
        <v>130650</v>
      </c>
      <c r="K759" s="23">
        <v>467</v>
      </c>
      <c r="L759" s="11">
        <v>482</v>
      </c>
      <c r="M759" s="270">
        <f t="shared" ref="M759:M822" si="13">L759-K759</f>
        <v>15</v>
      </c>
      <c r="N759" s="7"/>
      <c r="O759" s="277"/>
      <c r="P759" s="345"/>
      <c r="V759" s="383"/>
    </row>
    <row r="760" spans="1:22" ht="15" customHeight="1">
      <c r="A760" s="3">
        <v>36894</v>
      </c>
      <c r="B760" s="4">
        <v>76875</v>
      </c>
      <c r="D760" s="5">
        <v>7875</v>
      </c>
      <c r="E760" s="5">
        <f t="shared" ref="E760:E823" si="14">F760-(B760+D760)</f>
        <v>46400</v>
      </c>
      <c r="F760" s="5">
        <v>131150</v>
      </c>
      <c r="K760" s="23">
        <v>472</v>
      </c>
      <c r="L760" s="11">
        <v>485</v>
      </c>
      <c r="M760" s="270">
        <f t="shared" si="13"/>
        <v>13</v>
      </c>
      <c r="N760" s="7"/>
      <c r="O760" s="277"/>
      <c r="P760" s="345"/>
      <c r="V760" s="383"/>
    </row>
    <row r="761" spans="1:22" ht="15" customHeight="1">
      <c r="A761" s="3">
        <v>36895</v>
      </c>
      <c r="B761" s="4">
        <v>76850</v>
      </c>
      <c r="D761" s="5">
        <v>7875</v>
      </c>
      <c r="E761" s="5">
        <f t="shared" si="14"/>
        <v>46350</v>
      </c>
      <c r="F761" s="5">
        <v>131075</v>
      </c>
      <c r="K761" s="23">
        <v>481.5</v>
      </c>
      <c r="L761" s="11">
        <v>495</v>
      </c>
      <c r="M761" s="270">
        <f t="shared" si="13"/>
        <v>13.5</v>
      </c>
      <c r="N761" s="7"/>
      <c r="O761" s="277"/>
      <c r="P761" s="345"/>
      <c r="V761" s="383"/>
    </row>
    <row r="762" spans="1:22" ht="15" customHeight="1">
      <c r="A762" s="3">
        <v>36896</v>
      </c>
      <c r="B762" s="4">
        <v>76850</v>
      </c>
      <c r="D762" s="5">
        <v>7875</v>
      </c>
      <c r="E762" s="5">
        <f t="shared" si="14"/>
        <v>46150</v>
      </c>
      <c r="F762" s="5">
        <v>130875</v>
      </c>
      <c r="K762" s="23">
        <v>471</v>
      </c>
      <c r="L762" s="11">
        <v>485</v>
      </c>
      <c r="M762" s="270">
        <f t="shared" si="13"/>
        <v>14</v>
      </c>
      <c r="N762" s="7"/>
      <c r="O762" s="277"/>
      <c r="P762" s="345"/>
      <c r="V762" s="383"/>
    </row>
    <row r="763" spans="1:22" ht="15" customHeight="1">
      <c r="A763" s="3">
        <v>36899</v>
      </c>
      <c r="B763" s="4">
        <v>76850</v>
      </c>
      <c r="D763" s="5">
        <v>7875</v>
      </c>
      <c r="E763" s="5">
        <f t="shared" si="14"/>
        <v>46075</v>
      </c>
      <c r="F763" s="5">
        <v>130800</v>
      </c>
      <c r="K763" s="23">
        <v>467</v>
      </c>
      <c r="L763" s="11">
        <v>482</v>
      </c>
      <c r="M763" s="270">
        <f t="shared" si="13"/>
        <v>15</v>
      </c>
      <c r="N763" s="7"/>
      <c r="O763" s="277"/>
      <c r="P763" s="345"/>
      <c r="V763" s="383"/>
    </row>
    <row r="764" spans="1:22" ht="15" customHeight="1">
      <c r="A764" s="3">
        <v>36900</v>
      </c>
      <c r="B764" s="4">
        <v>76625</v>
      </c>
      <c r="D764" s="5">
        <v>7875</v>
      </c>
      <c r="E764" s="5">
        <f t="shared" si="14"/>
        <v>45950</v>
      </c>
      <c r="F764" s="5">
        <v>130450</v>
      </c>
      <c r="K764" s="23">
        <v>477.5</v>
      </c>
      <c r="L764" s="11">
        <v>492</v>
      </c>
      <c r="M764" s="270">
        <f t="shared" si="13"/>
        <v>14.5</v>
      </c>
      <c r="N764" s="7"/>
      <c r="O764" s="277"/>
      <c r="P764" s="345"/>
      <c r="V764" s="383"/>
    </row>
    <row r="765" spans="1:22" ht="15" customHeight="1">
      <c r="A765" s="3">
        <v>36901</v>
      </c>
      <c r="B765" s="4">
        <v>76575</v>
      </c>
      <c r="D765" s="5">
        <v>7875</v>
      </c>
      <c r="E765" s="5">
        <f t="shared" si="14"/>
        <v>45725</v>
      </c>
      <c r="F765" s="5">
        <v>130175</v>
      </c>
      <c r="K765" s="23">
        <v>473</v>
      </c>
      <c r="L765" s="11">
        <v>486</v>
      </c>
      <c r="M765" s="270">
        <f t="shared" si="13"/>
        <v>13</v>
      </c>
      <c r="N765" s="7"/>
      <c r="O765" s="277"/>
      <c r="P765" s="345"/>
      <c r="V765" s="383"/>
    </row>
    <row r="766" spans="1:22" ht="15" customHeight="1">
      <c r="A766" s="3">
        <v>36902</v>
      </c>
      <c r="B766" s="4">
        <v>76425</v>
      </c>
      <c r="D766" s="5">
        <v>7875</v>
      </c>
      <c r="E766" s="5">
        <f t="shared" si="14"/>
        <v>45575</v>
      </c>
      <c r="F766" s="5">
        <v>129875</v>
      </c>
      <c r="K766" s="23">
        <v>466</v>
      </c>
      <c r="L766" s="11">
        <v>481</v>
      </c>
      <c r="M766" s="270">
        <f t="shared" si="13"/>
        <v>15</v>
      </c>
      <c r="N766" s="7"/>
      <c r="O766" s="277"/>
      <c r="P766" s="345"/>
      <c r="V766" s="383"/>
    </row>
    <row r="767" spans="1:22" ht="15" customHeight="1">
      <c r="A767" s="3">
        <v>36903</v>
      </c>
      <c r="B767" s="4">
        <v>76150</v>
      </c>
      <c r="D767" s="5">
        <v>7875</v>
      </c>
      <c r="E767" s="5">
        <f t="shared" si="14"/>
        <v>45450</v>
      </c>
      <c r="F767" s="5">
        <v>129475</v>
      </c>
      <c r="K767" s="23">
        <v>467.5</v>
      </c>
      <c r="L767" s="11">
        <v>479</v>
      </c>
      <c r="M767" s="270">
        <f t="shared" si="13"/>
        <v>11.5</v>
      </c>
      <c r="N767" s="7"/>
      <c r="O767" s="277"/>
      <c r="P767" s="345"/>
      <c r="V767" s="383"/>
    </row>
    <row r="768" spans="1:22" ht="15" customHeight="1">
      <c r="A768" s="3">
        <v>36906</v>
      </c>
      <c r="B768" s="4">
        <v>76050</v>
      </c>
      <c r="D768" s="5">
        <v>7875</v>
      </c>
      <c r="E768" s="5">
        <f t="shared" si="14"/>
        <v>45375</v>
      </c>
      <c r="F768" s="5">
        <v>129300</v>
      </c>
      <c r="K768" s="23">
        <v>466.5</v>
      </c>
      <c r="L768" s="11">
        <v>480.5</v>
      </c>
      <c r="M768" s="270">
        <f t="shared" si="13"/>
        <v>14</v>
      </c>
      <c r="N768" s="7"/>
      <c r="O768" s="277"/>
      <c r="P768" s="345"/>
      <c r="V768" s="383"/>
    </row>
    <row r="769" spans="1:22" ht="15" customHeight="1">
      <c r="A769" s="3">
        <v>36907</v>
      </c>
      <c r="B769" s="4">
        <v>76075</v>
      </c>
      <c r="D769" s="5">
        <v>7875</v>
      </c>
      <c r="E769" s="5">
        <f t="shared" si="14"/>
        <v>45300</v>
      </c>
      <c r="F769" s="5">
        <v>129250</v>
      </c>
      <c r="K769" s="23">
        <v>453</v>
      </c>
      <c r="L769" s="11">
        <v>469</v>
      </c>
      <c r="M769" s="270">
        <f t="shared" si="13"/>
        <v>16</v>
      </c>
      <c r="N769" s="7"/>
      <c r="O769" s="277"/>
      <c r="P769" s="345"/>
      <c r="V769" s="383"/>
    </row>
    <row r="770" spans="1:22" ht="15" customHeight="1">
      <c r="A770" s="3">
        <v>36908</v>
      </c>
      <c r="B770" s="4">
        <v>75675</v>
      </c>
      <c r="D770" s="5">
        <v>7875</v>
      </c>
      <c r="E770" s="5">
        <f t="shared" si="14"/>
        <v>45200</v>
      </c>
      <c r="F770" s="5">
        <v>128750</v>
      </c>
      <c r="K770" s="23">
        <v>453.5</v>
      </c>
      <c r="L770" s="11">
        <v>468</v>
      </c>
      <c r="M770" s="270">
        <f t="shared" si="13"/>
        <v>14.5</v>
      </c>
      <c r="N770" s="7"/>
      <c r="O770" s="277"/>
      <c r="P770" s="345"/>
      <c r="V770" s="383"/>
    </row>
    <row r="771" spans="1:22" ht="15" customHeight="1">
      <c r="A771" s="3">
        <v>36909</v>
      </c>
      <c r="B771" s="4">
        <v>75550</v>
      </c>
      <c r="D771" s="5">
        <v>7875</v>
      </c>
      <c r="E771" s="5">
        <f t="shared" si="14"/>
        <v>45125</v>
      </c>
      <c r="F771" s="5">
        <v>128550</v>
      </c>
      <c r="K771" s="23">
        <v>466</v>
      </c>
      <c r="L771" s="11">
        <v>478</v>
      </c>
      <c r="M771" s="270">
        <f t="shared" si="13"/>
        <v>12</v>
      </c>
      <c r="N771" s="7"/>
      <c r="O771" s="277"/>
      <c r="P771" s="345"/>
      <c r="V771" s="383"/>
    </row>
    <row r="772" spans="1:22" ht="15" customHeight="1">
      <c r="A772" s="3">
        <v>36910</v>
      </c>
      <c r="B772" s="4">
        <v>75550</v>
      </c>
      <c r="D772" s="5">
        <v>7875</v>
      </c>
      <c r="E772" s="5">
        <f t="shared" si="14"/>
        <v>45075</v>
      </c>
      <c r="F772" s="5">
        <v>128500</v>
      </c>
      <c r="K772" s="23">
        <v>476</v>
      </c>
      <c r="L772" s="11">
        <v>483.5</v>
      </c>
      <c r="M772" s="270">
        <f t="shared" si="13"/>
        <v>7.5</v>
      </c>
      <c r="N772" s="7"/>
      <c r="O772" s="277"/>
      <c r="P772" s="345"/>
      <c r="V772" s="383"/>
    </row>
    <row r="773" spans="1:22" ht="15" customHeight="1">
      <c r="A773" s="3">
        <v>36913</v>
      </c>
      <c r="B773" s="4">
        <v>75125</v>
      </c>
      <c r="D773" s="5">
        <v>7875</v>
      </c>
      <c r="E773" s="5">
        <f t="shared" si="14"/>
        <v>44975</v>
      </c>
      <c r="F773" s="5">
        <v>127975</v>
      </c>
      <c r="K773" s="23">
        <v>484</v>
      </c>
      <c r="L773" s="11">
        <v>494</v>
      </c>
      <c r="M773" s="270">
        <f t="shared" si="13"/>
        <v>10</v>
      </c>
      <c r="N773" s="7"/>
      <c r="O773" s="277"/>
      <c r="P773" s="345"/>
      <c r="V773" s="383"/>
    </row>
    <row r="774" spans="1:22" ht="15" customHeight="1">
      <c r="A774" s="3">
        <v>36914</v>
      </c>
      <c r="B774" s="4">
        <v>75300</v>
      </c>
      <c r="D774" s="5">
        <v>7875</v>
      </c>
      <c r="E774" s="5">
        <f t="shared" si="14"/>
        <v>44925</v>
      </c>
      <c r="F774" s="5">
        <v>128100</v>
      </c>
      <c r="K774" s="23">
        <v>494</v>
      </c>
      <c r="L774" s="11">
        <v>499</v>
      </c>
      <c r="M774" s="270">
        <f t="shared" si="13"/>
        <v>5</v>
      </c>
      <c r="N774" s="7"/>
      <c r="O774" s="277"/>
      <c r="P774" s="345"/>
      <c r="V774" s="383"/>
    </row>
    <row r="775" spans="1:22" ht="15" customHeight="1">
      <c r="A775" s="3">
        <v>36915</v>
      </c>
      <c r="B775" s="4">
        <v>75300</v>
      </c>
      <c r="D775" s="5">
        <v>7875</v>
      </c>
      <c r="E775" s="5">
        <f t="shared" si="14"/>
        <v>44900</v>
      </c>
      <c r="F775" s="5">
        <v>128075</v>
      </c>
      <c r="K775" s="23">
        <v>490.5</v>
      </c>
      <c r="L775" s="11">
        <v>495.5</v>
      </c>
      <c r="M775" s="270">
        <f t="shared" si="13"/>
        <v>5</v>
      </c>
      <c r="N775" s="7"/>
      <c r="O775" s="277"/>
      <c r="P775" s="345"/>
      <c r="V775" s="383"/>
    </row>
    <row r="776" spans="1:22" ht="15" customHeight="1">
      <c r="A776" s="3">
        <v>36916</v>
      </c>
      <c r="B776" s="4">
        <v>75300</v>
      </c>
      <c r="D776" s="5">
        <v>7875</v>
      </c>
      <c r="E776" s="5">
        <f t="shared" si="14"/>
        <v>44875</v>
      </c>
      <c r="F776" s="5">
        <v>128050</v>
      </c>
      <c r="K776" s="23">
        <v>489</v>
      </c>
      <c r="L776" s="11">
        <v>495</v>
      </c>
      <c r="M776" s="270">
        <f t="shared" si="13"/>
        <v>6</v>
      </c>
      <c r="N776" s="7"/>
      <c r="O776" s="277"/>
      <c r="P776" s="345"/>
      <c r="V776" s="383"/>
    </row>
    <row r="777" spans="1:22" ht="15" customHeight="1">
      <c r="A777" s="3">
        <v>36917</v>
      </c>
      <c r="B777" s="4">
        <v>75300</v>
      </c>
      <c r="D777" s="5">
        <v>7875</v>
      </c>
      <c r="E777" s="5">
        <f t="shared" si="14"/>
        <v>44675</v>
      </c>
      <c r="F777" s="5">
        <v>127850</v>
      </c>
      <c r="K777" s="23">
        <v>500</v>
      </c>
      <c r="L777" s="11">
        <v>504</v>
      </c>
      <c r="M777" s="270">
        <f t="shared" si="13"/>
        <v>4</v>
      </c>
      <c r="N777" s="7"/>
      <c r="O777" s="277"/>
      <c r="P777" s="345"/>
      <c r="V777" s="383"/>
    </row>
    <row r="778" spans="1:22" ht="15" customHeight="1">
      <c r="A778" s="3">
        <v>36920</v>
      </c>
      <c r="B778" s="4">
        <v>75275</v>
      </c>
      <c r="D778" s="5">
        <v>7875</v>
      </c>
      <c r="E778" s="5">
        <f t="shared" si="14"/>
        <v>44500</v>
      </c>
      <c r="F778" s="5">
        <v>127650</v>
      </c>
      <c r="K778" s="23">
        <v>495</v>
      </c>
      <c r="L778" s="11">
        <v>503</v>
      </c>
      <c r="M778" s="270">
        <f t="shared" si="13"/>
        <v>8</v>
      </c>
      <c r="N778" s="7"/>
      <c r="O778" s="277"/>
      <c r="P778" s="345"/>
      <c r="V778" s="383"/>
    </row>
    <row r="779" spans="1:22" ht="15" customHeight="1">
      <c r="A779" s="3">
        <v>36921</v>
      </c>
      <c r="B779" s="4">
        <v>75675</v>
      </c>
      <c r="D779" s="5">
        <v>7875</v>
      </c>
      <c r="E779" s="5">
        <f t="shared" si="14"/>
        <v>44150</v>
      </c>
      <c r="F779" s="5">
        <v>127700</v>
      </c>
      <c r="K779" s="23">
        <v>506</v>
      </c>
      <c r="L779" s="11">
        <v>511</v>
      </c>
      <c r="M779" s="270">
        <f t="shared" si="13"/>
        <v>5</v>
      </c>
      <c r="N779" s="7"/>
      <c r="O779" s="277"/>
      <c r="P779" s="345"/>
      <c r="V779" s="383"/>
    </row>
    <row r="780" spans="1:22" ht="15" customHeight="1">
      <c r="A780" s="3">
        <v>36922</v>
      </c>
      <c r="B780" s="4">
        <v>75675</v>
      </c>
      <c r="D780" s="5">
        <v>7875</v>
      </c>
      <c r="E780" s="5">
        <f t="shared" si="14"/>
        <v>43650</v>
      </c>
      <c r="F780" s="5">
        <v>127200</v>
      </c>
      <c r="K780" s="23">
        <v>501</v>
      </c>
      <c r="L780" s="11">
        <v>507</v>
      </c>
      <c r="M780" s="270">
        <f t="shared" si="13"/>
        <v>6</v>
      </c>
      <c r="N780" s="7"/>
      <c r="O780" s="277"/>
      <c r="P780" s="345"/>
      <c r="V780" s="383"/>
    </row>
    <row r="781" spans="1:22" ht="15" customHeight="1">
      <c r="A781" s="3">
        <v>36923</v>
      </c>
      <c r="B781" s="4">
        <v>75575</v>
      </c>
      <c r="D781" s="5">
        <v>7875</v>
      </c>
      <c r="E781" s="5">
        <f t="shared" si="14"/>
        <v>43525</v>
      </c>
      <c r="F781" s="5">
        <v>126975</v>
      </c>
      <c r="K781" s="23">
        <v>512.5</v>
      </c>
      <c r="L781" s="11">
        <v>508</v>
      </c>
      <c r="M781" s="270">
        <f t="shared" si="13"/>
        <v>-4.5</v>
      </c>
      <c r="N781" s="7"/>
      <c r="O781" s="277"/>
      <c r="P781" s="345"/>
      <c r="V781" s="383"/>
    </row>
    <row r="782" spans="1:22" ht="15" customHeight="1">
      <c r="A782" s="3">
        <v>36924</v>
      </c>
      <c r="B782" s="4">
        <v>75575</v>
      </c>
      <c r="D782" s="5">
        <v>7875</v>
      </c>
      <c r="E782" s="5">
        <f t="shared" si="14"/>
        <v>49275</v>
      </c>
      <c r="F782" s="5">
        <v>132725</v>
      </c>
      <c r="K782" s="23">
        <v>496.5</v>
      </c>
      <c r="L782" s="11">
        <v>496</v>
      </c>
      <c r="M782" s="270">
        <f t="shared" si="13"/>
        <v>-0.5</v>
      </c>
      <c r="N782" s="7"/>
      <c r="O782" s="277"/>
      <c r="P782" s="345"/>
      <c r="V782" s="383"/>
    </row>
    <row r="783" spans="1:22" ht="15" customHeight="1">
      <c r="A783" s="3">
        <v>36927</v>
      </c>
      <c r="B783" s="4">
        <v>75425</v>
      </c>
      <c r="D783" s="5">
        <v>7875</v>
      </c>
      <c r="E783" s="5">
        <f t="shared" si="14"/>
        <v>49250</v>
      </c>
      <c r="F783" s="5">
        <v>132550</v>
      </c>
      <c r="K783" s="23">
        <v>488.5</v>
      </c>
      <c r="L783" s="11">
        <v>492</v>
      </c>
      <c r="M783" s="270">
        <f t="shared" si="13"/>
        <v>3.5</v>
      </c>
      <c r="N783" s="7"/>
      <c r="O783" s="277"/>
      <c r="P783" s="345"/>
      <c r="V783" s="383"/>
    </row>
    <row r="784" spans="1:22" ht="15" customHeight="1">
      <c r="A784" s="3">
        <v>36928</v>
      </c>
      <c r="B784" s="4">
        <v>76300</v>
      </c>
      <c r="D784" s="5">
        <v>9525</v>
      </c>
      <c r="E784" s="5">
        <f t="shared" si="14"/>
        <v>51175</v>
      </c>
      <c r="F784" s="5">
        <v>137000</v>
      </c>
      <c r="K784" s="23">
        <v>483</v>
      </c>
      <c r="L784" s="11">
        <v>489</v>
      </c>
      <c r="M784" s="270">
        <f t="shared" si="13"/>
        <v>6</v>
      </c>
      <c r="N784" s="7"/>
      <c r="O784" s="277"/>
      <c r="P784" s="345"/>
      <c r="V784" s="383"/>
    </row>
    <row r="785" spans="1:22" ht="15" customHeight="1">
      <c r="A785" s="3">
        <v>36929</v>
      </c>
      <c r="B785" s="4">
        <v>76200</v>
      </c>
      <c r="D785" s="5">
        <v>12250</v>
      </c>
      <c r="E785" s="5">
        <f t="shared" si="14"/>
        <v>52625</v>
      </c>
      <c r="F785" s="5">
        <v>141075</v>
      </c>
      <c r="K785" s="23">
        <v>497</v>
      </c>
      <c r="L785" s="11">
        <v>499</v>
      </c>
      <c r="M785" s="270">
        <f t="shared" si="13"/>
        <v>2</v>
      </c>
      <c r="N785" s="7"/>
      <c r="O785" s="277"/>
      <c r="P785" s="345"/>
      <c r="V785" s="383"/>
    </row>
    <row r="786" spans="1:22" ht="15" customHeight="1">
      <c r="A786" s="3">
        <v>36930</v>
      </c>
      <c r="B786" s="4">
        <v>74800</v>
      </c>
      <c r="D786" s="5">
        <v>13775</v>
      </c>
      <c r="E786" s="5">
        <f t="shared" si="14"/>
        <v>53900</v>
      </c>
      <c r="F786" s="5">
        <v>142475</v>
      </c>
      <c r="K786" s="23">
        <v>510</v>
      </c>
      <c r="L786" s="11">
        <v>507</v>
      </c>
      <c r="M786" s="270">
        <f t="shared" si="13"/>
        <v>-3</v>
      </c>
      <c r="N786" s="7"/>
      <c r="O786" s="277"/>
      <c r="P786" s="345"/>
      <c r="V786" s="383"/>
    </row>
    <row r="787" spans="1:22" ht="15" customHeight="1">
      <c r="A787" s="3">
        <v>36931</v>
      </c>
      <c r="B787" s="4">
        <v>74750</v>
      </c>
      <c r="D787" s="5">
        <v>14725</v>
      </c>
      <c r="E787" s="5">
        <f t="shared" si="14"/>
        <v>53775</v>
      </c>
      <c r="F787" s="5">
        <v>143250</v>
      </c>
      <c r="K787" s="23">
        <v>507</v>
      </c>
      <c r="L787" s="11">
        <v>505</v>
      </c>
      <c r="M787" s="270">
        <f t="shared" si="13"/>
        <v>-2</v>
      </c>
      <c r="N787" s="7"/>
      <c r="O787" s="277"/>
      <c r="P787" s="345"/>
      <c r="V787" s="383"/>
    </row>
    <row r="788" spans="1:22" ht="15" customHeight="1">
      <c r="A788" s="3">
        <v>36934</v>
      </c>
      <c r="B788" s="4">
        <v>74525</v>
      </c>
      <c r="D788" s="5">
        <v>14725</v>
      </c>
      <c r="E788" s="5">
        <f t="shared" si="14"/>
        <v>53725</v>
      </c>
      <c r="F788" s="5">
        <v>142975</v>
      </c>
      <c r="K788" s="23">
        <v>499.5</v>
      </c>
      <c r="L788" s="11">
        <v>500</v>
      </c>
      <c r="M788" s="270">
        <f t="shared" si="13"/>
        <v>0.5</v>
      </c>
      <c r="N788" s="7"/>
      <c r="O788" s="277"/>
      <c r="P788" s="345"/>
      <c r="V788" s="383"/>
    </row>
    <row r="789" spans="1:22" ht="15" customHeight="1">
      <c r="A789" s="3">
        <v>36935</v>
      </c>
      <c r="B789" s="4">
        <v>74375</v>
      </c>
      <c r="D789" s="5">
        <v>14725</v>
      </c>
      <c r="E789" s="5">
        <f t="shared" si="14"/>
        <v>53475</v>
      </c>
      <c r="F789" s="5">
        <v>142575</v>
      </c>
      <c r="K789" s="23">
        <v>510</v>
      </c>
      <c r="L789" s="11">
        <v>505.5</v>
      </c>
      <c r="M789" s="270">
        <f t="shared" si="13"/>
        <v>-4.5</v>
      </c>
      <c r="N789" s="7"/>
      <c r="O789" s="277"/>
      <c r="P789" s="345"/>
      <c r="V789" s="383"/>
    </row>
    <row r="790" spans="1:22" ht="15" customHeight="1">
      <c r="A790" s="3">
        <v>36936</v>
      </c>
      <c r="B790" s="4">
        <v>74375</v>
      </c>
      <c r="D790" s="5">
        <v>14725</v>
      </c>
      <c r="E790" s="5">
        <f t="shared" si="14"/>
        <v>53050</v>
      </c>
      <c r="F790" s="5">
        <v>142150</v>
      </c>
      <c r="K790" s="23">
        <v>502</v>
      </c>
      <c r="L790" s="11">
        <v>502</v>
      </c>
      <c r="M790" s="270">
        <f t="shared" si="13"/>
        <v>0</v>
      </c>
      <c r="N790" s="7"/>
      <c r="O790" s="277"/>
      <c r="P790" s="345"/>
      <c r="V790" s="383"/>
    </row>
    <row r="791" spans="1:22" ht="15" customHeight="1">
      <c r="A791" s="3">
        <v>36937</v>
      </c>
      <c r="B791" s="4">
        <v>74375</v>
      </c>
      <c r="D791" s="5">
        <v>15725</v>
      </c>
      <c r="E791" s="5">
        <f t="shared" si="14"/>
        <v>52650</v>
      </c>
      <c r="F791" s="5">
        <v>142750</v>
      </c>
      <c r="K791" s="23">
        <v>510.5</v>
      </c>
      <c r="L791" s="11">
        <v>508</v>
      </c>
      <c r="M791" s="270">
        <f t="shared" si="13"/>
        <v>-2.5</v>
      </c>
      <c r="N791" s="7"/>
      <c r="O791" s="277"/>
      <c r="P791" s="345"/>
      <c r="V791" s="383"/>
    </row>
    <row r="792" spans="1:22" ht="15" customHeight="1">
      <c r="A792" s="3">
        <v>36938</v>
      </c>
      <c r="B792" s="4">
        <v>74400</v>
      </c>
      <c r="D792" s="5">
        <v>15725</v>
      </c>
      <c r="E792" s="5">
        <f t="shared" si="14"/>
        <v>52225</v>
      </c>
      <c r="F792" s="5">
        <v>142350</v>
      </c>
      <c r="K792" s="23">
        <v>506.5</v>
      </c>
      <c r="L792" s="11">
        <v>505</v>
      </c>
      <c r="M792" s="270">
        <f t="shared" si="13"/>
        <v>-1.5</v>
      </c>
      <c r="N792" s="7"/>
      <c r="O792" s="277"/>
      <c r="P792" s="345"/>
      <c r="V792" s="383"/>
    </row>
    <row r="793" spans="1:22" ht="15" customHeight="1">
      <c r="A793" s="3">
        <v>36941</v>
      </c>
      <c r="B793" s="4">
        <v>74375</v>
      </c>
      <c r="D793" s="5">
        <v>15725</v>
      </c>
      <c r="E793" s="5">
        <f t="shared" si="14"/>
        <v>52125</v>
      </c>
      <c r="F793" s="5">
        <v>142225</v>
      </c>
      <c r="K793" s="23">
        <v>505</v>
      </c>
      <c r="L793" s="11">
        <v>503</v>
      </c>
      <c r="M793" s="270">
        <f t="shared" si="13"/>
        <v>-2</v>
      </c>
      <c r="N793" s="7"/>
      <c r="O793" s="277"/>
      <c r="P793" s="345"/>
      <c r="V793" s="383"/>
    </row>
    <row r="794" spans="1:22" ht="15" customHeight="1">
      <c r="A794" s="3">
        <v>36942</v>
      </c>
      <c r="B794" s="4">
        <v>73475</v>
      </c>
      <c r="D794" s="5">
        <v>15725</v>
      </c>
      <c r="E794" s="5">
        <f t="shared" si="14"/>
        <v>51900</v>
      </c>
      <c r="F794" s="5">
        <v>141100</v>
      </c>
      <c r="K794" s="23">
        <v>505.5</v>
      </c>
      <c r="L794" s="11">
        <v>502</v>
      </c>
      <c r="M794" s="270">
        <f t="shared" si="13"/>
        <v>-3.5</v>
      </c>
      <c r="N794" s="7"/>
      <c r="O794" s="277"/>
      <c r="P794" s="345"/>
      <c r="V794" s="383"/>
    </row>
    <row r="795" spans="1:22" ht="15" customHeight="1">
      <c r="A795" s="3">
        <v>36943</v>
      </c>
      <c r="B795" s="4">
        <v>73475</v>
      </c>
      <c r="D795" s="5">
        <v>15625</v>
      </c>
      <c r="E795" s="5">
        <f t="shared" si="14"/>
        <v>51400</v>
      </c>
      <c r="F795" s="5">
        <v>140500</v>
      </c>
      <c r="K795" s="23">
        <v>502</v>
      </c>
      <c r="L795" s="11">
        <v>497</v>
      </c>
      <c r="M795" s="270">
        <f t="shared" si="13"/>
        <v>-5</v>
      </c>
      <c r="N795" s="7"/>
      <c r="O795" s="277"/>
      <c r="P795" s="345"/>
      <c r="V795" s="383"/>
    </row>
    <row r="796" spans="1:22" ht="15" customHeight="1">
      <c r="A796" s="3">
        <v>36944</v>
      </c>
      <c r="B796" s="4">
        <v>74875</v>
      </c>
      <c r="D796" s="5">
        <v>15625</v>
      </c>
      <c r="E796" s="5">
        <f t="shared" si="14"/>
        <v>51075</v>
      </c>
      <c r="F796" s="5">
        <v>141575</v>
      </c>
      <c r="K796" s="23">
        <v>493</v>
      </c>
      <c r="L796" s="11">
        <v>489</v>
      </c>
      <c r="M796" s="270">
        <f t="shared" si="13"/>
        <v>-4</v>
      </c>
      <c r="N796" s="7"/>
      <c r="O796" s="277"/>
      <c r="P796" s="345"/>
      <c r="V796" s="383"/>
    </row>
    <row r="797" spans="1:22" ht="15" customHeight="1">
      <c r="A797" s="3">
        <v>36945</v>
      </c>
      <c r="B797" s="4">
        <v>74775</v>
      </c>
      <c r="D797" s="5">
        <v>15625</v>
      </c>
      <c r="E797" s="5">
        <f t="shared" si="14"/>
        <v>50725</v>
      </c>
      <c r="F797" s="5">
        <v>141125</v>
      </c>
      <c r="K797" s="23">
        <v>493.5</v>
      </c>
      <c r="L797" s="11">
        <v>494</v>
      </c>
      <c r="M797" s="270">
        <f t="shared" si="13"/>
        <v>0.5</v>
      </c>
      <c r="N797" s="7"/>
      <c r="O797" s="277"/>
      <c r="P797" s="345"/>
      <c r="V797" s="383"/>
    </row>
    <row r="798" spans="1:22" ht="15" customHeight="1">
      <c r="A798" s="3">
        <v>36948</v>
      </c>
      <c r="B798" s="4">
        <v>74575</v>
      </c>
      <c r="D798" s="5">
        <v>15625</v>
      </c>
      <c r="E798" s="5">
        <f t="shared" si="14"/>
        <v>50300</v>
      </c>
      <c r="F798" s="5">
        <v>140500</v>
      </c>
      <c r="K798" s="23">
        <v>498.5</v>
      </c>
      <c r="L798" s="11">
        <v>497</v>
      </c>
      <c r="M798" s="270">
        <f t="shared" si="13"/>
        <v>-1.5</v>
      </c>
      <c r="N798" s="7"/>
      <c r="O798" s="277"/>
      <c r="P798" s="345"/>
      <c r="V798" s="383"/>
    </row>
    <row r="799" spans="1:22" ht="15" customHeight="1">
      <c r="A799" s="3">
        <v>36949</v>
      </c>
      <c r="B799" s="4">
        <v>73900</v>
      </c>
      <c r="D799" s="5">
        <v>15775</v>
      </c>
      <c r="E799" s="5">
        <f t="shared" si="14"/>
        <v>49975</v>
      </c>
      <c r="F799" s="5">
        <v>139650</v>
      </c>
      <c r="K799" s="23">
        <v>503</v>
      </c>
      <c r="L799" s="11">
        <v>502</v>
      </c>
      <c r="M799" s="270">
        <f t="shared" si="13"/>
        <v>-1</v>
      </c>
      <c r="N799" s="7"/>
      <c r="O799" s="277"/>
      <c r="P799" s="345"/>
      <c r="V799" s="383"/>
    </row>
    <row r="800" spans="1:22" ht="15" customHeight="1">
      <c r="A800" s="3">
        <v>36950</v>
      </c>
      <c r="B800" s="4">
        <v>73700</v>
      </c>
      <c r="D800" s="5">
        <v>19150</v>
      </c>
      <c r="E800" s="5">
        <f t="shared" si="14"/>
        <v>49775</v>
      </c>
      <c r="F800" s="5">
        <v>142625</v>
      </c>
      <c r="K800" s="23">
        <v>512.5</v>
      </c>
      <c r="L800" s="11">
        <v>512</v>
      </c>
      <c r="M800" s="270">
        <f t="shared" si="13"/>
        <v>-0.5</v>
      </c>
      <c r="N800" s="7"/>
      <c r="O800" s="277"/>
      <c r="P800" s="345"/>
      <c r="V800" s="383"/>
    </row>
    <row r="801" spans="1:22" ht="15" customHeight="1">
      <c r="A801" s="3">
        <v>36951</v>
      </c>
      <c r="B801" s="4">
        <v>73600</v>
      </c>
      <c r="D801" s="5">
        <v>20975</v>
      </c>
      <c r="E801" s="5">
        <f t="shared" si="14"/>
        <v>49375</v>
      </c>
      <c r="F801" s="5">
        <v>143950</v>
      </c>
      <c r="K801" s="23">
        <v>512</v>
      </c>
      <c r="L801" s="11">
        <v>511</v>
      </c>
      <c r="M801" s="270">
        <f t="shared" si="13"/>
        <v>-1</v>
      </c>
      <c r="N801" s="7"/>
      <c r="O801" s="277"/>
      <c r="P801" s="345"/>
      <c r="V801" s="383"/>
    </row>
    <row r="802" spans="1:22" ht="15" customHeight="1">
      <c r="A802" s="3">
        <v>36952</v>
      </c>
      <c r="B802" s="4">
        <v>73350</v>
      </c>
      <c r="D802" s="5">
        <v>21125</v>
      </c>
      <c r="E802" s="5">
        <f t="shared" si="14"/>
        <v>49225</v>
      </c>
      <c r="F802" s="5">
        <v>143700</v>
      </c>
      <c r="K802" s="23">
        <v>509</v>
      </c>
      <c r="L802" s="11">
        <v>507</v>
      </c>
      <c r="M802" s="270">
        <f t="shared" si="13"/>
        <v>-2</v>
      </c>
      <c r="N802" s="7"/>
      <c r="O802" s="277"/>
      <c r="P802" s="345"/>
      <c r="V802" s="383"/>
    </row>
    <row r="803" spans="1:22" ht="15" customHeight="1">
      <c r="A803" s="3">
        <v>36955</v>
      </c>
      <c r="B803" s="4">
        <v>73075</v>
      </c>
      <c r="D803" s="5">
        <v>21125</v>
      </c>
      <c r="E803" s="5">
        <f t="shared" si="14"/>
        <v>49075</v>
      </c>
      <c r="F803" s="5">
        <v>143275</v>
      </c>
      <c r="K803" s="23">
        <v>509</v>
      </c>
      <c r="L803" s="11">
        <v>509</v>
      </c>
      <c r="M803" s="270">
        <f t="shared" si="13"/>
        <v>0</v>
      </c>
      <c r="N803" s="7"/>
      <c r="O803" s="277"/>
      <c r="P803" s="345"/>
      <c r="V803" s="383"/>
    </row>
    <row r="804" spans="1:22" ht="15" customHeight="1">
      <c r="A804" s="3">
        <v>36956</v>
      </c>
      <c r="B804" s="4">
        <v>72725</v>
      </c>
      <c r="D804" s="5">
        <v>21075</v>
      </c>
      <c r="E804" s="5">
        <f t="shared" si="14"/>
        <v>48750</v>
      </c>
      <c r="F804" s="5">
        <v>142550</v>
      </c>
      <c r="K804" s="23">
        <v>512</v>
      </c>
      <c r="L804" s="11">
        <v>510</v>
      </c>
      <c r="M804" s="270">
        <f t="shared" si="13"/>
        <v>-2</v>
      </c>
      <c r="N804" s="7"/>
      <c r="O804" s="277"/>
      <c r="P804" s="345"/>
      <c r="V804" s="383"/>
    </row>
    <row r="805" spans="1:22" ht="15" customHeight="1">
      <c r="A805" s="3">
        <v>36957</v>
      </c>
      <c r="B805" s="4">
        <v>72725</v>
      </c>
      <c r="D805" s="5">
        <v>21400</v>
      </c>
      <c r="E805" s="5">
        <f t="shared" si="14"/>
        <v>48650</v>
      </c>
      <c r="F805" s="5">
        <v>142775</v>
      </c>
      <c r="K805" s="23">
        <v>509.5</v>
      </c>
      <c r="L805" s="11">
        <v>509.5</v>
      </c>
      <c r="M805" s="270">
        <f t="shared" si="13"/>
        <v>0</v>
      </c>
      <c r="N805" s="7"/>
      <c r="O805" s="277"/>
      <c r="P805" s="345"/>
      <c r="V805" s="383"/>
    </row>
    <row r="806" spans="1:22" ht="15" customHeight="1">
      <c r="A806" s="3">
        <v>36958</v>
      </c>
      <c r="B806" s="4">
        <v>72650</v>
      </c>
      <c r="D806" s="5">
        <v>22100</v>
      </c>
      <c r="E806" s="5">
        <f t="shared" si="14"/>
        <v>48550</v>
      </c>
      <c r="F806" s="5">
        <v>143300</v>
      </c>
      <c r="K806" s="23">
        <v>516.5</v>
      </c>
      <c r="L806" s="11">
        <v>518.5</v>
      </c>
      <c r="M806" s="270">
        <f t="shared" si="13"/>
        <v>2</v>
      </c>
      <c r="N806" s="7"/>
      <c r="O806" s="277"/>
      <c r="P806" s="345"/>
      <c r="V806" s="383"/>
    </row>
    <row r="807" spans="1:22" ht="15" customHeight="1">
      <c r="A807" s="3">
        <v>36959</v>
      </c>
      <c r="B807" s="4">
        <v>72350</v>
      </c>
      <c r="D807" s="5">
        <v>22025</v>
      </c>
      <c r="E807" s="5">
        <f t="shared" si="14"/>
        <v>48350</v>
      </c>
      <c r="F807" s="5">
        <v>142725</v>
      </c>
      <c r="K807" s="23">
        <v>517</v>
      </c>
      <c r="L807" s="11">
        <v>516</v>
      </c>
      <c r="M807" s="270">
        <f t="shared" si="13"/>
        <v>-1</v>
      </c>
      <c r="N807" s="7"/>
      <c r="O807" s="277"/>
      <c r="P807" s="345"/>
      <c r="V807" s="383"/>
    </row>
    <row r="808" spans="1:22" ht="15" customHeight="1">
      <c r="A808" s="3">
        <v>36962</v>
      </c>
      <c r="B808" s="4">
        <v>72050</v>
      </c>
      <c r="D808" s="5">
        <v>21925</v>
      </c>
      <c r="E808" s="5">
        <f t="shared" si="14"/>
        <v>48100</v>
      </c>
      <c r="F808" s="5">
        <v>142075</v>
      </c>
      <c r="K808" s="23">
        <v>522.5</v>
      </c>
      <c r="L808" s="11">
        <v>521</v>
      </c>
      <c r="M808" s="270">
        <f t="shared" si="13"/>
        <v>-1.5</v>
      </c>
      <c r="N808" s="7"/>
      <c r="O808" s="277"/>
      <c r="P808" s="345"/>
      <c r="V808" s="383"/>
    </row>
    <row r="809" spans="1:22" ht="15" customHeight="1">
      <c r="A809" s="3">
        <v>36963</v>
      </c>
      <c r="B809" s="4">
        <v>72100</v>
      </c>
      <c r="D809" s="5">
        <v>21800</v>
      </c>
      <c r="E809" s="5">
        <f t="shared" si="14"/>
        <v>47800</v>
      </c>
      <c r="F809" s="5">
        <v>141700</v>
      </c>
      <c r="K809" s="23">
        <v>506.5</v>
      </c>
      <c r="L809" s="11">
        <v>508.5</v>
      </c>
      <c r="M809" s="270">
        <f t="shared" si="13"/>
        <v>2</v>
      </c>
      <c r="N809" s="7"/>
      <c r="O809" s="277"/>
      <c r="P809" s="345"/>
      <c r="V809" s="383"/>
    </row>
    <row r="810" spans="1:22" ht="15" customHeight="1">
      <c r="A810" s="3">
        <v>36964</v>
      </c>
      <c r="B810" s="4">
        <v>73450</v>
      </c>
      <c r="D810" s="5">
        <v>21700</v>
      </c>
      <c r="E810" s="5">
        <f t="shared" si="14"/>
        <v>47525</v>
      </c>
      <c r="F810" s="5">
        <v>142675</v>
      </c>
      <c r="K810" s="23">
        <v>497.5</v>
      </c>
      <c r="L810" s="11">
        <v>504.5</v>
      </c>
      <c r="M810" s="270">
        <f t="shared" si="13"/>
        <v>7</v>
      </c>
      <c r="N810" s="7"/>
      <c r="O810" s="277"/>
      <c r="P810" s="345"/>
      <c r="V810" s="383"/>
    </row>
    <row r="811" spans="1:22" ht="15" customHeight="1">
      <c r="A811" s="3">
        <v>36965</v>
      </c>
      <c r="B811" s="4">
        <v>73425</v>
      </c>
      <c r="D811" s="5">
        <v>21650</v>
      </c>
      <c r="E811" s="5">
        <f t="shared" si="14"/>
        <v>47225</v>
      </c>
      <c r="F811" s="5">
        <v>142300</v>
      </c>
      <c r="K811" s="23">
        <v>493</v>
      </c>
      <c r="L811" s="11">
        <v>500</v>
      </c>
      <c r="M811" s="270">
        <f t="shared" si="13"/>
        <v>7</v>
      </c>
      <c r="N811" s="7"/>
      <c r="O811" s="277"/>
      <c r="P811" s="345"/>
      <c r="V811" s="383"/>
    </row>
    <row r="812" spans="1:22" ht="15" customHeight="1">
      <c r="A812" s="3">
        <v>36966</v>
      </c>
      <c r="B812" s="4">
        <v>73425</v>
      </c>
      <c r="D812" s="5">
        <v>21650</v>
      </c>
      <c r="E812" s="5">
        <f t="shared" si="14"/>
        <v>46850</v>
      </c>
      <c r="F812" s="5">
        <v>141925</v>
      </c>
      <c r="K812" s="23">
        <v>502</v>
      </c>
      <c r="L812" s="11">
        <v>508</v>
      </c>
      <c r="M812" s="270">
        <f t="shared" si="13"/>
        <v>6</v>
      </c>
      <c r="N812" s="7"/>
      <c r="O812" s="277"/>
      <c r="P812" s="345"/>
      <c r="V812" s="383"/>
    </row>
    <row r="813" spans="1:22" ht="15" customHeight="1">
      <c r="A813" s="3">
        <v>36969</v>
      </c>
      <c r="B813" s="4">
        <v>74250</v>
      </c>
      <c r="D813" s="5">
        <v>21425</v>
      </c>
      <c r="E813" s="5">
        <f t="shared" si="14"/>
        <v>46400</v>
      </c>
      <c r="F813" s="5">
        <v>142075</v>
      </c>
      <c r="K813" s="23">
        <v>501</v>
      </c>
      <c r="L813" s="11">
        <v>508.5</v>
      </c>
      <c r="M813" s="270">
        <f t="shared" si="13"/>
        <v>7.5</v>
      </c>
      <c r="N813" s="7"/>
      <c r="O813" s="277"/>
      <c r="P813" s="345"/>
      <c r="V813" s="383"/>
    </row>
    <row r="814" spans="1:22" ht="15" customHeight="1">
      <c r="A814" s="3">
        <v>36970</v>
      </c>
      <c r="B814" s="4">
        <v>74200</v>
      </c>
      <c r="D814" s="5">
        <v>21275</v>
      </c>
      <c r="E814" s="5">
        <f t="shared" si="14"/>
        <v>46050</v>
      </c>
      <c r="F814" s="5">
        <v>141525</v>
      </c>
      <c r="K814" s="23">
        <v>499.5</v>
      </c>
      <c r="L814" s="11">
        <v>508</v>
      </c>
      <c r="M814" s="270">
        <f t="shared" si="13"/>
        <v>8.5</v>
      </c>
      <c r="N814" s="7"/>
      <c r="O814" s="277"/>
      <c r="P814" s="345"/>
      <c r="V814" s="383"/>
    </row>
    <row r="815" spans="1:22" ht="15" customHeight="1">
      <c r="A815" s="3">
        <v>36971</v>
      </c>
      <c r="B815" s="4">
        <v>75050</v>
      </c>
      <c r="D815" s="5">
        <v>21050</v>
      </c>
      <c r="E815" s="5">
        <f t="shared" si="14"/>
        <v>45575</v>
      </c>
      <c r="F815" s="5">
        <v>141675</v>
      </c>
      <c r="K815" s="23">
        <v>485</v>
      </c>
      <c r="L815" s="11">
        <v>494</v>
      </c>
      <c r="M815" s="270">
        <f t="shared" si="13"/>
        <v>9</v>
      </c>
      <c r="N815" s="7"/>
      <c r="O815" s="277"/>
      <c r="P815" s="345"/>
      <c r="V815" s="383"/>
    </row>
    <row r="816" spans="1:22" ht="15" customHeight="1">
      <c r="A816" s="3">
        <v>36972</v>
      </c>
      <c r="B816" s="4">
        <v>76000</v>
      </c>
      <c r="D816" s="5">
        <v>20775</v>
      </c>
      <c r="E816" s="5">
        <f t="shared" si="14"/>
        <v>45075</v>
      </c>
      <c r="F816" s="5">
        <v>141850</v>
      </c>
      <c r="K816" s="23">
        <v>481.5</v>
      </c>
      <c r="L816" s="11">
        <v>491</v>
      </c>
      <c r="M816" s="270">
        <f t="shared" si="13"/>
        <v>9.5</v>
      </c>
      <c r="N816" s="7"/>
      <c r="O816" s="277"/>
      <c r="P816" s="345"/>
      <c r="V816" s="383"/>
    </row>
    <row r="817" spans="1:22" ht="15" customHeight="1">
      <c r="A817" s="3">
        <v>36973</v>
      </c>
      <c r="B817" s="4">
        <v>75825</v>
      </c>
      <c r="D817" s="5">
        <v>20550</v>
      </c>
      <c r="E817" s="5">
        <f t="shared" si="14"/>
        <v>44800</v>
      </c>
      <c r="F817" s="5">
        <v>141175</v>
      </c>
      <c r="K817" s="23">
        <v>490</v>
      </c>
      <c r="L817" s="11">
        <v>499</v>
      </c>
      <c r="M817" s="270">
        <f t="shared" si="13"/>
        <v>9</v>
      </c>
      <c r="N817" s="7"/>
      <c r="O817" s="277"/>
      <c r="P817" s="345"/>
      <c r="V817" s="383"/>
    </row>
    <row r="818" spans="1:22" ht="15" customHeight="1">
      <c r="A818" s="3">
        <v>36976</v>
      </c>
      <c r="B818" s="4">
        <v>75750</v>
      </c>
      <c r="D818" s="5">
        <v>20125</v>
      </c>
      <c r="E818" s="5">
        <f t="shared" si="14"/>
        <v>44575</v>
      </c>
      <c r="F818" s="5">
        <v>140450</v>
      </c>
      <c r="K818" s="23">
        <v>492</v>
      </c>
      <c r="L818" s="11">
        <v>503</v>
      </c>
      <c r="M818" s="270">
        <f t="shared" si="13"/>
        <v>11</v>
      </c>
      <c r="N818" s="7"/>
      <c r="O818" s="277"/>
      <c r="P818" s="345"/>
      <c r="V818" s="383"/>
    </row>
    <row r="819" spans="1:22" ht="15" customHeight="1">
      <c r="A819" s="3">
        <v>36977</v>
      </c>
      <c r="B819" s="4">
        <v>75100</v>
      </c>
      <c r="D819" s="5">
        <v>19900</v>
      </c>
      <c r="E819" s="5">
        <f t="shared" si="14"/>
        <v>44225</v>
      </c>
      <c r="F819" s="5">
        <v>139225</v>
      </c>
      <c r="K819" s="23">
        <v>481.5</v>
      </c>
      <c r="L819" s="11">
        <v>496</v>
      </c>
      <c r="M819" s="270">
        <f t="shared" si="13"/>
        <v>14.5</v>
      </c>
      <c r="N819" s="7"/>
      <c r="O819" s="277"/>
      <c r="P819" s="345"/>
      <c r="V819" s="383"/>
    </row>
    <row r="820" spans="1:22" ht="15" customHeight="1">
      <c r="A820" s="3">
        <v>36978</v>
      </c>
      <c r="B820" s="4">
        <v>74925</v>
      </c>
      <c r="D820" s="5">
        <v>19850</v>
      </c>
      <c r="E820" s="5">
        <f t="shared" si="14"/>
        <v>44150</v>
      </c>
      <c r="F820" s="5">
        <v>138925</v>
      </c>
      <c r="K820" s="23">
        <v>476</v>
      </c>
      <c r="L820" s="11">
        <v>491</v>
      </c>
      <c r="M820" s="270">
        <f t="shared" si="13"/>
        <v>15</v>
      </c>
      <c r="N820" s="7"/>
      <c r="O820" s="277"/>
      <c r="P820" s="345"/>
      <c r="V820" s="383"/>
    </row>
    <row r="821" spans="1:22" ht="15" customHeight="1">
      <c r="A821" s="3">
        <v>36979</v>
      </c>
      <c r="B821" s="4">
        <v>74950</v>
      </c>
      <c r="D821" s="5">
        <v>19775</v>
      </c>
      <c r="E821" s="5">
        <f t="shared" si="14"/>
        <v>44000</v>
      </c>
      <c r="F821" s="5">
        <v>138725</v>
      </c>
      <c r="K821" s="23">
        <v>473.5</v>
      </c>
      <c r="L821" s="11">
        <v>488.5</v>
      </c>
      <c r="M821" s="270">
        <f t="shared" si="13"/>
        <v>15</v>
      </c>
      <c r="N821" s="7"/>
      <c r="O821" s="277"/>
      <c r="P821" s="345"/>
      <c r="V821" s="383"/>
    </row>
    <row r="822" spans="1:22" ht="15" customHeight="1">
      <c r="A822" s="3">
        <v>36980</v>
      </c>
      <c r="B822" s="4">
        <v>76450</v>
      </c>
      <c r="D822" s="5">
        <v>19700</v>
      </c>
      <c r="E822" s="5">
        <f t="shared" si="14"/>
        <v>43825</v>
      </c>
      <c r="F822" s="5">
        <v>139975</v>
      </c>
      <c r="K822" s="23">
        <v>478</v>
      </c>
      <c r="L822" s="11">
        <v>492.5</v>
      </c>
      <c r="M822" s="270">
        <f t="shared" si="13"/>
        <v>14.5</v>
      </c>
      <c r="N822" s="7"/>
      <c r="O822" s="277"/>
      <c r="P822" s="345"/>
      <c r="V822" s="383"/>
    </row>
    <row r="823" spans="1:22" ht="15" customHeight="1">
      <c r="A823" s="3">
        <v>36983</v>
      </c>
      <c r="B823" s="4">
        <v>77175</v>
      </c>
      <c r="D823" s="5">
        <v>19700</v>
      </c>
      <c r="E823" s="5">
        <f t="shared" si="14"/>
        <v>43675</v>
      </c>
      <c r="F823" s="5">
        <v>140550</v>
      </c>
      <c r="K823" s="23">
        <v>470</v>
      </c>
      <c r="L823" s="11">
        <v>487</v>
      </c>
      <c r="M823" s="270">
        <f t="shared" ref="M823:M886" si="15">L823-K823</f>
        <v>17</v>
      </c>
      <c r="N823" s="7"/>
      <c r="O823" s="277"/>
      <c r="P823" s="345"/>
      <c r="V823" s="383"/>
    </row>
    <row r="824" spans="1:22" ht="15" customHeight="1">
      <c r="A824" s="3">
        <v>36984</v>
      </c>
      <c r="B824" s="4">
        <v>76850</v>
      </c>
      <c r="D824" s="5">
        <v>19300</v>
      </c>
      <c r="E824" s="5">
        <f t="shared" ref="E824:E887" si="16">F824-(B824+D824)</f>
        <v>43300</v>
      </c>
      <c r="F824" s="5">
        <v>139450</v>
      </c>
      <c r="K824" s="23">
        <v>476</v>
      </c>
      <c r="L824" s="11">
        <v>489</v>
      </c>
      <c r="M824" s="270">
        <f t="shared" si="15"/>
        <v>13</v>
      </c>
      <c r="N824" s="7"/>
      <c r="O824" s="277"/>
      <c r="P824" s="345"/>
      <c r="V824" s="383"/>
    </row>
    <row r="825" spans="1:22" ht="15" customHeight="1">
      <c r="A825" s="3">
        <v>36985</v>
      </c>
      <c r="B825" s="4">
        <v>76800</v>
      </c>
      <c r="D825" s="5">
        <v>19100</v>
      </c>
      <c r="E825" s="5">
        <f t="shared" si="16"/>
        <v>43150</v>
      </c>
      <c r="F825" s="5">
        <v>139050</v>
      </c>
      <c r="K825" s="23">
        <v>482</v>
      </c>
      <c r="L825" s="11">
        <v>492</v>
      </c>
      <c r="M825" s="270">
        <f t="shared" si="15"/>
        <v>10</v>
      </c>
      <c r="N825" s="7"/>
      <c r="O825" s="277"/>
      <c r="P825" s="345"/>
      <c r="V825" s="383"/>
    </row>
    <row r="826" spans="1:22" ht="15" customHeight="1">
      <c r="A826" s="3">
        <v>36986</v>
      </c>
      <c r="B826" s="4">
        <v>76600</v>
      </c>
      <c r="D826" s="5">
        <v>18925</v>
      </c>
      <c r="E826" s="5">
        <f t="shared" si="16"/>
        <v>42975</v>
      </c>
      <c r="F826" s="5">
        <v>138500</v>
      </c>
      <c r="K826" s="23">
        <v>479</v>
      </c>
      <c r="L826" s="11">
        <v>489</v>
      </c>
      <c r="M826" s="270">
        <f t="shared" si="15"/>
        <v>10</v>
      </c>
      <c r="N826" s="7"/>
      <c r="O826" s="277"/>
      <c r="P826" s="345"/>
      <c r="V826" s="383"/>
    </row>
    <row r="827" spans="1:22" ht="15" customHeight="1">
      <c r="A827" s="3">
        <v>36987</v>
      </c>
      <c r="B827" s="4">
        <v>76350</v>
      </c>
      <c r="D827" s="5">
        <v>18825</v>
      </c>
      <c r="E827" s="5">
        <f t="shared" si="16"/>
        <v>42575</v>
      </c>
      <c r="F827" s="5">
        <v>137750</v>
      </c>
      <c r="K827" s="23">
        <v>487</v>
      </c>
      <c r="L827" s="11">
        <v>495</v>
      </c>
      <c r="M827" s="270">
        <f t="shared" si="15"/>
        <v>8</v>
      </c>
      <c r="N827" s="7"/>
      <c r="O827" s="277"/>
      <c r="P827" s="345"/>
      <c r="V827" s="383"/>
    </row>
    <row r="828" spans="1:22" ht="15" customHeight="1">
      <c r="A828" s="3">
        <v>36990</v>
      </c>
      <c r="B828" s="4">
        <v>76225</v>
      </c>
      <c r="D828" s="5">
        <v>18725</v>
      </c>
      <c r="E828" s="5">
        <f t="shared" si="16"/>
        <v>42125</v>
      </c>
      <c r="F828" s="5">
        <v>137075</v>
      </c>
      <c r="K828" s="23">
        <v>476</v>
      </c>
      <c r="L828" s="11">
        <v>486</v>
      </c>
      <c r="M828" s="270">
        <f t="shared" si="15"/>
        <v>10</v>
      </c>
      <c r="N828" s="7"/>
      <c r="O828" s="277"/>
      <c r="P828" s="345"/>
      <c r="V828" s="383"/>
    </row>
    <row r="829" spans="1:22" ht="15" customHeight="1">
      <c r="A829" s="3">
        <v>36991</v>
      </c>
      <c r="B829" s="4">
        <v>75875</v>
      </c>
      <c r="D829" s="5">
        <v>18625</v>
      </c>
      <c r="E829" s="5">
        <f t="shared" si="16"/>
        <v>41700</v>
      </c>
      <c r="F829" s="5">
        <v>136200</v>
      </c>
      <c r="K829" s="23">
        <v>486</v>
      </c>
      <c r="L829" s="11">
        <v>496</v>
      </c>
      <c r="M829" s="270">
        <f t="shared" si="15"/>
        <v>10</v>
      </c>
      <c r="N829" s="7"/>
      <c r="O829" s="277"/>
      <c r="P829" s="345"/>
      <c r="V829" s="383"/>
    </row>
    <row r="830" spans="1:22" ht="15" customHeight="1">
      <c r="A830" s="3">
        <v>36992</v>
      </c>
      <c r="B830" s="4">
        <v>75775</v>
      </c>
      <c r="D830" s="5">
        <v>19150</v>
      </c>
      <c r="E830" s="5">
        <f t="shared" si="16"/>
        <v>41250</v>
      </c>
      <c r="F830" s="5">
        <v>136175</v>
      </c>
      <c r="K830" s="23">
        <v>489</v>
      </c>
      <c r="L830" s="11">
        <v>495</v>
      </c>
      <c r="M830" s="270">
        <f t="shared" si="15"/>
        <v>6</v>
      </c>
      <c r="N830" s="7"/>
      <c r="O830" s="277"/>
      <c r="P830" s="345"/>
      <c r="V830" s="383"/>
    </row>
    <row r="831" spans="1:22" ht="15" customHeight="1">
      <c r="A831" s="3">
        <v>36993</v>
      </c>
      <c r="B831" s="4">
        <v>75425</v>
      </c>
      <c r="D831" s="5">
        <v>19900</v>
      </c>
      <c r="E831" s="5">
        <f t="shared" si="16"/>
        <v>41125</v>
      </c>
      <c r="F831" s="5">
        <v>136450</v>
      </c>
      <c r="K831" s="23">
        <v>480</v>
      </c>
      <c r="L831" s="11">
        <v>494.5</v>
      </c>
      <c r="M831" s="270">
        <f t="shared" si="15"/>
        <v>14.5</v>
      </c>
      <c r="N831" s="7"/>
      <c r="O831" s="277"/>
      <c r="P831" s="345"/>
      <c r="V831" s="383"/>
    </row>
    <row r="832" spans="1:22" ht="15" customHeight="1">
      <c r="A832" s="3">
        <v>36998</v>
      </c>
      <c r="B832" s="4">
        <v>75350</v>
      </c>
      <c r="D832" s="5">
        <v>20425</v>
      </c>
      <c r="E832" s="5">
        <f t="shared" si="16"/>
        <v>41075</v>
      </c>
      <c r="F832" s="5">
        <v>136850</v>
      </c>
      <c r="K832" s="23">
        <v>479</v>
      </c>
      <c r="L832" s="11">
        <v>491</v>
      </c>
      <c r="M832" s="270">
        <f t="shared" si="15"/>
        <v>12</v>
      </c>
      <c r="N832" s="7"/>
      <c r="O832" s="277"/>
      <c r="P832" s="345"/>
      <c r="V832" s="383"/>
    </row>
    <row r="833" spans="1:22" ht="15" customHeight="1">
      <c r="A833" s="3">
        <v>36999</v>
      </c>
      <c r="B833" s="4">
        <v>74825</v>
      </c>
      <c r="D833" s="5">
        <v>20900</v>
      </c>
      <c r="E833" s="5">
        <f t="shared" si="16"/>
        <v>41075</v>
      </c>
      <c r="F833" s="5">
        <v>136800</v>
      </c>
      <c r="K833" s="23">
        <v>479</v>
      </c>
      <c r="L833" s="11">
        <v>490</v>
      </c>
      <c r="M833" s="270">
        <f t="shared" si="15"/>
        <v>11</v>
      </c>
      <c r="N833" s="7"/>
      <c r="O833" s="277"/>
      <c r="P833" s="345"/>
      <c r="V833" s="383"/>
    </row>
    <row r="834" spans="1:22" ht="15" customHeight="1">
      <c r="A834" s="3">
        <v>37000</v>
      </c>
      <c r="B834" s="4">
        <v>74725</v>
      </c>
      <c r="D834" s="5">
        <v>21600</v>
      </c>
      <c r="E834" s="5">
        <f t="shared" si="16"/>
        <v>40975</v>
      </c>
      <c r="F834" s="5">
        <v>137300</v>
      </c>
      <c r="K834" s="23">
        <v>478</v>
      </c>
      <c r="L834" s="11">
        <v>490</v>
      </c>
      <c r="M834" s="270">
        <f t="shared" si="15"/>
        <v>12</v>
      </c>
      <c r="N834" s="7"/>
      <c r="O834" s="277"/>
      <c r="P834" s="345"/>
      <c r="V834" s="383"/>
    </row>
    <row r="835" spans="1:22" ht="15" customHeight="1">
      <c r="A835" s="3">
        <v>37001</v>
      </c>
      <c r="B835" s="4">
        <v>74575</v>
      </c>
      <c r="D835" s="5">
        <v>22100</v>
      </c>
      <c r="E835" s="5">
        <f t="shared" si="16"/>
        <v>40975</v>
      </c>
      <c r="F835" s="5">
        <v>137650</v>
      </c>
      <c r="K835" s="23">
        <v>477</v>
      </c>
      <c r="L835" s="11">
        <v>490</v>
      </c>
      <c r="M835" s="270">
        <f t="shared" si="15"/>
        <v>13</v>
      </c>
      <c r="N835" s="7"/>
      <c r="O835" s="277"/>
      <c r="P835" s="345"/>
      <c r="V835" s="383"/>
    </row>
    <row r="836" spans="1:22" ht="15" customHeight="1">
      <c r="A836" s="3">
        <v>37004</v>
      </c>
      <c r="B836" s="4">
        <v>74500</v>
      </c>
      <c r="D836" s="5">
        <v>22000</v>
      </c>
      <c r="E836" s="5">
        <f t="shared" si="16"/>
        <v>40975</v>
      </c>
      <c r="F836" s="5">
        <v>137475</v>
      </c>
      <c r="K836" s="23">
        <v>472.5</v>
      </c>
      <c r="L836" s="11">
        <v>487</v>
      </c>
      <c r="M836" s="270">
        <f t="shared" si="15"/>
        <v>14.5</v>
      </c>
      <c r="N836" s="7"/>
      <c r="O836" s="277"/>
      <c r="P836" s="345"/>
      <c r="V836" s="383"/>
    </row>
    <row r="837" spans="1:22" ht="15" customHeight="1">
      <c r="A837" s="3">
        <v>37005</v>
      </c>
      <c r="B837" s="4">
        <v>75950</v>
      </c>
      <c r="D837" s="5">
        <v>21925</v>
      </c>
      <c r="E837" s="5">
        <f t="shared" si="16"/>
        <v>40925</v>
      </c>
      <c r="F837" s="5">
        <v>138800</v>
      </c>
      <c r="K837" s="23">
        <v>473</v>
      </c>
      <c r="L837" s="11">
        <v>486</v>
      </c>
      <c r="M837" s="270">
        <f t="shared" si="15"/>
        <v>13</v>
      </c>
      <c r="N837" s="7"/>
      <c r="O837" s="277"/>
      <c r="P837" s="345"/>
      <c r="V837" s="383"/>
    </row>
    <row r="838" spans="1:22" ht="15" customHeight="1">
      <c r="A838" s="3">
        <v>37006</v>
      </c>
      <c r="B838" s="4">
        <v>75725</v>
      </c>
      <c r="D838" s="5">
        <v>21725</v>
      </c>
      <c r="E838" s="5">
        <f t="shared" si="16"/>
        <v>40825</v>
      </c>
      <c r="F838" s="5">
        <v>138275</v>
      </c>
      <c r="K838" s="23">
        <v>473</v>
      </c>
      <c r="L838" s="11">
        <v>487</v>
      </c>
      <c r="M838" s="270">
        <f t="shared" si="15"/>
        <v>14</v>
      </c>
      <c r="N838" s="7"/>
      <c r="O838" s="277"/>
      <c r="P838" s="345"/>
      <c r="V838" s="383"/>
    </row>
    <row r="839" spans="1:22" ht="15" customHeight="1">
      <c r="A839" s="3">
        <v>37007</v>
      </c>
      <c r="B839" s="4">
        <v>75175</v>
      </c>
      <c r="D839" s="5">
        <v>21500</v>
      </c>
      <c r="E839" s="5">
        <f t="shared" si="16"/>
        <v>40825</v>
      </c>
      <c r="F839" s="5">
        <v>137500</v>
      </c>
      <c r="K839" s="23">
        <v>475</v>
      </c>
      <c r="L839" s="11">
        <v>489</v>
      </c>
      <c r="M839" s="270">
        <f t="shared" si="15"/>
        <v>14</v>
      </c>
      <c r="N839" s="7"/>
      <c r="O839" s="277"/>
      <c r="P839" s="345"/>
      <c r="V839" s="383"/>
    </row>
    <row r="840" spans="1:22" ht="15" customHeight="1">
      <c r="A840" s="3">
        <v>37008</v>
      </c>
      <c r="B840" s="4">
        <v>76175</v>
      </c>
      <c r="D840" s="5">
        <v>21350</v>
      </c>
      <c r="E840" s="5">
        <f t="shared" si="16"/>
        <v>40825</v>
      </c>
      <c r="F840" s="5">
        <v>138350</v>
      </c>
      <c r="K840" s="23">
        <v>472</v>
      </c>
      <c r="L840" s="11">
        <v>485.5</v>
      </c>
      <c r="M840" s="270">
        <f t="shared" si="15"/>
        <v>13.5</v>
      </c>
      <c r="N840" s="7"/>
      <c r="O840" s="277"/>
      <c r="P840" s="345"/>
      <c r="V840" s="383"/>
    </row>
    <row r="841" spans="1:22" ht="15" customHeight="1">
      <c r="A841" s="3">
        <v>37011</v>
      </c>
      <c r="B841" s="4">
        <v>75825</v>
      </c>
      <c r="D841" s="5">
        <v>21250</v>
      </c>
      <c r="E841" s="5">
        <f t="shared" si="16"/>
        <v>40825</v>
      </c>
      <c r="F841" s="5">
        <v>137900</v>
      </c>
      <c r="K841" s="23">
        <v>469</v>
      </c>
      <c r="L841" s="11">
        <v>484</v>
      </c>
      <c r="M841" s="270">
        <f t="shared" si="15"/>
        <v>15</v>
      </c>
      <c r="N841" s="7"/>
      <c r="O841" s="277"/>
      <c r="P841" s="345"/>
      <c r="V841" s="383"/>
    </row>
    <row r="842" spans="1:22" ht="15" customHeight="1">
      <c r="A842" s="3">
        <v>37012</v>
      </c>
      <c r="B842" s="4">
        <v>75725</v>
      </c>
      <c r="D842" s="5">
        <v>21150</v>
      </c>
      <c r="E842" s="5">
        <f t="shared" si="16"/>
        <v>40825</v>
      </c>
      <c r="F842" s="5">
        <v>137700</v>
      </c>
      <c r="K842" s="23">
        <v>462.5</v>
      </c>
      <c r="L842" s="11">
        <v>477</v>
      </c>
      <c r="M842" s="270">
        <f t="shared" si="15"/>
        <v>14.5</v>
      </c>
      <c r="N842" s="7"/>
      <c r="O842" s="277"/>
      <c r="P842" s="345"/>
      <c r="V842" s="383"/>
    </row>
    <row r="843" spans="1:22" ht="15" customHeight="1">
      <c r="A843" s="3">
        <v>37013</v>
      </c>
      <c r="B843" s="4">
        <v>75725</v>
      </c>
      <c r="D843" s="5">
        <v>21000</v>
      </c>
      <c r="E843" s="5">
        <f t="shared" si="16"/>
        <v>40825</v>
      </c>
      <c r="F843" s="5">
        <v>137550</v>
      </c>
      <c r="K843" s="23">
        <v>461</v>
      </c>
      <c r="L843" s="11">
        <v>477</v>
      </c>
      <c r="M843" s="270">
        <f t="shared" si="15"/>
        <v>16</v>
      </c>
      <c r="N843" s="7"/>
      <c r="O843" s="277"/>
      <c r="P843" s="345"/>
      <c r="V843" s="383"/>
    </row>
    <row r="844" spans="1:22" ht="15" customHeight="1">
      <c r="A844" s="3">
        <v>37014</v>
      </c>
      <c r="B844" s="4">
        <v>78350</v>
      </c>
      <c r="D844" s="5">
        <v>20825</v>
      </c>
      <c r="E844" s="5">
        <f t="shared" si="16"/>
        <v>40725</v>
      </c>
      <c r="F844" s="5">
        <v>139900</v>
      </c>
      <c r="K844" s="23">
        <v>461.5</v>
      </c>
      <c r="L844" s="11">
        <v>477</v>
      </c>
      <c r="M844" s="270">
        <f t="shared" si="15"/>
        <v>15.5</v>
      </c>
      <c r="N844" s="7"/>
      <c r="O844" s="277"/>
      <c r="P844" s="345"/>
      <c r="V844" s="383"/>
    </row>
    <row r="845" spans="1:22" ht="15" customHeight="1">
      <c r="A845" s="3">
        <v>37015</v>
      </c>
      <c r="B845" s="4">
        <v>78900</v>
      </c>
      <c r="D845" s="5">
        <v>20675</v>
      </c>
      <c r="E845" s="5">
        <f t="shared" si="16"/>
        <v>40575</v>
      </c>
      <c r="F845" s="5">
        <v>140150</v>
      </c>
      <c r="K845" s="23">
        <v>460</v>
      </c>
      <c r="L845" s="11">
        <v>477</v>
      </c>
      <c r="M845" s="270">
        <f t="shared" si="15"/>
        <v>17</v>
      </c>
      <c r="N845" s="7"/>
      <c r="O845" s="277"/>
      <c r="P845" s="345"/>
      <c r="V845" s="383"/>
    </row>
    <row r="846" spans="1:22" ht="15" customHeight="1">
      <c r="A846" s="3">
        <v>37019</v>
      </c>
      <c r="B846" s="4">
        <v>77975</v>
      </c>
      <c r="D846" s="5">
        <v>20500</v>
      </c>
      <c r="E846" s="5">
        <f t="shared" si="16"/>
        <v>40475</v>
      </c>
      <c r="F846" s="5">
        <v>138950</v>
      </c>
      <c r="K846" s="23">
        <v>461</v>
      </c>
      <c r="L846" s="11">
        <v>476.5</v>
      </c>
      <c r="M846" s="270">
        <f t="shared" si="15"/>
        <v>15.5</v>
      </c>
      <c r="N846" s="7"/>
      <c r="O846" s="277"/>
      <c r="P846" s="345"/>
      <c r="V846" s="383"/>
    </row>
    <row r="847" spans="1:22" ht="15" customHeight="1">
      <c r="A847" s="3">
        <v>37020</v>
      </c>
      <c r="B847" s="4">
        <v>78300</v>
      </c>
      <c r="D847" s="5">
        <v>20275</v>
      </c>
      <c r="E847" s="5">
        <f t="shared" si="16"/>
        <v>40150</v>
      </c>
      <c r="F847" s="5">
        <v>138725</v>
      </c>
      <c r="K847" s="23">
        <v>458</v>
      </c>
      <c r="L847" s="11">
        <v>474</v>
      </c>
      <c r="M847" s="270">
        <f t="shared" si="15"/>
        <v>16</v>
      </c>
      <c r="N847" s="7"/>
      <c r="O847" s="277"/>
      <c r="P847" s="345"/>
      <c r="V847" s="383"/>
    </row>
    <row r="848" spans="1:22" ht="15" customHeight="1">
      <c r="A848" s="3">
        <v>37021</v>
      </c>
      <c r="B848" s="4">
        <v>78050</v>
      </c>
      <c r="D848" s="5">
        <v>20200</v>
      </c>
      <c r="E848" s="5">
        <f t="shared" si="16"/>
        <v>39900</v>
      </c>
      <c r="F848" s="5">
        <v>138150</v>
      </c>
      <c r="K848" s="23">
        <v>467.5</v>
      </c>
      <c r="L848" s="11">
        <v>482</v>
      </c>
      <c r="M848" s="270">
        <f t="shared" si="15"/>
        <v>14.5</v>
      </c>
      <c r="N848" s="7"/>
      <c r="O848" s="277"/>
      <c r="P848" s="345"/>
      <c r="V848" s="383"/>
    </row>
    <row r="849" spans="1:22" ht="15" customHeight="1">
      <c r="A849" s="3">
        <v>37022</v>
      </c>
      <c r="B849" s="4">
        <v>78875</v>
      </c>
      <c r="D849" s="5">
        <v>20025</v>
      </c>
      <c r="E849" s="5">
        <f t="shared" si="16"/>
        <v>39650</v>
      </c>
      <c r="F849" s="5">
        <v>138550</v>
      </c>
      <c r="K849" s="23">
        <v>462.5</v>
      </c>
      <c r="L849" s="11">
        <v>477</v>
      </c>
      <c r="M849" s="270">
        <f t="shared" si="15"/>
        <v>14.5</v>
      </c>
      <c r="N849" s="7"/>
      <c r="O849" s="277"/>
      <c r="P849" s="345"/>
      <c r="V849" s="383"/>
    </row>
    <row r="850" spans="1:22" ht="15" customHeight="1">
      <c r="A850" s="3">
        <v>37025</v>
      </c>
      <c r="B850" s="4">
        <v>78825</v>
      </c>
      <c r="D850" s="5">
        <v>19875</v>
      </c>
      <c r="E850" s="5">
        <f t="shared" si="16"/>
        <v>39400</v>
      </c>
      <c r="F850" s="5">
        <v>138100</v>
      </c>
      <c r="K850" s="23">
        <v>463</v>
      </c>
      <c r="L850" s="11">
        <v>476</v>
      </c>
      <c r="M850" s="270">
        <f t="shared" si="15"/>
        <v>13</v>
      </c>
      <c r="N850" s="7"/>
      <c r="O850" s="277"/>
      <c r="P850" s="345"/>
      <c r="V850" s="383"/>
    </row>
    <row r="851" spans="1:22" ht="15" customHeight="1">
      <c r="A851" s="3">
        <v>37026</v>
      </c>
      <c r="B851" s="4">
        <v>78475</v>
      </c>
      <c r="D851" s="5">
        <v>19725</v>
      </c>
      <c r="E851" s="5">
        <f t="shared" si="16"/>
        <v>39350</v>
      </c>
      <c r="F851" s="5">
        <v>137550</v>
      </c>
      <c r="K851" s="23">
        <v>461</v>
      </c>
      <c r="L851" s="11">
        <v>474</v>
      </c>
      <c r="M851" s="270">
        <f t="shared" si="15"/>
        <v>13</v>
      </c>
      <c r="N851" s="7"/>
      <c r="O851" s="277"/>
      <c r="P851" s="345"/>
      <c r="V851" s="383"/>
    </row>
    <row r="852" spans="1:22" ht="15" customHeight="1">
      <c r="A852" s="3">
        <v>37027</v>
      </c>
      <c r="B852" s="4">
        <v>78750</v>
      </c>
      <c r="D852" s="5">
        <v>19575</v>
      </c>
      <c r="E852" s="5">
        <f t="shared" si="16"/>
        <v>39250</v>
      </c>
      <c r="F852" s="5">
        <v>137575</v>
      </c>
      <c r="K852" s="23">
        <v>463</v>
      </c>
      <c r="L852" s="11">
        <v>474</v>
      </c>
      <c r="M852" s="270">
        <f t="shared" si="15"/>
        <v>11</v>
      </c>
      <c r="N852" s="7"/>
      <c r="O852" s="277"/>
      <c r="P852" s="345"/>
      <c r="V852" s="383"/>
    </row>
    <row r="853" spans="1:22" ht="15" customHeight="1">
      <c r="A853" s="3">
        <v>37028</v>
      </c>
      <c r="B853" s="4">
        <v>78400</v>
      </c>
      <c r="D853" s="5">
        <v>19475</v>
      </c>
      <c r="E853" s="5">
        <f t="shared" si="16"/>
        <v>38950</v>
      </c>
      <c r="F853" s="5">
        <v>136825</v>
      </c>
      <c r="K853" s="23">
        <v>464</v>
      </c>
      <c r="L853" s="11">
        <v>475</v>
      </c>
      <c r="M853" s="270">
        <f t="shared" si="15"/>
        <v>11</v>
      </c>
      <c r="N853" s="7"/>
      <c r="O853" s="277"/>
      <c r="P853" s="345"/>
      <c r="V853" s="383"/>
    </row>
    <row r="854" spans="1:22" ht="15" customHeight="1">
      <c r="A854" s="3">
        <v>37029</v>
      </c>
      <c r="B854" s="4">
        <v>78375</v>
      </c>
      <c r="D854" s="5">
        <v>19300</v>
      </c>
      <c r="E854" s="5">
        <f t="shared" si="16"/>
        <v>38675</v>
      </c>
      <c r="F854" s="5">
        <v>136350</v>
      </c>
      <c r="K854" s="23">
        <v>481</v>
      </c>
      <c r="L854" s="11">
        <v>487.5</v>
      </c>
      <c r="M854" s="270">
        <f t="shared" si="15"/>
        <v>6.5</v>
      </c>
      <c r="N854" s="7"/>
      <c r="O854" s="277"/>
      <c r="P854" s="345"/>
      <c r="V854" s="383"/>
    </row>
    <row r="855" spans="1:22" ht="15" customHeight="1">
      <c r="A855" s="3">
        <v>37032</v>
      </c>
      <c r="B855" s="4">
        <v>79325</v>
      </c>
      <c r="D855" s="5">
        <v>19300</v>
      </c>
      <c r="E855" s="5">
        <f t="shared" si="16"/>
        <v>38175</v>
      </c>
      <c r="F855" s="5">
        <v>136800</v>
      </c>
      <c r="K855" s="23">
        <v>485</v>
      </c>
      <c r="L855" s="11">
        <v>490</v>
      </c>
      <c r="M855" s="270">
        <f t="shared" si="15"/>
        <v>5</v>
      </c>
      <c r="N855" s="7"/>
      <c r="O855" s="277"/>
      <c r="P855" s="345"/>
      <c r="V855" s="383"/>
    </row>
    <row r="856" spans="1:22" ht="15" customHeight="1">
      <c r="A856" s="3">
        <v>37033</v>
      </c>
      <c r="B856" s="4">
        <v>79100</v>
      </c>
      <c r="D856" s="5">
        <v>19325</v>
      </c>
      <c r="E856" s="5">
        <f t="shared" si="16"/>
        <v>37800</v>
      </c>
      <c r="F856" s="5">
        <v>136225</v>
      </c>
      <c r="K856" s="23">
        <v>480</v>
      </c>
      <c r="L856" s="11">
        <v>486.5</v>
      </c>
      <c r="M856" s="270">
        <f t="shared" si="15"/>
        <v>6.5</v>
      </c>
      <c r="N856" s="7"/>
      <c r="O856" s="277"/>
      <c r="P856" s="345"/>
      <c r="V856" s="383"/>
    </row>
    <row r="857" spans="1:22" ht="15" customHeight="1">
      <c r="A857" s="3">
        <v>37034</v>
      </c>
      <c r="B857" s="4">
        <v>79075</v>
      </c>
      <c r="D857" s="5">
        <v>19075</v>
      </c>
      <c r="E857" s="5">
        <f t="shared" si="16"/>
        <v>37650</v>
      </c>
      <c r="F857" s="5">
        <v>135800</v>
      </c>
      <c r="K857" s="23">
        <v>473</v>
      </c>
      <c r="L857" s="11">
        <v>482</v>
      </c>
      <c r="M857" s="270">
        <f t="shared" si="15"/>
        <v>9</v>
      </c>
      <c r="N857" s="7"/>
      <c r="O857" s="277"/>
      <c r="P857" s="345"/>
      <c r="V857" s="383"/>
    </row>
    <row r="858" spans="1:22" ht="15" customHeight="1">
      <c r="A858" s="3">
        <v>37035</v>
      </c>
      <c r="B858" s="4">
        <v>78875</v>
      </c>
      <c r="D858" s="5">
        <v>18925</v>
      </c>
      <c r="E858" s="5">
        <f t="shared" si="16"/>
        <v>37525</v>
      </c>
      <c r="F858" s="5">
        <v>135325</v>
      </c>
      <c r="K858" s="23">
        <v>475</v>
      </c>
      <c r="L858" s="11">
        <v>484</v>
      </c>
      <c r="M858" s="270">
        <f t="shared" si="15"/>
        <v>9</v>
      </c>
      <c r="N858" s="7"/>
      <c r="O858" s="277"/>
      <c r="P858" s="345"/>
      <c r="V858" s="383"/>
    </row>
    <row r="859" spans="1:22" ht="15" customHeight="1">
      <c r="A859" s="3">
        <v>37036</v>
      </c>
      <c r="B859" s="4">
        <v>79125</v>
      </c>
      <c r="D859" s="5">
        <v>18800</v>
      </c>
      <c r="E859" s="5">
        <f t="shared" si="16"/>
        <v>37425</v>
      </c>
      <c r="F859" s="5">
        <v>135350</v>
      </c>
      <c r="K859" s="23">
        <v>469.5</v>
      </c>
      <c r="L859" s="11">
        <v>479</v>
      </c>
      <c r="M859" s="270">
        <f t="shared" si="15"/>
        <v>9.5</v>
      </c>
      <c r="N859" s="7"/>
      <c r="O859" s="277"/>
      <c r="P859" s="345"/>
      <c r="V859" s="383"/>
    </row>
    <row r="860" spans="1:22" ht="15" customHeight="1">
      <c r="A860" s="3">
        <v>37040</v>
      </c>
      <c r="B860" s="4">
        <v>78450</v>
      </c>
      <c r="D860" s="5">
        <v>18650</v>
      </c>
      <c r="E860" s="5">
        <f t="shared" si="16"/>
        <v>37425</v>
      </c>
      <c r="F860" s="5">
        <v>134525</v>
      </c>
      <c r="K860" s="23">
        <v>465.5</v>
      </c>
      <c r="L860" s="11">
        <v>477</v>
      </c>
      <c r="M860" s="270">
        <f t="shared" si="15"/>
        <v>11.5</v>
      </c>
      <c r="N860" s="7"/>
      <c r="O860" s="277"/>
      <c r="P860" s="345"/>
      <c r="V860" s="383"/>
    </row>
    <row r="861" spans="1:22" ht="15" customHeight="1">
      <c r="A861" s="3">
        <v>37041</v>
      </c>
      <c r="B861" s="4">
        <v>77475</v>
      </c>
      <c r="D861" s="5">
        <v>18500</v>
      </c>
      <c r="E861" s="5">
        <f t="shared" si="16"/>
        <v>37225</v>
      </c>
      <c r="F861" s="5">
        <v>133200</v>
      </c>
      <c r="K861" s="23">
        <v>465.5</v>
      </c>
      <c r="L861" s="11">
        <v>477</v>
      </c>
      <c r="M861" s="270">
        <f t="shared" si="15"/>
        <v>11.5</v>
      </c>
      <c r="N861" s="7"/>
      <c r="O861" s="277"/>
      <c r="P861" s="345"/>
      <c r="V861" s="383"/>
    </row>
    <row r="862" spans="1:22" ht="15" customHeight="1">
      <c r="A862" s="3">
        <v>37042</v>
      </c>
      <c r="B862" s="4">
        <v>77150</v>
      </c>
      <c r="D862" s="5">
        <v>18325</v>
      </c>
      <c r="E862" s="5">
        <f t="shared" si="16"/>
        <v>37100</v>
      </c>
      <c r="F862" s="5">
        <v>132575</v>
      </c>
      <c r="K862" s="23">
        <v>461</v>
      </c>
      <c r="L862" s="11">
        <v>474</v>
      </c>
      <c r="M862" s="270">
        <f t="shared" si="15"/>
        <v>13</v>
      </c>
      <c r="N862" s="7"/>
      <c r="O862" s="277"/>
      <c r="P862" s="345"/>
      <c r="V862" s="383"/>
    </row>
    <row r="863" spans="1:22" ht="15" customHeight="1">
      <c r="A863" s="3">
        <v>37043</v>
      </c>
      <c r="B863" s="4">
        <v>77175</v>
      </c>
      <c r="D863" s="5">
        <v>18250</v>
      </c>
      <c r="E863" s="5">
        <f t="shared" si="16"/>
        <v>37000</v>
      </c>
      <c r="F863" s="5">
        <v>132425</v>
      </c>
      <c r="K863" s="23">
        <v>452</v>
      </c>
      <c r="L863" s="11">
        <v>465.5</v>
      </c>
      <c r="M863" s="270">
        <f t="shared" si="15"/>
        <v>13.5</v>
      </c>
      <c r="N863" s="7"/>
      <c r="O863" s="277"/>
      <c r="P863" s="345"/>
      <c r="V863" s="383"/>
    </row>
    <row r="864" spans="1:22" ht="15" customHeight="1">
      <c r="A864" s="3">
        <v>37046</v>
      </c>
      <c r="B864" s="4">
        <v>76750</v>
      </c>
      <c r="D864" s="5">
        <v>18250</v>
      </c>
      <c r="E864" s="5">
        <f t="shared" si="16"/>
        <v>36800</v>
      </c>
      <c r="F864" s="5">
        <v>131800</v>
      </c>
      <c r="K864" s="23">
        <v>451</v>
      </c>
      <c r="L864" s="11">
        <v>464</v>
      </c>
      <c r="M864" s="270">
        <f t="shared" si="15"/>
        <v>13</v>
      </c>
      <c r="N864" s="7"/>
      <c r="O864" s="277"/>
      <c r="P864" s="345"/>
      <c r="V864" s="383"/>
    </row>
    <row r="865" spans="1:22" ht="15" customHeight="1">
      <c r="A865" s="3">
        <v>37047</v>
      </c>
      <c r="B865" s="4">
        <v>76300</v>
      </c>
      <c r="D865" s="5">
        <v>18150</v>
      </c>
      <c r="E865" s="5">
        <f t="shared" si="16"/>
        <v>36650</v>
      </c>
      <c r="F865" s="5">
        <v>131100</v>
      </c>
      <c r="K865" s="23">
        <v>450</v>
      </c>
      <c r="L865" s="11">
        <v>463</v>
      </c>
      <c r="M865" s="270">
        <f t="shared" si="15"/>
        <v>13</v>
      </c>
      <c r="N865" s="7"/>
      <c r="O865" s="277"/>
      <c r="P865" s="345"/>
      <c r="V865" s="383"/>
    </row>
    <row r="866" spans="1:22" ht="15" customHeight="1">
      <c r="A866" s="3">
        <v>37048</v>
      </c>
      <c r="B866" s="4">
        <v>75925</v>
      </c>
      <c r="D866" s="5">
        <v>18100</v>
      </c>
      <c r="E866" s="5">
        <f t="shared" si="16"/>
        <v>36600</v>
      </c>
      <c r="F866" s="5">
        <v>130625</v>
      </c>
      <c r="K866" s="23">
        <v>452</v>
      </c>
      <c r="L866" s="11">
        <v>464.5</v>
      </c>
      <c r="M866" s="270">
        <f t="shared" si="15"/>
        <v>12.5</v>
      </c>
      <c r="N866" s="7"/>
      <c r="O866" s="277"/>
      <c r="P866" s="345"/>
      <c r="V866" s="383"/>
    </row>
    <row r="867" spans="1:22" ht="15" customHeight="1">
      <c r="A867" s="3">
        <v>37049</v>
      </c>
      <c r="B867" s="4">
        <v>75775</v>
      </c>
      <c r="D867" s="5">
        <v>18025</v>
      </c>
      <c r="E867" s="5">
        <f t="shared" si="16"/>
        <v>36325</v>
      </c>
      <c r="F867" s="5">
        <v>130125</v>
      </c>
      <c r="K867" s="23">
        <v>454</v>
      </c>
      <c r="L867" s="11">
        <v>464</v>
      </c>
      <c r="M867" s="270">
        <f t="shared" si="15"/>
        <v>10</v>
      </c>
      <c r="N867" s="7"/>
      <c r="O867" s="277"/>
      <c r="P867" s="345"/>
      <c r="V867" s="383"/>
    </row>
    <row r="868" spans="1:22" ht="15" customHeight="1">
      <c r="A868" s="3">
        <v>37050</v>
      </c>
      <c r="B868" s="4">
        <v>75700</v>
      </c>
      <c r="D868" s="5">
        <v>17850</v>
      </c>
      <c r="E868" s="5">
        <f t="shared" si="16"/>
        <v>36150</v>
      </c>
      <c r="F868" s="5">
        <v>129700</v>
      </c>
      <c r="K868" s="23">
        <v>439.5</v>
      </c>
      <c r="L868" s="11">
        <v>451</v>
      </c>
      <c r="M868" s="270">
        <f t="shared" si="15"/>
        <v>11.5</v>
      </c>
      <c r="N868" s="7"/>
      <c r="O868" s="277"/>
      <c r="P868" s="345"/>
      <c r="V868" s="383"/>
    </row>
    <row r="869" spans="1:22" ht="15" customHeight="1">
      <c r="A869" s="3">
        <v>37053</v>
      </c>
      <c r="B869" s="4">
        <v>76125</v>
      </c>
      <c r="D869" s="5">
        <v>17850</v>
      </c>
      <c r="E869" s="5">
        <f t="shared" si="16"/>
        <v>35975</v>
      </c>
      <c r="F869" s="5">
        <v>129950</v>
      </c>
      <c r="K869" s="23">
        <v>447</v>
      </c>
      <c r="L869" s="11">
        <v>458</v>
      </c>
      <c r="M869" s="270">
        <f t="shared" si="15"/>
        <v>11</v>
      </c>
      <c r="N869" s="7"/>
      <c r="O869" s="277"/>
      <c r="P869" s="345"/>
      <c r="V869" s="383"/>
    </row>
    <row r="870" spans="1:22" ht="15" customHeight="1">
      <c r="A870" s="3">
        <v>37054</v>
      </c>
      <c r="B870" s="4">
        <v>73675</v>
      </c>
      <c r="D870" s="5">
        <v>17625</v>
      </c>
      <c r="E870" s="5">
        <f t="shared" si="16"/>
        <v>35800</v>
      </c>
      <c r="F870" s="5">
        <v>127100</v>
      </c>
      <c r="K870" s="23">
        <v>440</v>
      </c>
      <c r="L870" s="11">
        <v>451</v>
      </c>
      <c r="M870" s="270">
        <f t="shared" si="15"/>
        <v>11</v>
      </c>
      <c r="N870" s="7"/>
      <c r="O870" s="277"/>
      <c r="P870" s="345"/>
      <c r="V870" s="383"/>
    </row>
    <row r="871" spans="1:22" ht="15" customHeight="1">
      <c r="A871" s="3">
        <v>37055</v>
      </c>
      <c r="B871" s="4">
        <v>72200</v>
      </c>
      <c r="D871" s="5">
        <v>17625</v>
      </c>
      <c r="E871" s="5">
        <f t="shared" si="16"/>
        <v>35600</v>
      </c>
      <c r="F871" s="5">
        <v>125425</v>
      </c>
      <c r="K871" s="23">
        <v>445</v>
      </c>
      <c r="L871" s="11">
        <v>455.5</v>
      </c>
      <c r="M871" s="270">
        <f t="shared" si="15"/>
        <v>10.5</v>
      </c>
      <c r="N871" s="7"/>
      <c r="O871" s="277"/>
      <c r="P871" s="345"/>
      <c r="V871" s="383"/>
    </row>
    <row r="872" spans="1:22" ht="15" customHeight="1">
      <c r="A872" s="3">
        <v>37056</v>
      </c>
      <c r="B872" s="4">
        <v>72000</v>
      </c>
      <c r="D872" s="5">
        <v>17500</v>
      </c>
      <c r="E872" s="5">
        <f t="shared" si="16"/>
        <v>35375</v>
      </c>
      <c r="F872" s="5">
        <v>124875</v>
      </c>
      <c r="K872" s="23">
        <v>444</v>
      </c>
      <c r="L872" s="11">
        <v>452.5</v>
      </c>
      <c r="M872" s="270">
        <f t="shared" si="15"/>
        <v>8.5</v>
      </c>
      <c r="N872" s="7"/>
      <c r="O872" s="277"/>
      <c r="P872" s="345"/>
      <c r="V872" s="383"/>
    </row>
    <row r="873" spans="1:22" ht="15" customHeight="1">
      <c r="A873" s="3">
        <v>37057</v>
      </c>
      <c r="B873" s="4">
        <v>72175</v>
      </c>
      <c r="D873" s="5">
        <v>17250</v>
      </c>
      <c r="E873" s="5">
        <f t="shared" si="16"/>
        <v>35150</v>
      </c>
      <c r="F873" s="5">
        <v>124575</v>
      </c>
      <c r="K873" s="23">
        <v>445</v>
      </c>
      <c r="L873" s="11">
        <v>454</v>
      </c>
      <c r="M873" s="270">
        <f t="shared" si="15"/>
        <v>9</v>
      </c>
      <c r="N873" s="7"/>
      <c r="O873" s="277"/>
      <c r="P873" s="345"/>
      <c r="V873" s="383"/>
    </row>
    <row r="874" spans="1:22" ht="15" customHeight="1">
      <c r="A874" s="3">
        <v>37060</v>
      </c>
      <c r="B874" s="4">
        <v>72425</v>
      </c>
      <c r="D874" s="5">
        <v>17050</v>
      </c>
      <c r="E874" s="5">
        <f t="shared" si="16"/>
        <v>34875</v>
      </c>
      <c r="F874" s="5">
        <v>124350</v>
      </c>
      <c r="K874" s="23">
        <v>440</v>
      </c>
      <c r="L874" s="11">
        <v>452</v>
      </c>
      <c r="M874" s="270">
        <f t="shared" si="15"/>
        <v>12</v>
      </c>
      <c r="N874" s="7"/>
      <c r="O874" s="277"/>
      <c r="P874" s="345"/>
      <c r="V874" s="383"/>
    </row>
    <row r="875" spans="1:22" ht="15" customHeight="1">
      <c r="A875" s="3">
        <v>37061</v>
      </c>
      <c r="B875" s="4">
        <v>71750</v>
      </c>
      <c r="D875" s="5">
        <v>16925</v>
      </c>
      <c r="E875" s="5">
        <f t="shared" si="16"/>
        <v>33925</v>
      </c>
      <c r="F875" s="5">
        <v>122600</v>
      </c>
      <c r="K875" s="23">
        <v>438.5</v>
      </c>
      <c r="L875" s="11">
        <v>453</v>
      </c>
      <c r="M875" s="270">
        <f t="shared" si="15"/>
        <v>14.5</v>
      </c>
      <c r="N875" s="7"/>
      <c r="O875" s="277"/>
      <c r="P875" s="345"/>
      <c r="V875" s="383"/>
    </row>
    <row r="876" spans="1:22" ht="15" customHeight="1">
      <c r="A876" s="3">
        <v>37062</v>
      </c>
      <c r="B876" s="4">
        <v>71550</v>
      </c>
      <c r="D876" s="5">
        <v>16750</v>
      </c>
      <c r="E876" s="5">
        <f t="shared" si="16"/>
        <v>33000</v>
      </c>
      <c r="F876" s="5">
        <v>121300</v>
      </c>
      <c r="K876" s="23">
        <v>435</v>
      </c>
      <c r="L876" s="11">
        <v>447.5</v>
      </c>
      <c r="M876" s="270">
        <f t="shared" si="15"/>
        <v>12.5</v>
      </c>
      <c r="N876" s="7"/>
      <c r="O876" s="277"/>
      <c r="P876" s="345"/>
      <c r="V876" s="383"/>
    </row>
    <row r="877" spans="1:22" ht="15" customHeight="1">
      <c r="A877" s="3">
        <v>37063</v>
      </c>
      <c r="B877" s="4">
        <v>64775</v>
      </c>
      <c r="D877" s="5">
        <v>16600</v>
      </c>
      <c r="E877" s="5">
        <f t="shared" si="16"/>
        <v>32100</v>
      </c>
      <c r="F877" s="5">
        <v>113475</v>
      </c>
      <c r="K877" s="23">
        <v>435</v>
      </c>
      <c r="L877" s="11">
        <v>448.5</v>
      </c>
      <c r="M877" s="270">
        <f t="shared" si="15"/>
        <v>13.5</v>
      </c>
      <c r="N877" s="7"/>
      <c r="O877" s="277"/>
      <c r="P877" s="345"/>
      <c r="V877" s="383"/>
    </row>
    <row r="878" spans="1:22" ht="15" customHeight="1">
      <c r="A878" s="3">
        <v>37064</v>
      </c>
      <c r="B878" s="4">
        <v>64550</v>
      </c>
      <c r="D878" s="5">
        <v>16500</v>
      </c>
      <c r="E878" s="5">
        <f t="shared" si="16"/>
        <v>31200</v>
      </c>
      <c r="F878" s="5">
        <v>112250</v>
      </c>
      <c r="K878" s="23">
        <v>440</v>
      </c>
      <c r="L878" s="11">
        <v>452</v>
      </c>
      <c r="M878" s="270">
        <f t="shared" si="15"/>
        <v>12</v>
      </c>
      <c r="N878" s="7"/>
      <c r="O878" s="277"/>
      <c r="P878" s="345"/>
      <c r="V878" s="383"/>
    </row>
    <row r="879" spans="1:22" ht="15" customHeight="1">
      <c r="A879" s="3">
        <v>37067</v>
      </c>
      <c r="B879" s="4">
        <v>64425</v>
      </c>
      <c r="D879" s="5">
        <v>16500</v>
      </c>
      <c r="E879" s="5">
        <f t="shared" si="16"/>
        <v>30825</v>
      </c>
      <c r="F879" s="5">
        <v>111750</v>
      </c>
      <c r="K879" s="23">
        <v>439</v>
      </c>
      <c r="L879" s="11">
        <v>451.5</v>
      </c>
      <c r="M879" s="270">
        <f t="shared" si="15"/>
        <v>12.5</v>
      </c>
      <c r="N879" s="7"/>
      <c r="O879" s="277"/>
      <c r="P879" s="345"/>
      <c r="V879" s="383"/>
    </row>
    <row r="880" spans="1:22" ht="15" customHeight="1">
      <c r="A880" s="3">
        <v>37068</v>
      </c>
      <c r="B880" s="4">
        <v>63400</v>
      </c>
      <c r="D880" s="5">
        <v>16325</v>
      </c>
      <c r="E880" s="5">
        <f t="shared" si="16"/>
        <v>30750</v>
      </c>
      <c r="F880" s="5">
        <v>110475</v>
      </c>
      <c r="K880" s="23">
        <v>441.5</v>
      </c>
      <c r="L880" s="11">
        <v>455</v>
      </c>
      <c r="M880" s="270">
        <f t="shared" si="15"/>
        <v>13.5</v>
      </c>
      <c r="N880" s="7"/>
      <c r="O880" s="277"/>
      <c r="P880" s="345"/>
      <c r="V880" s="383"/>
    </row>
    <row r="881" spans="1:22" ht="15" customHeight="1">
      <c r="A881" s="3">
        <v>37069</v>
      </c>
      <c r="B881" s="4">
        <v>63300</v>
      </c>
      <c r="D881" s="5">
        <v>16225</v>
      </c>
      <c r="E881" s="5">
        <f t="shared" si="16"/>
        <v>30600</v>
      </c>
      <c r="F881" s="5">
        <v>110125</v>
      </c>
      <c r="K881" s="23">
        <v>448</v>
      </c>
      <c r="L881" s="11">
        <v>461</v>
      </c>
      <c r="M881" s="270">
        <f t="shared" si="15"/>
        <v>13</v>
      </c>
      <c r="N881" s="7"/>
      <c r="O881" s="277"/>
      <c r="P881" s="345"/>
      <c r="V881" s="383"/>
    </row>
    <row r="882" spans="1:22" ht="15" customHeight="1">
      <c r="A882" s="3">
        <v>37070</v>
      </c>
      <c r="B882" s="4">
        <v>61925</v>
      </c>
      <c r="D882" s="5">
        <v>16150</v>
      </c>
      <c r="E882" s="5">
        <f t="shared" si="16"/>
        <v>30400</v>
      </c>
      <c r="F882" s="5">
        <v>108475</v>
      </c>
      <c r="K882" s="23">
        <v>447</v>
      </c>
      <c r="L882" s="11">
        <v>460.5</v>
      </c>
      <c r="M882" s="270">
        <f t="shared" si="15"/>
        <v>13.5</v>
      </c>
      <c r="N882" s="7"/>
      <c r="O882" s="277"/>
      <c r="P882" s="345"/>
      <c r="V882" s="383"/>
    </row>
    <row r="883" spans="1:22" ht="15" customHeight="1">
      <c r="A883" s="3">
        <v>37071</v>
      </c>
      <c r="B883" s="4">
        <v>61675</v>
      </c>
      <c r="D883" s="5">
        <v>16125</v>
      </c>
      <c r="E883" s="5">
        <f t="shared" si="16"/>
        <v>30275</v>
      </c>
      <c r="F883" s="5">
        <v>108075</v>
      </c>
      <c r="K883" s="23">
        <v>443.5</v>
      </c>
      <c r="L883" s="11">
        <v>455</v>
      </c>
      <c r="M883" s="270">
        <f t="shared" si="15"/>
        <v>11.5</v>
      </c>
      <c r="N883" s="7"/>
      <c r="O883" s="277"/>
      <c r="P883" s="345"/>
      <c r="V883" s="383"/>
    </row>
    <row r="884" spans="1:22" ht="15" customHeight="1">
      <c r="A884" s="3">
        <v>37074</v>
      </c>
      <c r="B884" s="4">
        <v>61175</v>
      </c>
      <c r="D884" s="5">
        <v>15975</v>
      </c>
      <c r="E884" s="5">
        <f t="shared" si="16"/>
        <v>30100</v>
      </c>
      <c r="F884" s="5">
        <v>107250</v>
      </c>
      <c r="K884" s="23">
        <v>437.5</v>
      </c>
      <c r="L884" s="11">
        <v>450.5</v>
      </c>
      <c r="M884" s="270">
        <f t="shared" si="15"/>
        <v>13</v>
      </c>
      <c r="N884" s="7"/>
      <c r="O884" s="277"/>
      <c r="P884" s="345"/>
      <c r="V884" s="383"/>
    </row>
    <row r="885" spans="1:22" ht="15" customHeight="1">
      <c r="A885" s="3">
        <v>37075</v>
      </c>
      <c r="B885" s="4">
        <v>60125</v>
      </c>
      <c r="D885" s="5">
        <v>15975</v>
      </c>
      <c r="E885" s="5">
        <f t="shared" si="16"/>
        <v>29950</v>
      </c>
      <c r="F885" s="5">
        <v>106050</v>
      </c>
      <c r="K885" s="23">
        <v>430.5</v>
      </c>
      <c r="L885" s="11">
        <v>444</v>
      </c>
      <c r="M885" s="270">
        <f t="shared" si="15"/>
        <v>13.5</v>
      </c>
      <c r="N885" s="7"/>
      <c r="O885" s="277"/>
      <c r="P885" s="345"/>
      <c r="V885" s="383"/>
    </row>
    <row r="886" spans="1:22" ht="15" customHeight="1">
      <c r="A886" s="3">
        <v>37076</v>
      </c>
      <c r="B886" s="4">
        <v>60125</v>
      </c>
      <c r="D886" s="5">
        <v>15975</v>
      </c>
      <c r="E886" s="5">
        <f t="shared" si="16"/>
        <v>29625</v>
      </c>
      <c r="F886" s="5">
        <v>105725</v>
      </c>
      <c r="K886" s="23">
        <v>433</v>
      </c>
      <c r="L886" s="11">
        <v>445.5</v>
      </c>
      <c r="M886" s="270">
        <f t="shared" si="15"/>
        <v>12.5</v>
      </c>
      <c r="N886" s="7"/>
      <c r="O886" s="277"/>
      <c r="P886" s="345"/>
      <c r="V886" s="383"/>
    </row>
    <row r="887" spans="1:22" ht="15" customHeight="1">
      <c r="A887" s="3">
        <v>37077</v>
      </c>
      <c r="B887" s="4">
        <v>60100</v>
      </c>
      <c r="D887" s="5">
        <v>15825</v>
      </c>
      <c r="E887" s="5">
        <f t="shared" si="16"/>
        <v>29150</v>
      </c>
      <c r="F887" s="5">
        <v>105075</v>
      </c>
      <c r="K887" s="23">
        <v>438</v>
      </c>
      <c r="L887" s="11">
        <v>450</v>
      </c>
      <c r="M887" s="270">
        <f t="shared" ref="M887:M950" si="17">L887-K887</f>
        <v>12</v>
      </c>
      <c r="N887" s="7"/>
      <c r="O887" s="277"/>
      <c r="P887" s="345"/>
      <c r="V887" s="383"/>
    </row>
    <row r="888" spans="1:22" ht="15" customHeight="1">
      <c r="A888" s="3">
        <v>37078</v>
      </c>
      <c r="B888" s="4">
        <v>59650</v>
      </c>
      <c r="D888" s="5">
        <v>15775</v>
      </c>
      <c r="E888" s="5">
        <f t="shared" ref="E888:E951" si="18">F888-(B888+D888)</f>
        <v>29225</v>
      </c>
      <c r="F888" s="5">
        <v>104650</v>
      </c>
      <c r="K888" s="23">
        <v>447.5</v>
      </c>
      <c r="L888" s="11">
        <v>460</v>
      </c>
      <c r="M888" s="270">
        <f t="shared" si="17"/>
        <v>12.5</v>
      </c>
      <c r="N888" s="7"/>
      <c r="O888" s="277"/>
      <c r="P888" s="345"/>
      <c r="V888" s="383"/>
    </row>
    <row r="889" spans="1:22" ht="15" customHeight="1">
      <c r="A889" s="3">
        <v>37081</v>
      </c>
      <c r="B889" s="4">
        <v>59375</v>
      </c>
      <c r="D889" s="5">
        <v>15775</v>
      </c>
      <c r="E889" s="5">
        <f t="shared" si="18"/>
        <v>28700</v>
      </c>
      <c r="F889" s="5">
        <v>103850</v>
      </c>
      <c r="K889" s="23">
        <v>454</v>
      </c>
      <c r="L889" s="11">
        <v>465</v>
      </c>
      <c r="M889" s="270">
        <f t="shared" si="17"/>
        <v>11</v>
      </c>
      <c r="N889" s="7"/>
      <c r="O889" s="277"/>
      <c r="P889" s="345"/>
      <c r="V889" s="383"/>
    </row>
    <row r="890" spans="1:22" ht="15" customHeight="1">
      <c r="A890" s="3">
        <v>37082</v>
      </c>
      <c r="B890" s="4">
        <v>58750</v>
      </c>
      <c r="D890" s="5">
        <v>15625</v>
      </c>
      <c r="E890" s="5">
        <f t="shared" si="18"/>
        <v>30575</v>
      </c>
      <c r="F890" s="5">
        <v>104950</v>
      </c>
      <c r="K890" s="23">
        <v>450.5</v>
      </c>
      <c r="L890" s="11">
        <v>461</v>
      </c>
      <c r="M890" s="270">
        <f t="shared" si="17"/>
        <v>10.5</v>
      </c>
      <c r="N890" s="7"/>
      <c r="O890" s="277"/>
      <c r="P890" s="345"/>
      <c r="V890" s="383"/>
    </row>
    <row r="891" spans="1:22" ht="15" customHeight="1">
      <c r="A891" s="3">
        <v>37083</v>
      </c>
      <c r="B891" s="4">
        <v>57850</v>
      </c>
      <c r="D891" s="5">
        <v>15625</v>
      </c>
      <c r="E891" s="5">
        <f t="shared" si="18"/>
        <v>33725</v>
      </c>
      <c r="F891" s="5">
        <v>107200</v>
      </c>
      <c r="K891" s="23">
        <v>451.5</v>
      </c>
      <c r="L891" s="11">
        <v>463</v>
      </c>
      <c r="M891" s="270">
        <f t="shared" si="17"/>
        <v>11.5</v>
      </c>
      <c r="N891" s="7"/>
      <c r="O891" s="277"/>
      <c r="P891" s="345"/>
      <c r="V891" s="383"/>
    </row>
    <row r="892" spans="1:22" ht="15" customHeight="1">
      <c r="A892" s="3">
        <v>37084</v>
      </c>
      <c r="B892" s="4">
        <v>57400</v>
      </c>
      <c r="D892" s="5">
        <v>15575</v>
      </c>
      <c r="E892" s="5">
        <f t="shared" si="18"/>
        <v>34025</v>
      </c>
      <c r="F892" s="5">
        <v>107000</v>
      </c>
      <c r="K892" s="23">
        <v>452</v>
      </c>
      <c r="L892" s="11">
        <v>463</v>
      </c>
      <c r="M892" s="270">
        <f t="shared" si="17"/>
        <v>11</v>
      </c>
      <c r="N892" s="7"/>
      <c r="O892" s="277"/>
      <c r="P892" s="345"/>
      <c r="V892" s="383"/>
    </row>
    <row r="893" spans="1:22" ht="15" customHeight="1">
      <c r="A893" s="3">
        <v>37085</v>
      </c>
      <c r="B893" s="4">
        <v>56950</v>
      </c>
      <c r="D893" s="5">
        <v>15525</v>
      </c>
      <c r="E893" s="5">
        <f t="shared" si="18"/>
        <v>34025</v>
      </c>
      <c r="F893" s="5">
        <v>106500</v>
      </c>
      <c r="K893" s="23">
        <v>452</v>
      </c>
      <c r="L893" s="11">
        <v>462.5</v>
      </c>
      <c r="M893" s="270">
        <f t="shared" si="17"/>
        <v>10.5</v>
      </c>
      <c r="N893" s="7"/>
      <c r="O893" s="277"/>
      <c r="P893" s="345"/>
      <c r="V893" s="383"/>
    </row>
    <row r="894" spans="1:22" ht="15" customHeight="1">
      <c r="A894" s="3">
        <v>37088</v>
      </c>
      <c r="B894" s="4">
        <v>56950</v>
      </c>
      <c r="D894" s="5">
        <v>15525</v>
      </c>
      <c r="E894" s="5">
        <f t="shared" si="18"/>
        <v>34025</v>
      </c>
      <c r="F894" s="5">
        <v>106500</v>
      </c>
      <c r="K894" s="23">
        <v>447</v>
      </c>
      <c r="L894" s="11">
        <v>460</v>
      </c>
      <c r="M894" s="270">
        <f t="shared" si="17"/>
        <v>13</v>
      </c>
      <c r="N894" s="7"/>
      <c r="O894" s="277"/>
      <c r="P894" s="345"/>
      <c r="V894" s="383"/>
    </row>
    <row r="895" spans="1:22" ht="15" customHeight="1">
      <c r="A895" s="3">
        <v>37089</v>
      </c>
      <c r="B895" s="4">
        <v>56350</v>
      </c>
      <c r="D895" s="5">
        <v>15125</v>
      </c>
      <c r="E895" s="5">
        <f t="shared" si="18"/>
        <v>33925</v>
      </c>
      <c r="F895" s="5">
        <v>105400</v>
      </c>
      <c r="K895" s="23">
        <v>453</v>
      </c>
      <c r="L895" s="11">
        <v>464</v>
      </c>
      <c r="M895" s="270">
        <f t="shared" si="17"/>
        <v>11</v>
      </c>
      <c r="N895" s="7"/>
      <c r="O895" s="277"/>
      <c r="P895" s="345"/>
      <c r="V895" s="383"/>
    </row>
    <row r="896" spans="1:22" ht="15" customHeight="1">
      <c r="A896" s="3">
        <v>37090</v>
      </c>
      <c r="B896" s="4">
        <v>56175</v>
      </c>
      <c r="D896" s="5">
        <v>14975</v>
      </c>
      <c r="E896" s="5">
        <f t="shared" si="18"/>
        <v>33650</v>
      </c>
      <c r="F896" s="5">
        <v>104800</v>
      </c>
      <c r="K896" s="23">
        <v>462</v>
      </c>
      <c r="L896" s="11">
        <v>473</v>
      </c>
      <c r="M896" s="270">
        <f t="shared" si="17"/>
        <v>11</v>
      </c>
      <c r="N896" s="7"/>
      <c r="O896" s="277"/>
      <c r="P896" s="345"/>
      <c r="V896" s="383"/>
    </row>
    <row r="897" spans="1:22" ht="15" customHeight="1">
      <c r="A897" s="3">
        <v>37091</v>
      </c>
      <c r="B897" s="4">
        <v>56250</v>
      </c>
      <c r="D897" s="5">
        <v>14900</v>
      </c>
      <c r="E897" s="5">
        <f t="shared" si="18"/>
        <v>33325</v>
      </c>
      <c r="F897" s="5">
        <v>104475</v>
      </c>
      <c r="K897" s="23">
        <v>453</v>
      </c>
      <c r="L897" s="11">
        <v>465.5</v>
      </c>
      <c r="M897" s="270">
        <f t="shared" si="17"/>
        <v>12.5</v>
      </c>
      <c r="N897" s="7"/>
      <c r="O897" s="277"/>
      <c r="P897" s="345"/>
      <c r="V897" s="383"/>
    </row>
    <row r="898" spans="1:22" ht="15" customHeight="1">
      <c r="A898" s="3">
        <v>37092</v>
      </c>
      <c r="B898" s="4">
        <v>55825</v>
      </c>
      <c r="D898" s="5">
        <v>14750</v>
      </c>
      <c r="E898" s="5">
        <f t="shared" si="18"/>
        <v>33025</v>
      </c>
      <c r="F898" s="5">
        <v>103600</v>
      </c>
      <c r="K898" s="23">
        <v>473</v>
      </c>
      <c r="L898" s="11">
        <v>479</v>
      </c>
      <c r="M898" s="270">
        <f t="shared" si="17"/>
        <v>6</v>
      </c>
      <c r="N898" s="7"/>
      <c r="O898" s="277"/>
      <c r="P898" s="345"/>
      <c r="V898" s="383"/>
    </row>
    <row r="899" spans="1:22" ht="15" customHeight="1">
      <c r="A899" s="3">
        <v>37095</v>
      </c>
      <c r="B899" s="4">
        <v>57375</v>
      </c>
      <c r="D899" s="5">
        <v>14700</v>
      </c>
      <c r="E899" s="5">
        <f t="shared" si="18"/>
        <v>32725</v>
      </c>
      <c r="F899" s="5">
        <v>104800</v>
      </c>
      <c r="K899" s="23">
        <v>480</v>
      </c>
      <c r="L899" s="11">
        <v>485.5</v>
      </c>
      <c r="M899" s="270">
        <f t="shared" si="17"/>
        <v>5.5</v>
      </c>
      <c r="N899" s="7"/>
      <c r="O899" s="277"/>
      <c r="P899" s="345"/>
      <c r="V899" s="383"/>
    </row>
    <row r="900" spans="1:22" ht="15" customHeight="1">
      <c r="A900" s="3">
        <v>37096</v>
      </c>
      <c r="B900" s="4">
        <v>56925</v>
      </c>
      <c r="D900" s="5">
        <v>14525</v>
      </c>
      <c r="E900" s="5">
        <f t="shared" si="18"/>
        <v>32725</v>
      </c>
      <c r="F900" s="5">
        <v>104175</v>
      </c>
      <c r="K900" s="23">
        <v>481</v>
      </c>
      <c r="L900" s="11">
        <v>486</v>
      </c>
      <c r="M900" s="270">
        <f t="shared" si="17"/>
        <v>5</v>
      </c>
      <c r="N900" s="7"/>
      <c r="O900" s="277"/>
      <c r="P900" s="345"/>
      <c r="V900" s="383"/>
    </row>
    <row r="901" spans="1:22" ht="15" customHeight="1">
      <c r="A901" s="3">
        <v>37097</v>
      </c>
      <c r="B901" s="4">
        <v>56700</v>
      </c>
      <c r="D901" s="5">
        <v>14375</v>
      </c>
      <c r="E901" s="5">
        <f t="shared" si="18"/>
        <v>32725</v>
      </c>
      <c r="F901" s="5">
        <v>103800</v>
      </c>
      <c r="K901" s="23">
        <v>478</v>
      </c>
      <c r="L901" s="11">
        <v>482</v>
      </c>
      <c r="M901" s="270">
        <f t="shared" si="17"/>
        <v>4</v>
      </c>
      <c r="N901" s="7"/>
      <c r="O901" s="277"/>
      <c r="P901" s="345"/>
      <c r="V901" s="383"/>
    </row>
    <row r="902" spans="1:22" ht="15" customHeight="1">
      <c r="A902" s="3">
        <v>37098</v>
      </c>
      <c r="B902" s="4">
        <v>55575</v>
      </c>
      <c r="D902" s="5">
        <v>14350</v>
      </c>
      <c r="E902" s="5">
        <f t="shared" si="18"/>
        <v>32725</v>
      </c>
      <c r="F902" s="5">
        <v>102650</v>
      </c>
      <c r="K902" s="23">
        <v>492</v>
      </c>
      <c r="L902" s="11">
        <v>495</v>
      </c>
      <c r="M902" s="270">
        <f t="shared" si="17"/>
        <v>3</v>
      </c>
      <c r="N902" s="7"/>
      <c r="O902" s="277"/>
      <c r="P902" s="345"/>
      <c r="V902" s="383"/>
    </row>
    <row r="903" spans="1:22" ht="15" customHeight="1">
      <c r="A903" s="3">
        <v>37099</v>
      </c>
      <c r="B903" s="4">
        <v>55575</v>
      </c>
      <c r="D903" s="5">
        <v>14325</v>
      </c>
      <c r="E903" s="5">
        <f t="shared" si="18"/>
        <v>32725</v>
      </c>
      <c r="F903" s="5">
        <v>102625</v>
      </c>
      <c r="K903" s="23">
        <v>504</v>
      </c>
      <c r="L903" s="11">
        <v>503.5</v>
      </c>
      <c r="M903" s="270">
        <f t="shared" si="17"/>
        <v>-0.5</v>
      </c>
      <c r="N903" s="7"/>
      <c r="O903" s="277"/>
      <c r="P903" s="345"/>
      <c r="V903" s="383"/>
    </row>
    <row r="904" spans="1:22" ht="15" customHeight="1">
      <c r="A904" s="3">
        <v>37102</v>
      </c>
      <c r="B904" s="4">
        <v>56475</v>
      </c>
      <c r="D904" s="5">
        <v>14325</v>
      </c>
      <c r="E904" s="5">
        <f t="shared" si="18"/>
        <v>32725</v>
      </c>
      <c r="F904" s="5">
        <v>103525</v>
      </c>
      <c r="K904" s="23">
        <v>498</v>
      </c>
      <c r="L904" s="11">
        <v>498.5</v>
      </c>
      <c r="M904" s="270">
        <f t="shared" si="17"/>
        <v>0.5</v>
      </c>
      <c r="N904" s="7"/>
      <c r="O904" s="277"/>
      <c r="P904" s="345"/>
      <c r="V904" s="383"/>
    </row>
    <row r="905" spans="1:22" ht="15" customHeight="1">
      <c r="A905" s="3">
        <v>37103</v>
      </c>
      <c r="B905" s="4">
        <v>56350</v>
      </c>
      <c r="D905" s="5">
        <v>14325</v>
      </c>
      <c r="E905" s="5">
        <f t="shared" si="18"/>
        <v>32725</v>
      </c>
      <c r="F905" s="5">
        <v>103400</v>
      </c>
      <c r="K905" s="23">
        <v>486.5</v>
      </c>
      <c r="L905" s="11">
        <v>492</v>
      </c>
      <c r="M905" s="270">
        <f t="shared" si="17"/>
        <v>5.5</v>
      </c>
      <c r="N905" s="7"/>
      <c r="O905" s="277"/>
      <c r="P905" s="345"/>
      <c r="V905" s="383"/>
    </row>
    <row r="906" spans="1:22" ht="15" customHeight="1">
      <c r="A906" s="3">
        <v>37104</v>
      </c>
      <c r="B906" s="4">
        <v>56350</v>
      </c>
      <c r="D906" s="5">
        <v>14325</v>
      </c>
      <c r="E906" s="5">
        <f t="shared" si="18"/>
        <v>32700</v>
      </c>
      <c r="F906" s="5">
        <v>103375</v>
      </c>
      <c r="K906" s="23">
        <v>486.5</v>
      </c>
      <c r="L906" s="11">
        <v>493</v>
      </c>
      <c r="M906" s="270">
        <f t="shared" si="17"/>
        <v>6.5</v>
      </c>
      <c r="N906" s="7"/>
      <c r="O906" s="277"/>
      <c r="P906" s="345"/>
      <c r="V906" s="383"/>
    </row>
    <row r="907" spans="1:22" ht="15" customHeight="1">
      <c r="A907" s="3">
        <v>37105</v>
      </c>
      <c r="B907" s="4">
        <v>56350</v>
      </c>
      <c r="D907" s="5">
        <v>14325</v>
      </c>
      <c r="E907" s="5">
        <f t="shared" si="18"/>
        <v>32700</v>
      </c>
      <c r="F907" s="5">
        <v>103375</v>
      </c>
      <c r="K907" s="23">
        <v>500.5</v>
      </c>
      <c r="L907" s="11">
        <v>503</v>
      </c>
      <c r="M907" s="270">
        <f t="shared" si="17"/>
        <v>2.5</v>
      </c>
      <c r="N907" s="7"/>
      <c r="O907" s="277"/>
      <c r="P907" s="345"/>
      <c r="V907" s="383"/>
    </row>
    <row r="908" spans="1:22" ht="15" customHeight="1">
      <c r="A908" s="3">
        <v>37106</v>
      </c>
      <c r="B908" s="4">
        <v>56350</v>
      </c>
      <c r="D908" s="5">
        <v>14325</v>
      </c>
      <c r="E908" s="5">
        <f t="shared" si="18"/>
        <v>32675</v>
      </c>
      <c r="F908" s="5">
        <v>103350</v>
      </c>
      <c r="K908" s="23">
        <v>491</v>
      </c>
      <c r="L908" s="11">
        <v>493</v>
      </c>
      <c r="M908" s="270">
        <f t="shared" si="17"/>
        <v>2</v>
      </c>
      <c r="N908" s="7"/>
      <c r="O908" s="277"/>
      <c r="P908" s="345"/>
      <c r="V908" s="383"/>
    </row>
    <row r="909" spans="1:22" ht="15" customHeight="1">
      <c r="A909" s="3">
        <v>37109</v>
      </c>
      <c r="B909" s="4">
        <v>56125</v>
      </c>
      <c r="D909" s="5">
        <v>14325</v>
      </c>
      <c r="E909" s="5">
        <f t="shared" si="18"/>
        <v>32675</v>
      </c>
      <c r="F909" s="5">
        <v>103125</v>
      </c>
      <c r="K909" s="23">
        <v>480.5</v>
      </c>
      <c r="L909" s="11">
        <v>488</v>
      </c>
      <c r="M909" s="270">
        <f t="shared" si="17"/>
        <v>7.5</v>
      </c>
      <c r="N909" s="7"/>
      <c r="O909" s="277"/>
      <c r="P909" s="345"/>
      <c r="V909" s="383"/>
    </row>
    <row r="910" spans="1:22" ht="15" customHeight="1">
      <c r="A910" s="3">
        <v>37110</v>
      </c>
      <c r="B910" s="4">
        <v>55925</v>
      </c>
      <c r="D910" s="5">
        <v>14325</v>
      </c>
      <c r="E910" s="5">
        <f t="shared" si="18"/>
        <v>32675</v>
      </c>
      <c r="F910" s="5">
        <v>102925</v>
      </c>
      <c r="K910" s="23">
        <v>477.5</v>
      </c>
      <c r="L910" s="11">
        <v>486</v>
      </c>
      <c r="M910" s="270">
        <f t="shared" si="17"/>
        <v>8.5</v>
      </c>
      <c r="N910" s="7"/>
      <c r="O910" s="277"/>
      <c r="P910" s="345"/>
      <c r="V910" s="383"/>
    </row>
    <row r="911" spans="1:22" ht="15" customHeight="1">
      <c r="A911" s="3">
        <v>37111</v>
      </c>
      <c r="B911" s="4">
        <v>55650</v>
      </c>
      <c r="D911" s="5">
        <v>14275</v>
      </c>
      <c r="E911" s="5">
        <f t="shared" si="18"/>
        <v>32675</v>
      </c>
      <c r="F911" s="5">
        <v>102600</v>
      </c>
      <c r="K911" s="23">
        <v>484</v>
      </c>
      <c r="L911" s="11">
        <v>488</v>
      </c>
      <c r="M911" s="270">
        <f t="shared" si="17"/>
        <v>4</v>
      </c>
      <c r="N911" s="7"/>
      <c r="O911" s="277"/>
      <c r="P911" s="345"/>
      <c r="V911" s="383"/>
    </row>
    <row r="912" spans="1:22" ht="15" customHeight="1">
      <c r="A912" s="3">
        <v>37112</v>
      </c>
      <c r="B912" s="4">
        <v>55250</v>
      </c>
      <c r="D912" s="5">
        <v>14275</v>
      </c>
      <c r="E912" s="5">
        <f t="shared" si="18"/>
        <v>32675</v>
      </c>
      <c r="F912" s="5">
        <v>102200</v>
      </c>
      <c r="K912" s="23">
        <v>488</v>
      </c>
      <c r="L912" s="11">
        <v>492</v>
      </c>
      <c r="M912" s="270">
        <f t="shared" si="17"/>
        <v>4</v>
      </c>
      <c r="N912" s="7"/>
      <c r="O912" s="277"/>
      <c r="P912" s="345"/>
      <c r="V912" s="383"/>
    </row>
    <row r="913" spans="1:22" ht="15" customHeight="1">
      <c r="A913" s="3">
        <v>37113</v>
      </c>
      <c r="B913" s="4">
        <v>55250</v>
      </c>
      <c r="D913" s="5">
        <v>14200</v>
      </c>
      <c r="E913" s="5">
        <f t="shared" si="18"/>
        <v>32675</v>
      </c>
      <c r="F913" s="5">
        <v>102125</v>
      </c>
      <c r="K913" s="23">
        <v>494</v>
      </c>
      <c r="L913" s="11">
        <v>500</v>
      </c>
      <c r="M913" s="270">
        <f t="shared" si="17"/>
        <v>6</v>
      </c>
      <c r="N913" s="7"/>
      <c r="O913" s="277"/>
      <c r="P913" s="345"/>
      <c r="V913" s="383"/>
    </row>
    <row r="914" spans="1:22" ht="15" customHeight="1">
      <c r="A914" s="3">
        <v>37116</v>
      </c>
      <c r="B914" s="4">
        <v>54975</v>
      </c>
      <c r="D914" s="5">
        <v>14100</v>
      </c>
      <c r="E914" s="5">
        <f t="shared" si="18"/>
        <v>32775</v>
      </c>
      <c r="F914" s="5">
        <v>101850</v>
      </c>
      <c r="K914" s="23">
        <v>488</v>
      </c>
      <c r="L914" s="11">
        <v>494</v>
      </c>
      <c r="M914" s="270">
        <f t="shared" si="17"/>
        <v>6</v>
      </c>
      <c r="N914" s="7"/>
      <c r="O914" s="277"/>
      <c r="P914" s="345"/>
      <c r="V914" s="383"/>
    </row>
    <row r="915" spans="1:22" ht="15" customHeight="1">
      <c r="A915" s="3">
        <v>37117</v>
      </c>
      <c r="B915" s="4">
        <v>54775</v>
      </c>
      <c r="D915" s="5">
        <v>14100</v>
      </c>
      <c r="E915" s="5">
        <f t="shared" si="18"/>
        <v>32775</v>
      </c>
      <c r="F915" s="5">
        <v>101650</v>
      </c>
      <c r="K915" s="23">
        <v>484</v>
      </c>
      <c r="L915" s="11">
        <v>493</v>
      </c>
      <c r="M915" s="270">
        <f t="shared" si="17"/>
        <v>9</v>
      </c>
      <c r="N915" s="7"/>
      <c r="O915" s="277"/>
      <c r="P915" s="345"/>
      <c r="V915" s="383"/>
    </row>
    <row r="916" spans="1:22" ht="15" customHeight="1">
      <c r="A916" s="3">
        <v>37118</v>
      </c>
      <c r="B916" s="4">
        <v>54600</v>
      </c>
      <c r="D916" s="5">
        <v>14100</v>
      </c>
      <c r="E916" s="5">
        <f t="shared" si="18"/>
        <v>32775</v>
      </c>
      <c r="F916" s="5">
        <v>101475</v>
      </c>
      <c r="K916" s="23">
        <v>491.5</v>
      </c>
      <c r="L916" s="11">
        <v>497</v>
      </c>
      <c r="M916" s="270">
        <f t="shared" si="17"/>
        <v>5.5</v>
      </c>
      <c r="N916" s="7"/>
      <c r="O916" s="277"/>
      <c r="P916" s="345"/>
      <c r="V916" s="383"/>
    </row>
    <row r="917" spans="1:22" ht="15" customHeight="1">
      <c r="A917" s="3">
        <v>37119</v>
      </c>
      <c r="B917" s="4">
        <v>60075</v>
      </c>
      <c r="D917" s="5">
        <v>14100</v>
      </c>
      <c r="E917" s="5">
        <f t="shared" si="18"/>
        <v>32775</v>
      </c>
      <c r="F917" s="5">
        <v>106950</v>
      </c>
      <c r="K917" s="23">
        <v>487</v>
      </c>
      <c r="L917" s="11">
        <v>494</v>
      </c>
      <c r="M917" s="270">
        <f t="shared" si="17"/>
        <v>7</v>
      </c>
      <c r="N917" s="7"/>
      <c r="O917" s="277"/>
      <c r="P917" s="345"/>
      <c r="V917" s="383"/>
    </row>
    <row r="918" spans="1:22" ht="15" customHeight="1">
      <c r="A918" s="3">
        <v>37120</v>
      </c>
      <c r="B918" s="4">
        <v>59575</v>
      </c>
      <c r="D918" s="5">
        <v>14100</v>
      </c>
      <c r="E918" s="5">
        <f t="shared" si="18"/>
        <v>32775</v>
      </c>
      <c r="F918" s="5">
        <v>106450</v>
      </c>
      <c r="K918" s="23">
        <v>492</v>
      </c>
      <c r="L918" s="11">
        <v>499</v>
      </c>
      <c r="M918" s="270">
        <f t="shared" si="17"/>
        <v>7</v>
      </c>
      <c r="N918" s="7"/>
      <c r="O918" s="277"/>
      <c r="P918" s="345"/>
      <c r="V918" s="383"/>
    </row>
    <row r="919" spans="1:22" ht="15" customHeight="1">
      <c r="A919" s="3">
        <v>37123</v>
      </c>
      <c r="B919" s="4">
        <v>59300</v>
      </c>
      <c r="D919" s="5">
        <v>14100</v>
      </c>
      <c r="E919" s="5">
        <f t="shared" si="18"/>
        <v>32700</v>
      </c>
      <c r="F919" s="5">
        <v>106100</v>
      </c>
      <c r="K919" s="23">
        <v>494</v>
      </c>
      <c r="L919" s="11">
        <v>501</v>
      </c>
      <c r="M919" s="270">
        <f t="shared" si="17"/>
        <v>7</v>
      </c>
      <c r="N919" s="7"/>
      <c r="O919" s="277"/>
      <c r="P919" s="345"/>
      <c r="V919" s="383"/>
    </row>
    <row r="920" spans="1:22" ht="15" customHeight="1">
      <c r="A920" s="3">
        <v>37124</v>
      </c>
      <c r="B920" s="4">
        <v>58200</v>
      </c>
      <c r="D920" s="5">
        <v>14100</v>
      </c>
      <c r="E920" s="5">
        <f t="shared" si="18"/>
        <v>32625</v>
      </c>
      <c r="F920" s="5">
        <v>104925</v>
      </c>
      <c r="K920" s="23">
        <v>482.5</v>
      </c>
      <c r="L920" s="11">
        <v>491.5</v>
      </c>
      <c r="M920" s="270">
        <f t="shared" si="17"/>
        <v>9</v>
      </c>
      <c r="N920" s="7"/>
      <c r="O920" s="277"/>
      <c r="P920" s="345"/>
      <c r="V920" s="383"/>
    </row>
    <row r="921" spans="1:22" ht="15" customHeight="1">
      <c r="A921" s="3">
        <v>37125</v>
      </c>
      <c r="B921" s="4">
        <v>57975</v>
      </c>
      <c r="D921" s="5">
        <v>14100</v>
      </c>
      <c r="E921" s="5">
        <f t="shared" si="18"/>
        <v>32575</v>
      </c>
      <c r="F921" s="5">
        <v>104650</v>
      </c>
      <c r="K921" s="23">
        <v>473</v>
      </c>
      <c r="L921" s="11">
        <v>485</v>
      </c>
      <c r="M921" s="270">
        <f t="shared" si="17"/>
        <v>12</v>
      </c>
      <c r="N921" s="7"/>
      <c r="O921" s="277"/>
      <c r="P921" s="345"/>
      <c r="V921" s="383"/>
    </row>
    <row r="922" spans="1:22" ht="15" customHeight="1">
      <c r="A922" s="3">
        <v>37126</v>
      </c>
      <c r="B922" s="4">
        <v>57750</v>
      </c>
      <c r="D922" s="5">
        <v>14100</v>
      </c>
      <c r="E922" s="5">
        <f t="shared" si="18"/>
        <v>32575</v>
      </c>
      <c r="F922" s="5">
        <v>104425</v>
      </c>
      <c r="K922" s="23">
        <v>468.5</v>
      </c>
      <c r="L922" s="11">
        <v>480</v>
      </c>
      <c r="M922" s="270">
        <f t="shared" si="17"/>
        <v>11.5</v>
      </c>
      <c r="N922" s="7"/>
      <c r="O922" s="277"/>
      <c r="P922" s="345"/>
      <c r="V922" s="383"/>
    </row>
    <row r="923" spans="1:22" ht="15" customHeight="1">
      <c r="A923" s="3">
        <v>37127</v>
      </c>
      <c r="B923" s="4">
        <v>58225</v>
      </c>
      <c r="D923" s="5">
        <v>14100</v>
      </c>
      <c r="E923" s="5">
        <f t="shared" si="18"/>
        <v>32550</v>
      </c>
      <c r="F923" s="5">
        <v>104875</v>
      </c>
      <c r="K923" s="23">
        <v>471</v>
      </c>
      <c r="L923" s="11">
        <v>486</v>
      </c>
      <c r="M923" s="270">
        <f t="shared" si="17"/>
        <v>15</v>
      </c>
      <c r="N923" s="7"/>
      <c r="O923" s="277"/>
      <c r="P923" s="345"/>
      <c r="V923" s="383"/>
    </row>
    <row r="924" spans="1:22" ht="15" customHeight="1">
      <c r="A924" s="3">
        <v>37131</v>
      </c>
      <c r="B924" s="4">
        <v>57650</v>
      </c>
      <c r="D924" s="5">
        <v>14100</v>
      </c>
      <c r="E924" s="5">
        <f t="shared" si="18"/>
        <v>32550</v>
      </c>
      <c r="F924" s="5">
        <v>104300</v>
      </c>
      <c r="K924" s="23">
        <v>481</v>
      </c>
      <c r="L924" s="11">
        <v>492</v>
      </c>
      <c r="M924" s="270">
        <f t="shared" si="17"/>
        <v>11</v>
      </c>
      <c r="N924" s="7"/>
      <c r="O924" s="277"/>
      <c r="P924" s="345"/>
      <c r="V924" s="383"/>
    </row>
    <row r="925" spans="1:22" ht="15" customHeight="1">
      <c r="A925" s="3">
        <v>37132</v>
      </c>
      <c r="B925" s="4">
        <v>56275</v>
      </c>
      <c r="D925" s="5">
        <v>14100</v>
      </c>
      <c r="E925" s="5">
        <f t="shared" si="18"/>
        <v>32550</v>
      </c>
      <c r="F925" s="5">
        <v>102925</v>
      </c>
      <c r="K925" s="23">
        <v>466.5</v>
      </c>
      <c r="L925" s="11">
        <v>480.5</v>
      </c>
      <c r="M925" s="270">
        <f t="shared" si="17"/>
        <v>14</v>
      </c>
      <c r="N925" s="7"/>
      <c r="O925" s="277"/>
      <c r="P925" s="345"/>
      <c r="V925" s="383"/>
    </row>
    <row r="926" spans="1:22" ht="15" customHeight="1">
      <c r="A926" s="3">
        <v>37133</v>
      </c>
      <c r="B926" s="4">
        <v>56100</v>
      </c>
      <c r="D926" s="5">
        <v>14100</v>
      </c>
      <c r="E926" s="5">
        <f t="shared" si="18"/>
        <v>32550</v>
      </c>
      <c r="F926" s="5">
        <v>102750</v>
      </c>
      <c r="K926" s="23">
        <v>474</v>
      </c>
      <c r="L926" s="11">
        <v>486.5</v>
      </c>
      <c r="M926" s="270">
        <f t="shared" si="17"/>
        <v>12.5</v>
      </c>
      <c r="N926" s="7"/>
      <c r="O926" s="277"/>
      <c r="P926" s="345"/>
      <c r="V926" s="383"/>
    </row>
    <row r="927" spans="1:22" ht="15" customHeight="1">
      <c r="A927" s="3">
        <v>37134</v>
      </c>
      <c r="B927" s="4">
        <v>55825</v>
      </c>
      <c r="D927" s="5">
        <v>14100</v>
      </c>
      <c r="E927" s="5">
        <f t="shared" si="18"/>
        <v>32550</v>
      </c>
      <c r="F927" s="5">
        <v>102475</v>
      </c>
      <c r="K927" s="23">
        <v>470</v>
      </c>
      <c r="L927" s="11">
        <v>483</v>
      </c>
      <c r="M927" s="270">
        <f t="shared" si="17"/>
        <v>13</v>
      </c>
      <c r="N927" s="7"/>
      <c r="O927" s="277"/>
      <c r="P927" s="345"/>
      <c r="V927" s="383"/>
    </row>
    <row r="928" spans="1:22" ht="15" customHeight="1">
      <c r="A928" s="3">
        <v>37137</v>
      </c>
      <c r="B928" s="4">
        <v>55625</v>
      </c>
      <c r="D928" s="5">
        <v>14100</v>
      </c>
      <c r="E928" s="5">
        <f t="shared" si="18"/>
        <v>32550</v>
      </c>
      <c r="F928" s="5">
        <v>102275</v>
      </c>
      <c r="K928" s="23">
        <v>463</v>
      </c>
      <c r="L928" s="11">
        <v>476</v>
      </c>
      <c r="M928" s="270">
        <f t="shared" si="17"/>
        <v>13</v>
      </c>
      <c r="N928" s="7"/>
      <c r="O928" s="277"/>
      <c r="P928" s="345"/>
      <c r="V928" s="383"/>
    </row>
    <row r="929" spans="1:22" ht="15" customHeight="1">
      <c r="A929" s="3">
        <v>37138</v>
      </c>
      <c r="B929" s="4">
        <v>54825</v>
      </c>
      <c r="D929" s="5">
        <v>14100</v>
      </c>
      <c r="E929" s="5">
        <f t="shared" si="18"/>
        <v>32550</v>
      </c>
      <c r="F929" s="5">
        <v>101475</v>
      </c>
      <c r="K929" s="23">
        <v>469</v>
      </c>
      <c r="L929" s="11">
        <v>479</v>
      </c>
      <c r="M929" s="270">
        <f t="shared" si="17"/>
        <v>10</v>
      </c>
      <c r="N929" s="7"/>
      <c r="O929" s="277"/>
      <c r="P929" s="345"/>
      <c r="V929" s="383"/>
    </row>
    <row r="930" spans="1:22" ht="15" customHeight="1">
      <c r="A930" s="3">
        <v>37139</v>
      </c>
      <c r="B930" s="4">
        <v>54925</v>
      </c>
      <c r="D930" s="5">
        <v>14100</v>
      </c>
      <c r="E930" s="5">
        <f t="shared" si="18"/>
        <v>32550</v>
      </c>
      <c r="F930" s="5">
        <v>101575</v>
      </c>
      <c r="K930" s="23">
        <v>468</v>
      </c>
      <c r="L930" s="11">
        <v>481</v>
      </c>
      <c r="M930" s="270">
        <f t="shared" si="17"/>
        <v>13</v>
      </c>
      <c r="N930" s="7"/>
      <c r="O930" s="277"/>
      <c r="P930" s="345"/>
      <c r="V930" s="383"/>
    </row>
    <row r="931" spans="1:22" ht="15" customHeight="1">
      <c r="A931" s="3">
        <v>37140</v>
      </c>
      <c r="B931" s="4">
        <v>54850</v>
      </c>
      <c r="D931" s="5">
        <v>14100</v>
      </c>
      <c r="E931" s="5">
        <f t="shared" si="18"/>
        <v>32500</v>
      </c>
      <c r="F931" s="5">
        <v>101450</v>
      </c>
      <c r="K931" s="23">
        <v>473</v>
      </c>
      <c r="L931" s="11">
        <v>480.5</v>
      </c>
      <c r="M931" s="270">
        <f t="shared" si="17"/>
        <v>7.5</v>
      </c>
      <c r="N931" s="7"/>
      <c r="O931" s="277"/>
      <c r="P931" s="345"/>
      <c r="V931" s="383"/>
    </row>
    <row r="932" spans="1:22" ht="15" customHeight="1">
      <c r="A932" s="3">
        <v>37141</v>
      </c>
      <c r="B932" s="4">
        <v>58100</v>
      </c>
      <c r="D932" s="5">
        <v>14100</v>
      </c>
      <c r="E932" s="5">
        <f t="shared" si="18"/>
        <v>32325</v>
      </c>
      <c r="F932" s="5">
        <v>104525</v>
      </c>
      <c r="K932" s="23">
        <v>472</v>
      </c>
      <c r="L932" s="11">
        <v>480</v>
      </c>
      <c r="M932" s="270">
        <f t="shared" si="17"/>
        <v>8</v>
      </c>
      <c r="N932" s="7"/>
      <c r="O932" s="277"/>
      <c r="P932" s="345"/>
      <c r="V932" s="383"/>
    </row>
    <row r="933" spans="1:22" ht="15" customHeight="1">
      <c r="A933" s="3">
        <v>37144</v>
      </c>
      <c r="B933" s="4">
        <v>57175</v>
      </c>
      <c r="D933" s="5">
        <v>14100</v>
      </c>
      <c r="E933" s="5">
        <f t="shared" si="18"/>
        <v>32150</v>
      </c>
      <c r="F933" s="5">
        <v>103425</v>
      </c>
      <c r="K933" s="23">
        <v>469</v>
      </c>
      <c r="L933" s="11">
        <v>478</v>
      </c>
      <c r="M933" s="270">
        <f t="shared" si="17"/>
        <v>9</v>
      </c>
      <c r="N933" s="7"/>
      <c r="O933" s="277"/>
      <c r="P933" s="345"/>
      <c r="V933" s="383"/>
    </row>
    <row r="934" spans="1:22" ht="15" customHeight="1">
      <c r="A934" s="3">
        <v>37145</v>
      </c>
      <c r="B934" s="4">
        <v>56950</v>
      </c>
      <c r="D934" s="5">
        <v>14100</v>
      </c>
      <c r="E934" s="5">
        <f t="shared" si="18"/>
        <v>32125</v>
      </c>
      <c r="F934" s="5">
        <v>103175</v>
      </c>
      <c r="K934" s="23">
        <v>470</v>
      </c>
      <c r="L934" s="11">
        <v>479.5</v>
      </c>
      <c r="M934" s="270">
        <f t="shared" si="17"/>
        <v>9.5</v>
      </c>
      <c r="N934" s="7"/>
      <c r="O934" s="277"/>
      <c r="P934" s="345"/>
      <c r="V934" s="383"/>
    </row>
    <row r="935" spans="1:22" ht="15" customHeight="1">
      <c r="A935" s="3">
        <v>37146</v>
      </c>
      <c r="B935" s="4">
        <v>58100</v>
      </c>
      <c r="D935" s="5">
        <v>14100</v>
      </c>
      <c r="E935" s="5">
        <f t="shared" si="18"/>
        <v>32125</v>
      </c>
      <c r="F935" s="5">
        <v>104325</v>
      </c>
      <c r="K935" s="23">
        <v>477</v>
      </c>
      <c r="L935" s="11">
        <v>487</v>
      </c>
      <c r="M935" s="270">
        <f t="shared" si="17"/>
        <v>10</v>
      </c>
      <c r="N935" s="7"/>
      <c r="O935" s="277"/>
      <c r="P935" s="345"/>
      <c r="V935" s="383"/>
    </row>
    <row r="936" spans="1:22" ht="15" customHeight="1">
      <c r="A936" s="3">
        <v>37147</v>
      </c>
      <c r="B936" s="4">
        <v>58100</v>
      </c>
      <c r="D936" s="5">
        <v>14100</v>
      </c>
      <c r="E936" s="5">
        <f t="shared" si="18"/>
        <v>32075</v>
      </c>
      <c r="F936" s="5">
        <v>104275</v>
      </c>
      <c r="K936" s="23">
        <v>470</v>
      </c>
      <c r="L936" s="11">
        <v>478.5</v>
      </c>
      <c r="M936" s="270">
        <f t="shared" si="17"/>
        <v>8.5</v>
      </c>
      <c r="N936" s="7"/>
      <c r="O936" s="277"/>
      <c r="P936" s="345"/>
      <c r="V936" s="383"/>
    </row>
    <row r="937" spans="1:22" ht="15" customHeight="1">
      <c r="A937" s="3">
        <v>37148</v>
      </c>
      <c r="B937" s="4">
        <v>57900</v>
      </c>
      <c r="D937" s="5">
        <v>14100</v>
      </c>
      <c r="E937" s="5">
        <f t="shared" si="18"/>
        <v>32000</v>
      </c>
      <c r="F937" s="5">
        <v>104000</v>
      </c>
      <c r="K937" s="23">
        <v>474.5</v>
      </c>
      <c r="L937" s="11">
        <v>484</v>
      </c>
      <c r="M937" s="270">
        <f t="shared" si="17"/>
        <v>9.5</v>
      </c>
      <c r="N937" s="7"/>
      <c r="O937" s="277"/>
      <c r="P937" s="345"/>
      <c r="V937" s="383"/>
    </row>
    <row r="938" spans="1:22" ht="15" customHeight="1">
      <c r="A938" s="3">
        <v>37151</v>
      </c>
      <c r="B938" s="4">
        <v>57825</v>
      </c>
      <c r="D938" s="5">
        <v>14100</v>
      </c>
      <c r="E938" s="5">
        <f t="shared" si="18"/>
        <v>31475</v>
      </c>
      <c r="F938" s="5">
        <v>103400</v>
      </c>
      <c r="K938" s="23">
        <v>473</v>
      </c>
      <c r="L938" s="11">
        <v>484</v>
      </c>
      <c r="M938" s="270">
        <f t="shared" si="17"/>
        <v>11</v>
      </c>
      <c r="N938" s="7"/>
      <c r="O938" s="277"/>
      <c r="P938" s="345"/>
      <c r="V938" s="383"/>
    </row>
    <row r="939" spans="1:22" ht="15" customHeight="1">
      <c r="A939" s="3">
        <v>37152</v>
      </c>
      <c r="B939" s="4">
        <v>59000</v>
      </c>
      <c r="D939" s="5">
        <v>14100</v>
      </c>
      <c r="E939" s="5">
        <f t="shared" si="18"/>
        <v>31300</v>
      </c>
      <c r="F939" s="5">
        <v>104400</v>
      </c>
      <c r="K939" s="23">
        <v>475</v>
      </c>
      <c r="L939" s="11">
        <v>484.5</v>
      </c>
      <c r="M939" s="270">
        <f t="shared" si="17"/>
        <v>9.5</v>
      </c>
      <c r="N939" s="7"/>
      <c r="O939" s="277"/>
      <c r="P939" s="345"/>
      <c r="V939" s="383"/>
    </row>
    <row r="940" spans="1:22" ht="15" customHeight="1">
      <c r="A940" s="3">
        <v>37153</v>
      </c>
      <c r="B940" s="4">
        <v>59475</v>
      </c>
      <c r="D940" s="5">
        <v>14100</v>
      </c>
      <c r="E940" s="5">
        <f t="shared" si="18"/>
        <v>31200</v>
      </c>
      <c r="F940" s="5">
        <v>104775</v>
      </c>
      <c r="K940" s="23">
        <v>467</v>
      </c>
      <c r="L940" s="11">
        <v>480</v>
      </c>
      <c r="M940" s="270">
        <f t="shared" si="17"/>
        <v>13</v>
      </c>
      <c r="N940" s="7"/>
      <c r="O940" s="277"/>
      <c r="P940" s="345"/>
      <c r="V940" s="383"/>
    </row>
    <row r="941" spans="1:22" ht="15" customHeight="1">
      <c r="A941" s="3">
        <v>37154</v>
      </c>
      <c r="B941" s="4">
        <v>59200</v>
      </c>
      <c r="D941" s="5">
        <v>14100</v>
      </c>
      <c r="E941" s="5">
        <f t="shared" si="18"/>
        <v>31075</v>
      </c>
      <c r="F941" s="5">
        <v>104375</v>
      </c>
      <c r="K941" s="23">
        <v>464</v>
      </c>
      <c r="L941" s="11">
        <v>474</v>
      </c>
      <c r="M941" s="270">
        <f t="shared" si="17"/>
        <v>10</v>
      </c>
      <c r="N941" s="7"/>
      <c r="O941" s="277"/>
      <c r="P941" s="345"/>
      <c r="V941" s="383"/>
    </row>
    <row r="942" spans="1:22" ht="15" customHeight="1">
      <c r="A942" s="3">
        <v>37155</v>
      </c>
      <c r="B942" s="4">
        <v>59000</v>
      </c>
      <c r="D942" s="5">
        <v>14100</v>
      </c>
      <c r="E942" s="5">
        <f t="shared" si="18"/>
        <v>31050</v>
      </c>
      <c r="F942" s="5">
        <v>104150</v>
      </c>
      <c r="K942" s="23">
        <v>454.5</v>
      </c>
      <c r="L942" s="11">
        <v>466.5</v>
      </c>
      <c r="M942" s="270">
        <f t="shared" si="17"/>
        <v>12</v>
      </c>
      <c r="N942" s="7"/>
      <c r="O942" s="277"/>
      <c r="P942" s="345"/>
      <c r="V942" s="383"/>
    </row>
    <row r="943" spans="1:22" ht="15" customHeight="1">
      <c r="A943" s="3">
        <v>37158</v>
      </c>
      <c r="B943" s="4">
        <v>58925</v>
      </c>
      <c r="D943" s="5">
        <v>14100</v>
      </c>
      <c r="E943" s="5">
        <f t="shared" si="18"/>
        <v>31025</v>
      </c>
      <c r="F943" s="5">
        <v>104050</v>
      </c>
      <c r="K943" s="23">
        <v>450</v>
      </c>
      <c r="L943" s="11">
        <v>462.5</v>
      </c>
      <c r="M943" s="270">
        <f t="shared" si="17"/>
        <v>12.5</v>
      </c>
      <c r="N943" s="7"/>
      <c r="O943" s="277"/>
      <c r="P943" s="345"/>
      <c r="V943" s="383"/>
    </row>
    <row r="944" spans="1:22" ht="15" customHeight="1">
      <c r="A944" s="3">
        <v>37159</v>
      </c>
      <c r="B944" s="4">
        <v>58200</v>
      </c>
      <c r="D944" s="5">
        <v>14100</v>
      </c>
      <c r="E944" s="5">
        <f t="shared" si="18"/>
        <v>31000</v>
      </c>
      <c r="F944" s="5">
        <v>103300</v>
      </c>
      <c r="K944" s="23">
        <v>450.5</v>
      </c>
      <c r="L944" s="11">
        <v>463</v>
      </c>
      <c r="M944" s="270">
        <f t="shared" si="17"/>
        <v>12.5</v>
      </c>
      <c r="N944" s="7"/>
      <c r="O944" s="277"/>
      <c r="P944" s="345"/>
      <c r="V944" s="383"/>
    </row>
    <row r="945" spans="1:22" ht="15" customHeight="1">
      <c r="A945" s="3">
        <v>37160</v>
      </c>
      <c r="B945" s="4">
        <v>57900</v>
      </c>
      <c r="D945" s="5">
        <v>14100</v>
      </c>
      <c r="E945" s="5">
        <f t="shared" si="18"/>
        <v>31000</v>
      </c>
      <c r="F945" s="5">
        <v>103000</v>
      </c>
      <c r="K945" s="23">
        <v>452</v>
      </c>
      <c r="L945" s="11">
        <v>465</v>
      </c>
      <c r="M945" s="270">
        <f t="shared" si="17"/>
        <v>13</v>
      </c>
      <c r="N945" s="7"/>
      <c r="O945" s="277"/>
      <c r="P945" s="345"/>
      <c r="V945" s="383"/>
    </row>
    <row r="946" spans="1:22" ht="15" customHeight="1">
      <c r="A946" s="3">
        <v>37161</v>
      </c>
      <c r="B946" s="4">
        <v>58300</v>
      </c>
      <c r="D946" s="5">
        <v>14100</v>
      </c>
      <c r="E946" s="5">
        <f t="shared" si="18"/>
        <v>31000</v>
      </c>
      <c r="F946" s="5">
        <v>103400</v>
      </c>
      <c r="K946" s="23">
        <v>453</v>
      </c>
      <c r="L946" s="11">
        <v>464</v>
      </c>
      <c r="M946" s="270">
        <f t="shared" si="17"/>
        <v>11</v>
      </c>
      <c r="N946" s="7"/>
      <c r="O946" s="277"/>
      <c r="P946" s="345"/>
      <c r="V946" s="383"/>
    </row>
    <row r="947" spans="1:22" ht="15" customHeight="1">
      <c r="A947" s="3">
        <v>37162</v>
      </c>
      <c r="B947" s="4">
        <v>58075</v>
      </c>
      <c r="D947" s="5">
        <v>14100</v>
      </c>
      <c r="E947" s="5">
        <f t="shared" si="18"/>
        <v>31000</v>
      </c>
      <c r="F947" s="5">
        <v>103175</v>
      </c>
      <c r="K947" s="23">
        <v>451.5</v>
      </c>
      <c r="L947" s="11">
        <v>462</v>
      </c>
      <c r="M947" s="270">
        <f t="shared" si="17"/>
        <v>10.5</v>
      </c>
      <c r="N947" s="7"/>
      <c r="O947" s="277"/>
      <c r="P947" s="345"/>
      <c r="V947" s="383"/>
    </row>
    <row r="948" spans="1:22" ht="15" customHeight="1">
      <c r="A948" s="3">
        <v>37165</v>
      </c>
      <c r="B948" s="4">
        <v>58750</v>
      </c>
      <c r="D948" s="5">
        <v>14100</v>
      </c>
      <c r="E948" s="5">
        <f t="shared" si="18"/>
        <v>31000</v>
      </c>
      <c r="F948" s="5">
        <v>103850</v>
      </c>
      <c r="K948" s="23">
        <v>448.5</v>
      </c>
      <c r="L948" s="11">
        <v>462</v>
      </c>
      <c r="M948" s="270">
        <f t="shared" si="17"/>
        <v>13.5</v>
      </c>
      <c r="N948" s="7"/>
      <c r="O948" s="277"/>
      <c r="P948" s="345"/>
      <c r="V948" s="383"/>
    </row>
    <row r="949" spans="1:22" ht="15" customHeight="1">
      <c r="A949" s="3">
        <v>37166</v>
      </c>
      <c r="B949" s="4">
        <v>58125</v>
      </c>
      <c r="D949" s="5">
        <v>14100</v>
      </c>
      <c r="E949" s="5">
        <f t="shared" si="18"/>
        <v>31000</v>
      </c>
      <c r="F949" s="5">
        <v>103225</v>
      </c>
      <c r="K949" s="23">
        <v>447</v>
      </c>
      <c r="L949" s="11">
        <v>458</v>
      </c>
      <c r="M949" s="270">
        <f t="shared" si="17"/>
        <v>11</v>
      </c>
      <c r="N949" s="7"/>
      <c r="O949" s="277"/>
      <c r="P949" s="345"/>
      <c r="V949" s="383"/>
    </row>
    <row r="950" spans="1:22" ht="15" customHeight="1">
      <c r="A950" s="3">
        <v>37167</v>
      </c>
      <c r="B950" s="4">
        <v>57775</v>
      </c>
      <c r="D950" s="5">
        <v>14100</v>
      </c>
      <c r="E950" s="5">
        <f t="shared" si="18"/>
        <v>30950</v>
      </c>
      <c r="F950" s="5">
        <v>102825</v>
      </c>
      <c r="K950" s="23">
        <v>440</v>
      </c>
      <c r="L950" s="11">
        <v>452</v>
      </c>
      <c r="M950" s="270">
        <f t="shared" si="17"/>
        <v>12</v>
      </c>
      <c r="N950" s="7"/>
      <c r="O950" s="277"/>
      <c r="P950" s="345"/>
      <c r="V950" s="383"/>
    </row>
    <row r="951" spans="1:22" ht="15" customHeight="1">
      <c r="A951" s="3">
        <v>37168</v>
      </c>
      <c r="B951" s="4">
        <v>56550</v>
      </c>
      <c r="D951" s="5">
        <v>14100</v>
      </c>
      <c r="E951" s="5">
        <f t="shared" si="18"/>
        <v>30950</v>
      </c>
      <c r="F951" s="5">
        <v>101600</v>
      </c>
      <c r="K951" s="23">
        <v>447</v>
      </c>
      <c r="L951" s="11">
        <v>457</v>
      </c>
      <c r="M951" s="270">
        <f t="shared" ref="M951:M1014" si="19">L951-K951</f>
        <v>10</v>
      </c>
      <c r="N951" s="7"/>
      <c r="O951" s="277"/>
      <c r="P951" s="345"/>
      <c r="V951" s="383"/>
    </row>
    <row r="952" spans="1:22" ht="15" customHeight="1">
      <c r="A952" s="3">
        <v>37169</v>
      </c>
      <c r="B952" s="4">
        <v>55925</v>
      </c>
      <c r="D952" s="5">
        <v>14100</v>
      </c>
      <c r="E952" s="5">
        <f t="shared" ref="E952:E1015" si="20">F952-(B952+D952)</f>
        <v>30950</v>
      </c>
      <c r="F952" s="5">
        <v>100975</v>
      </c>
      <c r="K952" s="23">
        <v>459</v>
      </c>
      <c r="L952" s="11">
        <v>470</v>
      </c>
      <c r="M952" s="270">
        <f t="shared" si="19"/>
        <v>11</v>
      </c>
      <c r="N952" s="7"/>
      <c r="O952" s="277"/>
      <c r="P952" s="345"/>
      <c r="V952" s="383"/>
    </row>
    <row r="953" spans="1:22" ht="15" customHeight="1">
      <c r="A953" s="3">
        <v>37172</v>
      </c>
      <c r="B953" s="4">
        <v>57150</v>
      </c>
      <c r="D953" s="5">
        <v>14100</v>
      </c>
      <c r="E953" s="5">
        <f t="shared" si="20"/>
        <v>30950</v>
      </c>
      <c r="F953" s="5">
        <v>102200</v>
      </c>
      <c r="K953" s="23">
        <v>476.5</v>
      </c>
      <c r="L953" s="11">
        <v>486</v>
      </c>
      <c r="M953" s="270">
        <f t="shared" si="19"/>
        <v>9.5</v>
      </c>
      <c r="N953" s="7"/>
      <c r="O953" s="277"/>
      <c r="P953" s="345"/>
      <c r="V953" s="383"/>
    </row>
    <row r="954" spans="1:22" ht="15" customHeight="1">
      <c r="A954" s="3">
        <v>37173</v>
      </c>
      <c r="B954" s="4">
        <v>55625</v>
      </c>
      <c r="D954" s="5">
        <v>14100</v>
      </c>
      <c r="E954" s="5">
        <f t="shared" si="20"/>
        <v>30950</v>
      </c>
      <c r="F954" s="5">
        <v>100675</v>
      </c>
      <c r="K954" s="23">
        <v>471.5</v>
      </c>
      <c r="L954" s="11">
        <v>484</v>
      </c>
      <c r="M954" s="270">
        <f t="shared" si="19"/>
        <v>12.5</v>
      </c>
      <c r="N954" s="7"/>
      <c r="O954" s="277"/>
      <c r="P954" s="345"/>
      <c r="V954" s="383"/>
    </row>
    <row r="955" spans="1:22" ht="15" customHeight="1">
      <c r="A955" s="3">
        <v>37174</v>
      </c>
      <c r="B955" s="4">
        <v>56100</v>
      </c>
      <c r="D955" s="5">
        <v>14100</v>
      </c>
      <c r="E955" s="5">
        <f t="shared" si="20"/>
        <v>30950</v>
      </c>
      <c r="F955" s="5">
        <v>101150</v>
      </c>
      <c r="K955" s="23">
        <v>469</v>
      </c>
      <c r="L955" s="11">
        <v>482</v>
      </c>
      <c r="M955" s="270">
        <f t="shared" si="19"/>
        <v>13</v>
      </c>
      <c r="N955" s="7"/>
      <c r="O955" s="277"/>
      <c r="P955" s="345"/>
      <c r="V955" s="383"/>
    </row>
    <row r="956" spans="1:22" ht="15" customHeight="1">
      <c r="A956" s="3">
        <v>37175</v>
      </c>
      <c r="B956" s="4">
        <v>55575</v>
      </c>
      <c r="D956" s="5">
        <v>14100</v>
      </c>
      <c r="E956" s="5">
        <f t="shared" si="20"/>
        <v>30850</v>
      </c>
      <c r="F956" s="5">
        <v>100525</v>
      </c>
      <c r="K956" s="23">
        <v>471</v>
      </c>
      <c r="L956" s="11">
        <v>481.5</v>
      </c>
      <c r="M956" s="270">
        <f t="shared" si="19"/>
        <v>10.5</v>
      </c>
      <c r="N956" s="7"/>
      <c r="O956" s="277"/>
      <c r="P956" s="345"/>
      <c r="V956" s="383"/>
    </row>
    <row r="957" spans="1:22" ht="15" customHeight="1">
      <c r="A957" s="3">
        <v>37176</v>
      </c>
      <c r="B957" s="4">
        <v>56050</v>
      </c>
      <c r="D957" s="5">
        <v>14100</v>
      </c>
      <c r="E957" s="5">
        <f t="shared" si="20"/>
        <v>30750</v>
      </c>
      <c r="F957" s="5">
        <v>100900</v>
      </c>
      <c r="K957" s="23">
        <v>477</v>
      </c>
      <c r="L957" s="11">
        <v>487</v>
      </c>
      <c r="M957" s="270">
        <f t="shared" si="19"/>
        <v>10</v>
      </c>
      <c r="N957" s="7"/>
      <c r="O957" s="277"/>
      <c r="P957" s="345"/>
      <c r="V957" s="383"/>
    </row>
    <row r="958" spans="1:22" ht="15" customHeight="1">
      <c r="A958" s="3">
        <v>37179</v>
      </c>
      <c r="B958" s="4">
        <v>55475</v>
      </c>
      <c r="D958" s="5">
        <v>14100</v>
      </c>
      <c r="E958" s="5">
        <f t="shared" si="20"/>
        <v>30600</v>
      </c>
      <c r="F958" s="5">
        <v>100175</v>
      </c>
      <c r="K958" s="23">
        <v>472</v>
      </c>
      <c r="L958" s="11">
        <v>485</v>
      </c>
      <c r="M958" s="270">
        <f t="shared" si="19"/>
        <v>13</v>
      </c>
      <c r="N958" s="7"/>
      <c r="O958" s="277"/>
      <c r="P958" s="345"/>
      <c r="V958" s="383"/>
    </row>
    <row r="959" spans="1:22" ht="15" customHeight="1">
      <c r="A959" s="3">
        <v>37180</v>
      </c>
      <c r="B959" s="4">
        <v>54600</v>
      </c>
      <c r="D959" s="5">
        <v>14100</v>
      </c>
      <c r="E959" s="5">
        <f t="shared" si="20"/>
        <v>30450</v>
      </c>
      <c r="F959" s="5">
        <v>99150</v>
      </c>
      <c r="K959" s="23">
        <v>466</v>
      </c>
      <c r="L959" s="11">
        <v>478</v>
      </c>
      <c r="M959" s="270">
        <f t="shared" si="19"/>
        <v>12</v>
      </c>
      <c r="N959" s="7"/>
      <c r="O959" s="277"/>
      <c r="P959" s="345"/>
      <c r="V959" s="383"/>
    </row>
    <row r="960" spans="1:22" ht="15" customHeight="1">
      <c r="A960" s="3">
        <v>37181</v>
      </c>
      <c r="B960" s="4">
        <v>55300</v>
      </c>
      <c r="D960" s="5">
        <v>14100</v>
      </c>
      <c r="E960" s="5">
        <f t="shared" si="20"/>
        <v>30350</v>
      </c>
      <c r="F960" s="5">
        <v>99750</v>
      </c>
      <c r="K960" s="23">
        <v>482</v>
      </c>
      <c r="L960" s="11">
        <v>494</v>
      </c>
      <c r="M960" s="270">
        <f t="shared" si="19"/>
        <v>12</v>
      </c>
      <c r="N960" s="7"/>
      <c r="O960" s="277"/>
      <c r="P960" s="345"/>
      <c r="V960" s="383"/>
    </row>
    <row r="961" spans="1:22" ht="15" customHeight="1">
      <c r="A961" s="3">
        <v>37182</v>
      </c>
      <c r="B961" s="4">
        <v>56300</v>
      </c>
      <c r="D961" s="5">
        <v>16375</v>
      </c>
      <c r="E961" s="5">
        <f t="shared" si="20"/>
        <v>30350</v>
      </c>
      <c r="F961" s="5">
        <v>103025</v>
      </c>
      <c r="K961" s="23">
        <v>475.5</v>
      </c>
      <c r="L961" s="11">
        <v>486.5</v>
      </c>
      <c r="M961" s="270">
        <f t="shared" si="19"/>
        <v>11</v>
      </c>
      <c r="N961" s="7"/>
      <c r="O961" s="277"/>
      <c r="P961" s="345"/>
      <c r="V961" s="383"/>
    </row>
    <row r="962" spans="1:22" ht="15" customHeight="1">
      <c r="A962" s="3">
        <v>37183</v>
      </c>
      <c r="B962" s="4">
        <v>56050</v>
      </c>
      <c r="D962" s="5">
        <v>16375</v>
      </c>
      <c r="E962" s="5">
        <f t="shared" si="20"/>
        <v>30150</v>
      </c>
      <c r="F962" s="5">
        <v>102575</v>
      </c>
      <c r="K962" s="23">
        <v>466</v>
      </c>
      <c r="L962" s="11">
        <v>477</v>
      </c>
      <c r="M962" s="270">
        <f t="shared" si="19"/>
        <v>11</v>
      </c>
      <c r="N962" s="7"/>
      <c r="O962" s="277"/>
      <c r="P962" s="345"/>
      <c r="V962" s="383"/>
    </row>
    <row r="963" spans="1:22" ht="15" customHeight="1">
      <c r="A963" s="3">
        <v>37186</v>
      </c>
      <c r="B963" s="4">
        <v>55950</v>
      </c>
      <c r="D963" s="5">
        <v>16375</v>
      </c>
      <c r="E963" s="5">
        <f t="shared" si="20"/>
        <v>30000</v>
      </c>
      <c r="F963" s="5">
        <v>102325</v>
      </c>
      <c r="K963" s="23">
        <v>457</v>
      </c>
      <c r="L963" s="11">
        <v>467</v>
      </c>
      <c r="M963" s="270">
        <f t="shared" si="19"/>
        <v>10</v>
      </c>
      <c r="N963" s="7"/>
      <c r="O963" s="277"/>
      <c r="P963" s="345"/>
      <c r="V963" s="383"/>
    </row>
    <row r="964" spans="1:22" ht="15" customHeight="1">
      <c r="A964" s="3">
        <v>37187</v>
      </c>
      <c r="B964" s="4">
        <v>55025</v>
      </c>
      <c r="D964" s="5">
        <v>16375</v>
      </c>
      <c r="E964" s="5">
        <f t="shared" si="20"/>
        <v>29800</v>
      </c>
      <c r="F964" s="5">
        <v>101200</v>
      </c>
      <c r="K964" s="23">
        <v>478</v>
      </c>
      <c r="L964" s="11">
        <v>486</v>
      </c>
      <c r="M964" s="270">
        <f t="shared" si="19"/>
        <v>8</v>
      </c>
      <c r="N964" s="7"/>
      <c r="O964" s="277"/>
      <c r="P964" s="345"/>
      <c r="V964" s="383"/>
    </row>
    <row r="965" spans="1:22" ht="15" customHeight="1">
      <c r="A965" s="3">
        <v>37188</v>
      </c>
      <c r="B965" s="4">
        <v>55275</v>
      </c>
      <c r="D965" s="5">
        <v>16375</v>
      </c>
      <c r="E965" s="5">
        <f t="shared" si="20"/>
        <v>29750</v>
      </c>
      <c r="F965" s="5">
        <v>101400</v>
      </c>
      <c r="K965" s="23">
        <v>482</v>
      </c>
      <c r="L965" s="11">
        <v>488</v>
      </c>
      <c r="M965" s="270">
        <f t="shared" si="19"/>
        <v>6</v>
      </c>
      <c r="N965" s="7"/>
      <c r="O965" s="277"/>
      <c r="P965" s="345"/>
      <c r="V965" s="383"/>
    </row>
    <row r="966" spans="1:22" ht="15" customHeight="1">
      <c r="A966" s="3">
        <v>37189</v>
      </c>
      <c r="B966" s="4">
        <v>57175</v>
      </c>
      <c r="D966" s="5">
        <v>16375</v>
      </c>
      <c r="E966" s="5">
        <f t="shared" si="20"/>
        <v>29675</v>
      </c>
      <c r="F966" s="5">
        <v>103225</v>
      </c>
      <c r="K966" s="23">
        <v>477</v>
      </c>
      <c r="L966" s="11">
        <v>482</v>
      </c>
      <c r="M966" s="270">
        <f t="shared" si="19"/>
        <v>5</v>
      </c>
      <c r="N966" s="7"/>
      <c r="O966" s="277"/>
      <c r="P966" s="345"/>
      <c r="V966" s="383"/>
    </row>
    <row r="967" spans="1:22" ht="15" customHeight="1">
      <c r="A967" s="3">
        <v>37190</v>
      </c>
      <c r="B967" s="4">
        <v>57300</v>
      </c>
      <c r="D967" s="5">
        <v>16375</v>
      </c>
      <c r="E967" s="5">
        <f t="shared" si="20"/>
        <v>29650</v>
      </c>
      <c r="F967" s="5">
        <v>103325</v>
      </c>
      <c r="K967" s="23">
        <v>481</v>
      </c>
      <c r="L967" s="11">
        <v>485</v>
      </c>
      <c r="M967" s="270">
        <f t="shared" si="19"/>
        <v>4</v>
      </c>
      <c r="N967" s="7"/>
      <c r="O967" s="277"/>
      <c r="P967" s="345"/>
      <c r="V967" s="383"/>
    </row>
    <row r="968" spans="1:22" ht="15" customHeight="1">
      <c r="A968" s="3">
        <v>37193</v>
      </c>
      <c r="B968" s="4">
        <v>59050</v>
      </c>
      <c r="D968" s="5">
        <v>16375</v>
      </c>
      <c r="E968" s="5">
        <f t="shared" si="20"/>
        <v>29500</v>
      </c>
      <c r="F968" s="5">
        <v>104925</v>
      </c>
      <c r="K968" s="23">
        <v>477.5</v>
      </c>
      <c r="L968" s="11">
        <v>483</v>
      </c>
      <c r="M968" s="270">
        <f t="shared" si="19"/>
        <v>5.5</v>
      </c>
      <c r="N968" s="7"/>
      <c r="O968" s="277"/>
      <c r="P968" s="345"/>
      <c r="V968" s="383"/>
    </row>
    <row r="969" spans="1:22" ht="15" customHeight="1">
      <c r="A969" s="3">
        <v>37194</v>
      </c>
      <c r="B969" s="4">
        <v>58650</v>
      </c>
      <c r="D969" s="5">
        <v>16375</v>
      </c>
      <c r="E969" s="5">
        <f t="shared" si="20"/>
        <v>29350</v>
      </c>
      <c r="F969" s="5">
        <v>104375</v>
      </c>
      <c r="K969" s="23">
        <v>472</v>
      </c>
      <c r="L969" s="11">
        <v>479</v>
      </c>
      <c r="M969" s="270">
        <f t="shared" si="19"/>
        <v>7</v>
      </c>
      <c r="N969" s="7"/>
      <c r="O969" s="277"/>
      <c r="P969" s="345"/>
      <c r="V969" s="383"/>
    </row>
    <row r="970" spans="1:22" ht="15" customHeight="1">
      <c r="A970" s="3">
        <v>37195</v>
      </c>
      <c r="B970" s="4">
        <v>58650</v>
      </c>
      <c r="D970" s="5">
        <v>16375</v>
      </c>
      <c r="E970" s="5">
        <f t="shared" si="20"/>
        <v>28450</v>
      </c>
      <c r="F970" s="5">
        <v>103475</v>
      </c>
      <c r="K970" s="23">
        <v>474</v>
      </c>
      <c r="L970" s="11">
        <v>479</v>
      </c>
      <c r="M970" s="270">
        <f t="shared" si="19"/>
        <v>5</v>
      </c>
      <c r="N970" s="7"/>
      <c r="O970" s="277"/>
      <c r="P970" s="345"/>
      <c r="V970" s="383"/>
    </row>
    <row r="971" spans="1:22" ht="15" customHeight="1">
      <c r="A971" s="3">
        <v>37196</v>
      </c>
      <c r="B971" s="4">
        <v>58675</v>
      </c>
      <c r="D971" s="5">
        <v>16375</v>
      </c>
      <c r="E971" s="5">
        <f t="shared" si="20"/>
        <v>29100</v>
      </c>
      <c r="F971" s="5">
        <v>104150</v>
      </c>
      <c r="K971" s="23">
        <v>479.5</v>
      </c>
      <c r="L971" s="11">
        <v>484</v>
      </c>
      <c r="M971" s="270">
        <f t="shared" si="19"/>
        <v>4.5</v>
      </c>
      <c r="N971" s="7"/>
      <c r="O971" s="277"/>
      <c r="P971" s="345"/>
      <c r="V971" s="383"/>
    </row>
    <row r="972" spans="1:22" ht="15" customHeight="1">
      <c r="A972" s="3">
        <v>37197</v>
      </c>
      <c r="B972" s="4">
        <v>58075</v>
      </c>
      <c r="D972" s="5">
        <v>16375</v>
      </c>
      <c r="E972" s="5">
        <f t="shared" si="20"/>
        <v>28750</v>
      </c>
      <c r="F972" s="5">
        <v>103200</v>
      </c>
      <c r="K972" s="23">
        <v>479</v>
      </c>
      <c r="L972" s="11">
        <v>483</v>
      </c>
      <c r="M972" s="270">
        <f t="shared" si="19"/>
        <v>4</v>
      </c>
      <c r="N972" s="7"/>
      <c r="O972" s="277"/>
      <c r="P972" s="345"/>
      <c r="V972" s="383"/>
    </row>
    <row r="973" spans="1:22" ht="15" customHeight="1">
      <c r="A973" s="3">
        <v>37200</v>
      </c>
      <c r="B973" s="4">
        <v>58075</v>
      </c>
      <c r="D973" s="5">
        <v>16375</v>
      </c>
      <c r="E973" s="5">
        <f t="shared" si="20"/>
        <v>29050</v>
      </c>
      <c r="F973" s="5">
        <v>103500</v>
      </c>
      <c r="K973" s="23">
        <v>466</v>
      </c>
      <c r="L973" s="11">
        <v>471</v>
      </c>
      <c r="M973" s="270">
        <f t="shared" si="19"/>
        <v>5</v>
      </c>
      <c r="N973" s="7"/>
      <c r="O973" s="277"/>
      <c r="P973" s="345"/>
      <c r="V973" s="383"/>
    </row>
    <row r="974" spans="1:22" ht="15" customHeight="1">
      <c r="A974" s="3">
        <v>37201</v>
      </c>
      <c r="B974" s="4">
        <v>57200</v>
      </c>
      <c r="D974" s="5">
        <v>16375</v>
      </c>
      <c r="E974" s="5">
        <f t="shared" si="20"/>
        <v>29050</v>
      </c>
      <c r="F974" s="5">
        <v>102625</v>
      </c>
      <c r="K974" s="23">
        <v>463</v>
      </c>
      <c r="L974" s="11">
        <v>469</v>
      </c>
      <c r="M974" s="270">
        <f t="shared" si="19"/>
        <v>6</v>
      </c>
      <c r="N974" s="7"/>
      <c r="O974" s="277"/>
      <c r="P974" s="345"/>
      <c r="V974" s="383"/>
    </row>
    <row r="975" spans="1:22" ht="15" customHeight="1">
      <c r="A975" s="3">
        <v>37202</v>
      </c>
      <c r="B975" s="4">
        <v>56875</v>
      </c>
      <c r="D975" s="5">
        <v>16375</v>
      </c>
      <c r="E975" s="5">
        <f t="shared" si="20"/>
        <v>29025</v>
      </c>
      <c r="F975" s="5">
        <v>102275</v>
      </c>
      <c r="K975" s="23">
        <v>458</v>
      </c>
      <c r="L975" s="11">
        <v>468</v>
      </c>
      <c r="M975" s="270">
        <f t="shared" si="19"/>
        <v>10</v>
      </c>
      <c r="N975" s="7"/>
      <c r="O975" s="277"/>
      <c r="P975" s="345"/>
      <c r="V975" s="383"/>
    </row>
    <row r="976" spans="1:22" ht="15" customHeight="1">
      <c r="A976" s="3">
        <v>37203</v>
      </c>
      <c r="B976" s="4">
        <v>56750</v>
      </c>
      <c r="D976" s="5">
        <v>16375</v>
      </c>
      <c r="E976" s="5">
        <f t="shared" si="20"/>
        <v>28975</v>
      </c>
      <c r="F976" s="5">
        <v>102100</v>
      </c>
      <c r="K976" s="23">
        <v>469</v>
      </c>
      <c r="L976" s="11">
        <v>472.5</v>
      </c>
      <c r="M976" s="270">
        <f t="shared" si="19"/>
        <v>3.5</v>
      </c>
      <c r="N976" s="7"/>
      <c r="O976" s="277"/>
      <c r="P976" s="345"/>
      <c r="V976" s="383"/>
    </row>
    <row r="977" spans="1:22" ht="15" customHeight="1">
      <c r="A977" s="3">
        <v>37204</v>
      </c>
      <c r="B977" s="4">
        <v>57175</v>
      </c>
      <c r="D977" s="5">
        <v>16375</v>
      </c>
      <c r="E977" s="5">
        <f t="shared" si="20"/>
        <v>28975</v>
      </c>
      <c r="F977" s="5">
        <v>102525</v>
      </c>
      <c r="K977" s="23">
        <v>488</v>
      </c>
      <c r="L977" s="11">
        <v>486</v>
      </c>
      <c r="M977" s="270">
        <f t="shared" si="19"/>
        <v>-2</v>
      </c>
      <c r="N977" s="7"/>
      <c r="O977" s="277"/>
      <c r="P977" s="345"/>
      <c r="V977" s="383"/>
    </row>
    <row r="978" spans="1:22" ht="15" customHeight="1">
      <c r="A978" s="3">
        <v>37207</v>
      </c>
      <c r="B978" s="4">
        <v>57175</v>
      </c>
      <c r="D978" s="5">
        <v>16375</v>
      </c>
      <c r="E978" s="5">
        <f t="shared" si="20"/>
        <v>28975</v>
      </c>
      <c r="F978" s="5">
        <v>102525</v>
      </c>
      <c r="K978" s="23">
        <v>496</v>
      </c>
      <c r="L978" s="11">
        <v>491</v>
      </c>
      <c r="M978" s="270">
        <f t="shared" si="19"/>
        <v>-5</v>
      </c>
      <c r="N978" s="7"/>
      <c r="O978" s="277"/>
      <c r="P978" s="345"/>
      <c r="V978" s="383"/>
    </row>
    <row r="979" spans="1:22" ht="15" customHeight="1">
      <c r="A979" s="3">
        <v>37208</v>
      </c>
      <c r="B979" s="4">
        <v>57500</v>
      </c>
      <c r="D979" s="5">
        <v>16375</v>
      </c>
      <c r="E979" s="5">
        <f t="shared" si="20"/>
        <v>28925</v>
      </c>
      <c r="F979" s="1">
        <v>102800</v>
      </c>
      <c r="G979" s="1"/>
      <c r="H979" s="1"/>
      <c r="I979" s="1"/>
      <c r="J979" s="266"/>
      <c r="K979" s="23">
        <v>493</v>
      </c>
      <c r="L979" s="11">
        <v>490</v>
      </c>
      <c r="M979" s="270">
        <f t="shared" si="19"/>
        <v>-3</v>
      </c>
      <c r="N979" s="7"/>
      <c r="O979" s="277"/>
      <c r="P979" s="345"/>
      <c r="V979" s="383"/>
    </row>
    <row r="980" spans="1:22" ht="15" customHeight="1">
      <c r="A980" s="3">
        <v>37209</v>
      </c>
      <c r="B980" s="4">
        <v>60050</v>
      </c>
      <c r="D980" s="5">
        <v>16375</v>
      </c>
      <c r="E980" s="5">
        <f t="shared" si="20"/>
        <v>28925</v>
      </c>
      <c r="F980" s="1">
        <v>105350</v>
      </c>
      <c r="G980" s="1"/>
      <c r="H980" s="1"/>
      <c r="I980" s="1"/>
      <c r="J980" s="266"/>
      <c r="K980" s="23">
        <v>487</v>
      </c>
      <c r="L980" s="11">
        <v>490</v>
      </c>
      <c r="M980" s="270">
        <f t="shared" si="19"/>
        <v>3</v>
      </c>
      <c r="N980" s="7"/>
      <c r="O980" s="277"/>
      <c r="P980" s="345"/>
      <c r="V980" s="383"/>
    </row>
    <row r="981" spans="1:22" ht="15" customHeight="1">
      <c r="A981" s="3">
        <v>37210</v>
      </c>
      <c r="B981" s="4">
        <v>59900</v>
      </c>
      <c r="D981" s="5">
        <v>16375</v>
      </c>
      <c r="E981" s="5">
        <f t="shared" si="20"/>
        <v>28925</v>
      </c>
      <c r="F981" s="1">
        <v>105200</v>
      </c>
      <c r="G981" s="1"/>
      <c r="H981" s="1"/>
      <c r="I981" s="1"/>
      <c r="J981" s="266"/>
      <c r="K981" s="23">
        <v>490</v>
      </c>
      <c r="L981" s="11">
        <v>489</v>
      </c>
      <c r="M981" s="270">
        <f t="shared" si="19"/>
        <v>-1</v>
      </c>
      <c r="N981" s="7"/>
      <c r="O981" s="277"/>
      <c r="P981" s="345"/>
      <c r="V981" s="383"/>
    </row>
    <row r="982" spans="1:22" ht="15" customHeight="1">
      <c r="A982" s="3">
        <v>37211</v>
      </c>
      <c r="B982" s="4">
        <v>60150</v>
      </c>
      <c r="D982" s="5">
        <v>16375</v>
      </c>
      <c r="E982" s="5">
        <f t="shared" si="20"/>
        <v>28925</v>
      </c>
      <c r="F982" s="1">
        <v>105450</v>
      </c>
      <c r="G982" s="1"/>
      <c r="H982" s="1"/>
      <c r="I982" s="1"/>
      <c r="J982" s="266"/>
      <c r="K982" s="23">
        <v>493</v>
      </c>
      <c r="L982" s="11">
        <v>492</v>
      </c>
      <c r="M982" s="270">
        <f t="shared" si="19"/>
        <v>-1</v>
      </c>
      <c r="N982" s="7"/>
      <c r="O982" s="277"/>
      <c r="P982" s="345"/>
      <c r="V982" s="383"/>
    </row>
    <row r="983" spans="1:22" ht="15" customHeight="1">
      <c r="A983" s="3">
        <v>37214</v>
      </c>
      <c r="B983" s="4">
        <v>61400</v>
      </c>
      <c r="D983" s="5">
        <v>16375</v>
      </c>
      <c r="E983" s="5">
        <f t="shared" si="20"/>
        <v>28925</v>
      </c>
      <c r="F983" s="5">
        <v>106700</v>
      </c>
      <c r="K983" s="23">
        <v>492</v>
      </c>
      <c r="L983" s="11">
        <v>491</v>
      </c>
      <c r="M983" s="270">
        <f t="shared" si="19"/>
        <v>-1</v>
      </c>
      <c r="N983" s="7"/>
      <c r="O983" s="277"/>
      <c r="P983" s="345"/>
      <c r="V983" s="383"/>
    </row>
    <row r="984" spans="1:22" ht="15" customHeight="1">
      <c r="A984" s="3">
        <v>37215</v>
      </c>
      <c r="B984" s="4">
        <v>61150</v>
      </c>
      <c r="D984" s="5">
        <v>16375</v>
      </c>
      <c r="E984" s="5">
        <f t="shared" si="20"/>
        <v>28675</v>
      </c>
      <c r="F984" s="1">
        <v>106200</v>
      </c>
      <c r="G984" s="1"/>
      <c r="H984" s="1"/>
      <c r="I984" s="1"/>
      <c r="J984" s="266"/>
      <c r="K984" s="23">
        <v>492</v>
      </c>
      <c r="L984" s="11">
        <v>487</v>
      </c>
      <c r="M984" s="270">
        <f t="shared" si="19"/>
        <v>-5</v>
      </c>
      <c r="N984" s="7"/>
      <c r="O984" s="277"/>
      <c r="P984" s="345"/>
      <c r="V984" s="383"/>
    </row>
    <row r="985" spans="1:22" ht="15" customHeight="1">
      <c r="A985" s="3">
        <v>37216</v>
      </c>
      <c r="B985" s="4">
        <v>62000</v>
      </c>
      <c r="D985" s="5">
        <v>18050</v>
      </c>
      <c r="E985" s="5">
        <f t="shared" si="20"/>
        <v>28450</v>
      </c>
      <c r="F985" s="1">
        <v>108500</v>
      </c>
      <c r="G985" s="1"/>
      <c r="H985" s="1"/>
      <c r="I985" s="1"/>
      <c r="J985" s="266"/>
      <c r="K985" s="23">
        <v>491.5</v>
      </c>
      <c r="L985" s="11">
        <v>489.5</v>
      </c>
      <c r="M985" s="270">
        <f t="shared" si="19"/>
        <v>-2</v>
      </c>
      <c r="N985" s="7"/>
      <c r="O985" s="277"/>
      <c r="P985" s="345"/>
      <c r="V985" s="383"/>
    </row>
    <row r="986" spans="1:22" ht="15" customHeight="1">
      <c r="A986" s="3">
        <v>37217</v>
      </c>
      <c r="B986" s="4">
        <v>61900</v>
      </c>
      <c r="D986" s="5">
        <v>18050</v>
      </c>
      <c r="E986" s="5">
        <f t="shared" si="20"/>
        <v>28325</v>
      </c>
      <c r="F986" s="1">
        <v>108275</v>
      </c>
      <c r="G986" s="1"/>
      <c r="H986" s="1"/>
      <c r="I986" s="1"/>
      <c r="J986" s="266"/>
      <c r="K986" s="23">
        <v>485.5</v>
      </c>
      <c r="L986" s="11">
        <v>486</v>
      </c>
      <c r="M986" s="270">
        <f t="shared" si="19"/>
        <v>0.5</v>
      </c>
      <c r="N986" s="7"/>
      <c r="O986" s="277"/>
      <c r="P986" s="345"/>
      <c r="V986" s="383"/>
    </row>
    <row r="987" spans="1:22" ht="15" customHeight="1">
      <c r="A987" s="3">
        <v>37218</v>
      </c>
      <c r="B987" s="4">
        <v>61825</v>
      </c>
      <c r="D987" s="5">
        <v>18050</v>
      </c>
      <c r="E987" s="5">
        <f t="shared" si="20"/>
        <v>27725</v>
      </c>
      <c r="F987" s="1">
        <v>107600</v>
      </c>
      <c r="G987" s="1"/>
      <c r="H987" s="1"/>
      <c r="I987" s="1"/>
      <c r="J987" s="266"/>
      <c r="K987" s="23">
        <v>491.5</v>
      </c>
      <c r="L987" s="11">
        <v>487</v>
      </c>
      <c r="M987" s="270">
        <f t="shared" si="19"/>
        <v>-4.5</v>
      </c>
      <c r="N987" s="7"/>
      <c r="O987" s="277"/>
      <c r="P987" s="345"/>
      <c r="V987" s="383"/>
    </row>
    <row r="988" spans="1:22" ht="15" customHeight="1">
      <c r="A988" s="3">
        <v>37221</v>
      </c>
      <c r="B988" s="4">
        <v>60325</v>
      </c>
      <c r="D988" s="5">
        <v>18050</v>
      </c>
      <c r="E988" s="5">
        <f t="shared" si="20"/>
        <v>27475</v>
      </c>
      <c r="F988" s="1">
        <v>105850</v>
      </c>
      <c r="G988" s="1"/>
      <c r="H988" s="1"/>
      <c r="I988" s="1"/>
      <c r="J988" s="266"/>
      <c r="K988" s="23">
        <v>506.5</v>
      </c>
      <c r="L988" s="11">
        <v>498</v>
      </c>
      <c r="M988" s="270">
        <f t="shared" si="19"/>
        <v>-8.5</v>
      </c>
      <c r="N988" s="7"/>
      <c r="O988" s="277"/>
      <c r="P988" s="345"/>
      <c r="V988" s="383"/>
    </row>
    <row r="989" spans="1:22" ht="15" customHeight="1">
      <c r="A989" s="3">
        <v>37222</v>
      </c>
      <c r="B989" s="4">
        <v>61875</v>
      </c>
      <c r="D989" s="5">
        <v>18050</v>
      </c>
      <c r="E989" s="5">
        <f t="shared" si="20"/>
        <v>27425</v>
      </c>
      <c r="F989" s="1">
        <v>107350</v>
      </c>
      <c r="G989" s="1"/>
      <c r="H989" s="1"/>
      <c r="I989" s="1"/>
      <c r="J989" s="266"/>
      <c r="K989" s="23">
        <v>501</v>
      </c>
      <c r="L989" s="11">
        <v>496</v>
      </c>
      <c r="M989" s="270">
        <f t="shared" si="19"/>
        <v>-5</v>
      </c>
      <c r="N989" s="7"/>
      <c r="O989" s="277"/>
      <c r="P989" s="345"/>
      <c r="V989" s="383"/>
    </row>
    <row r="990" spans="1:22" ht="15" customHeight="1">
      <c r="A990" s="3">
        <v>37223</v>
      </c>
      <c r="B990" s="4">
        <v>62350</v>
      </c>
      <c r="D990" s="5">
        <v>18050</v>
      </c>
      <c r="E990" s="5">
        <f t="shared" si="20"/>
        <v>27425</v>
      </c>
      <c r="F990" s="1">
        <v>107825</v>
      </c>
      <c r="G990" s="1"/>
      <c r="H990" s="1"/>
      <c r="I990" s="1"/>
      <c r="J990" s="266"/>
      <c r="K990" s="23">
        <v>490</v>
      </c>
      <c r="L990" s="11">
        <v>486.5</v>
      </c>
      <c r="M990" s="270">
        <f t="shared" si="19"/>
        <v>-3.5</v>
      </c>
      <c r="N990" s="7"/>
      <c r="O990" s="277"/>
      <c r="P990" s="345"/>
      <c r="V990" s="383"/>
    </row>
    <row r="991" spans="1:22" ht="15" customHeight="1">
      <c r="A991" s="3">
        <v>37224</v>
      </c>
      <c r="B991" s="4">
        <v>62175</v>
      </c>
      <c r="D991" s="5">
        <v>18050</v>
      </c>
      <c r="E991" s="5">
        <f t="shared" si="20"/>
        <v>27425</v>
      </c>
      <c r="F991" s="1">
        <v>107650</v>
      </c>
      <c r="G991" s="1"/>
      <c r="H991" s="1"/>
      <c r="I991" s="1"/>
      <c r="J991" s="266"/>
      <c r="K991" s="23">
        <v>497</v>
      </c>
      <c r="L991" s="11">
        <v>492</v>
      </c>
      <c r="M991" s="270">
        <f t="shared" si="19"/>
        <v>-5</v>
      </c>
      <c r="N991" s="7"/>
      <c r="O991" s="277"/>
      <c r="P991" s="345"/>
      <c r="V991" s="383"/>
    </row>
    <row r="992" spans="1:22" ht="15" customHeight="1">
      <c r="A992" s="3">
        <v>37225</v>
      </c>
      <c r="B992" s="4">
        <v>62475</v>
      </c>
      <c r="D992" s="5">
        <v>18050</v>
      </c>
      <c r="E992" s="5">
        <f t="shared" si="20"/>
        <v>27375</v>
      </c>
      <c r="F992" s="1">
        <v>107900</v>
      </c>
      <c r="G992" s="1"/>
      <c r="H992" s="1"/>
      <c r="I992" s="1"/>
      <c r="J992" s="266"/>
      <c r="K992" s="23">
        <v>494</v>
      </c>
      <c r="L992" s="11">
        <v>484</v>
      </c>
      <c r="M992" s="270">
        <f t="shared" si="19"/>
        <v>-10</v>
      </c>
      <c r="N992" s="7"/>
      <c r="O992" s="277"/>
      <c r="P992" s="345"/>
      <c r="V992" s="383"/>
    </row>
    <row r="993" spans="1:22" ht="15" customHeight="1">
      <c r="A993" s="3">
        <v>37228</v>
      </c>
      <c r="B993" s="4">
        <v>60900</v>
      </c>
      <c r="D993" s="5">
        <v>18050</v>
      </c>
      <c r="E993" s="5">
        <f t="shared" si="20"/>
        <v>27375</v>
      </c>
      <c r="F993" s="1">
        <v>106325</v>
      </c>
      <c r="G993" s="1"/>
      <c r="H993" s="1"/>
      <c r="I993" s="1"/>
      <c r="J993" s="266"/>
      <c r="K993" s="23">
        <v>485</v>
      </c>
      <c r="L993" s="11">
        <v>480</v>
      </c>
      <c r="M993" s="270">
        <f t="shared" si="19"/>
        <v>-5</v>
      </c>
      <c r="N993" s="7"/>
      <c r="O993" s="277"/>
      <c r="P993" s="345"/>
      <c r="V993" s="383"/>
    </row>
    <row r="994" spans="1:22" ht="15" customHeight="1">
      <c r="A994" s="3">
        <v>37229</v>
      </c>
      <c r="B994" s="4">
        <v>60900</v>
      </c>
      <c r="D994" s="5">
        <v>18050</v>
      </c>
      <c r="E994" s="5">
        <f t="shared" si="20"/>
        <v>27100</v>
      </c>
      <c r="F994" s="1">
        <v>106050</v>
      </c>
      <c r="G994" s="1"/>
      <c r="H994" s="1"/>
      <c r="I994" s="1"/>
      <c r="J994" s="266"/>
      <c r="K994" s="23">
        <v>484</v>
      </c>
      <c r="L994" s="11">
        <v>477</v>
      </c>
      <c r="M994" s="270">
        <f t="shared" si="19"/>
        <v>-7</v>
      </c>
      <c r="N994" s="7"/>
      <c r="O994" s="277"/>
      <c r="P994" s="345"/>
      <c r="V994" s="383"/>
    </row>
    <row r="995" spans="1:22" ht="15" customHeight="1">
      <c r="A995" s="3">
        <v>37230</v>
      </c>
      <c r="B995" s="4">
        <v>61000</v>
      </c>
      <c r="D995" s="5">
        <v>18050</v>
      </c>
      <c r="E995" s="5">
        <f t="shared" si="20"/>
        <v>27100</v>
      </c>
      <c r="F995" s="1">
        <v>106150</v>
      </c>
      <c r="G995" s="1"/>
      <c r="H995" s="1"/>
      <c r="I995" s="1"/>
      <c r="J995" s="266"/>
      <c r="K995" s="23">
        <v>475</v>
      </c>
      <c r="L995" s="11">
        <v>473.5</v>
      </c>
      <c r="M995" s="270">
        <f t="shared" si="19"/>
        <v>-1.5</v>
      </c>
      <c r="N995" s="7"/>
      <c r="O995" s="277"/>
      <c r="P995" s="345"/>
      <c r="V995" s="383"/>
    </row>
    <row r="996" spans="1:22" ht="15" customHeight="1">
      <c r="A996" s="3">
        <v>37231</v>
      </c>
      <c r="B996" s="4">
        <v>60850</v>
      </c>
      <c r="D996" s="5">
        <v>18050</v>
      </c>
      <c r="E996" s="5">
        <f t="shared" si="20"/>
        <v>26025</v>
      </c>
      <c r="F996" s="1">
        <v>104925</v>
      </c>
      <c r="G996" s="1"/>
      <c r="H996" s="1"/>
      <c r="I996" s="1"/>
      <c r="J996" s="266"/>
      <c r="K996" s="23">
        <v>486</v>
      </c>
      <c r="L996" s="11">
        <v>482</v>
      </c>
      <c r="M996" s="270">
        <f t="shared" si="19"/>
        <v>-4</v>
      </c>
      <c r="N996" s="7"/>
      <c r="O996" s="277"/>
      <c r="P996" s="345"/>
      <c r="V996" s="383"/>
    </row>
    <row r="997" spans="1:22" ht="15" customHeight="1">
      <c r="A997" s="3">
        <v>37232</v>
      </c>
      <c r="B997" s="4">
        <v>60750</v>
      </c>
      <c r="D997" s="5">
        <v>18050</v>
      </c>
      <c r="E997" s="5">
        <f t="shared" si="20"/>
        <v>25625</v>
      </c>
      <c r="F997" s="1">
        <v>104425</v>
      </c>
      <c r="G997" s="1"/>
      <c r="H997" s="1"/>
      <c r="I997" s="1"/>
      <c r="J997" s="266"/>
      <c r="K997" s="23">
        <v>479</v>
      </c>
      <c r="L997" s="11">
        <v>473</v>
      </c>
      <c r="M997" s="270">
        <f t="shared" si="19"/>
        <v>-6</v>
      </c>
      <c r="N997" s="7"/>
      <c r="O997" s="277"/>
      <c r="P997" s="345"/>
      <c r="V997" s="383"/>
    </row>
    <row r="998" spans="1:22" ht="15" customHeight="1">
      <c r="A998" s="3">
        <v>37235</v>
      </c>
      <c r="B998" s="4">
        <v>60350</v>
      </c>
      <c r="D998" s="5">
        <v>18725</v>
      </c>
      <c r="E998" s="5">
        <f t="shared" si="20"/>
        <v>25100</v>
      </c>
      <c r="F998" s="1">
        <v>104175</v>
      </c>
      <c r="G998" s="1"/>
      <c r="H998" s="1"/>
      <c r="I998" s="1"/>
      <c r="J998" s="266"/>
      <c r="K998" s="23">
        <v>473</v>
      </c>
      <c r="L998" s="11">
        <v>470</v>
      </c>
      <c r="M998" s="270">
        <f t="shared" si="19"/>
        <v>-3</v>
      </c>
      <c r="N998" s="7"/>
      <c r="O998" s="277"/>
      <c r="P998" s="345"/>
      <c r="V998" s="383"/>
    </row>
    <row r="999" spans="1:22" ht="15" customHeight="1">
      <c r="A999" s="3">
        <v>37236</v>
      </c>
      <c r="B999" s="4">
        <v>52225</v>
      </c>
      <c r="D999" s="5">
        <v>19000</v>
      </c>
      <c r="E999" s="5">
        <f t="shared" si="20"/>
        <v>24975</v>
      </c>
      <c r="F999" s="1">
        <v>96200</v>
      </c>
      <c r="G999" s="1"/>
      <c r="H999" s="1"/>
      <c r="I999" s="1"/>
      <c r="J999" s="266"/>
      <c r="K999" s="23">
        <v>482</v>
      </c>
      <c r="L999" s="11">
        <v>478</v>
      </c>
      <c r="M999" s="270">
        <f t="shared" si="19"/>
        <v>-4</v>
      </c>
      <c r="N999" s="7"/>
      <c r="O999" s="277"/>
      <c r="P999" s="345"/>
      <c r="V999" s="383"/>
    </row>
    <row r="1000" spans="1:22" ht="15" customHeight="1">
      <c r="A1000" s="3">
        <v>37237</v>
      </c>
      <c r="B1000" s="4">
        <v>51175</v>
      </c>
      <c r="D1000" s="5">
        <v>19000</v>
      </c>
      <c r="E1000" s="5">
        <f t="shared" si="20"/>
        <v>24900</v>
      </c>
      <c r="F1000" s="1">
        <v>95075</v>
      </c>
      <c r="G1000" s="1"/>
      <c r="H1000" s="1"/>
      <c r="I1000" s="1"/>
      <c r="J1000" s="266"/>
      <c r="K1000" s="23">
        <v>473</v>
      </c>
      <c r="L1000" s="11">
        <v>477</v>
      </c>
      <c r="M1000" s="270">
        <f t="shared" si="19"/>
        <v>4</v>
      </c>
      <c r="N1000" s="7"/>
      <c r="O1000" s="277"/>
      <c r="P1000" s="345"/>
      <c r="V1000" s="383"/>
    </row>
    <row r="1001" spans="1:22" ht="15" customHeight="1">
      <c r="A1001" s="3">
        <v>37238</v>
      </c>
      <c r="B1001" s="4">
        <v>49625</v>
      </c>
      <c r="D1001" s="5">
        <v>19125</v>
      </c>
      <c r="E1001" s="5">
        <f t="shared" si="20"/>
        <v>24825</v>
      </c>
      <c r="F1001" s="1">
        <v>93575</v>
      </c>
      <c r="G1001" s="1"/>
      <c r="H1001" s="1"/>
      <c r="I1001" s="1"/>
      <c r="J1001" s="266"/>
      <c r="K1001" s="23">
        <v>469.5</v>
      </c>
      <c r="L1001" s="11">
        <v>472</v>
      </c>
      <c r="M1001" s="270">
        <f t="shared" si="19"/>
        <v>2.5</v>
      </c>
      <c r="N1001" s="7"/>
      <c r="O1001" s="277"/>
      <c r="P1001" s="345"/>
      <c r="V1001" s="383"/>
    </row>
    <row r="1002" spans="1:22" ht="15" customHeight="1">
      <c r="A1002" s="3">
        <v>37239</v>
      </c>
      <c r="B1002" s="4">
        <v>47000</v>
      </c>
      <c r="D1002" s="5">
        <v>19125</v>
      </c>
      <c r="E1002" s="5">
        <f t="shared" si="20"/>
        <v>24700</v>
      </c>
      <c r="F1002" s="1">
        <v>90825</v>
      </c>
      <c r="G1002" s="1"/>
      <c r="H1002" s="1"/>
      <c r="I1002" s="1"/>
      <c r="J1002" s="266"/>
      <c r="K1002" s="23">
        <v>472</v>
      </c>
      <c r="L1002" s="11">
        <v>471</v>
      </c>
      <c r="M1002" s="270">
        <f t="shared" si="19"/>
        <v>-1</v>
      </c>
      <c r="N1002" s="7"/>
      <c r="O1002" s="277"/>
      <c r="P1002" s="345"/>
      <c r="V1002" s="383"/>
    </row>
    <row r="1003" spans="1:22" ht="15" customHeight="1">
      <c r="A1003" s="3">
        <v>37242</v>
      </c>
      <c r="B1003" s="4">
        <v>45450</v>
      </c>
      <c r="D1003" s="5">
        <v>19125</v>
      </c>
      <c r="E1003" s="5">
        <f t="shared" si="20"/>
        <v>24575</v>
      </c>
      <c r="F1003" s="1">
        <v>89150</v>
      </c>
      <c r="G1003" s="1"/>
      <c r="H1003" s="1"/>
      <c r="I1003" s="1"/>
      <c r="J1003" s="266"/>
      <c r="K1003" s="23">
        <v>474</v>
      </c>
      <c r="L1003" s="11">
        <v>472.5</v>
      </c>
      <c r="M1003" s="270">
        <f t="shared" si="19"/>
        <v>-1.5</v>
      </c>
      <c r="N1003" s="7"/>
      <c r="O1003" s="277"/>
      <c r="P1003" s="345"/>
      <c r="V1003" s="383"/>
    </row>
    <row r="1004" spans="1:22" ht="15" customHeight="1">
      <c r="A1004" s="3">
        <v>37243</v>
      </c>
      <c r="B1004" s="4">
        <v>43325</v>
      </c>
      <c r="D1004" s="5">
        <v>19250</v>
      </c>
      <c r="E1004" s="5">
        <f t="shared" si="20"/>
        <v>24425</v>
      </c>
      <c r="F1004" s="1">
        <v>87000</v>
      </c>
      <c r="G1004" s="1"/>
      <c r="H1004" s="1"/>
      <c r="I1004" s="1"/>
      <c r="J1004" s="266"/>
      <c r="K1004" s="23">
        <v>473</v>
      </c>
      <c r="L1004" s="11">
        <v>474.5</v>
      </c>
      <c r="M1004" s="270">
        <f t="shared" si="19"/>
        <v>1.5</v>
      </c>
      <c r="N1004" s="7"/>
      <c r="O1004" s="277"/>
      <c r="P1004" s="345"/>
      <c r="V1004" s="383"/>
    </row>
    <row r="1005" spans="1:22" ht="15" customHeight="1">
      <c r="A1005" s="3">
        <v>37244</v>
      </c>
      <c r="B1005" s="4">
        <v>46500</v>
      </c>
      <c r="D1005" s="5">
        <v>19250</v>
      </c>
      <c r="E1005" s="5">
        <f t="shared" si="20"/>
        <v>24275</v>
      </c>
      <c r="F1005" s="1">
        <v>90025</v>
      </c>
      <c r="G1005" s="1"/>
      <c r="H1005" s="1"/>
      <c r="I1005" s="1"/>
      <c r="J1005" s="266"/>
      <c r="K1005" s="23">
        <v>489</v>
      </c>
      <c r="L1005" s="11">
        <v>490</v>
      </c>
      <c r="M1005" s="270">
        <f t="shared" si="19"/>
        <v>1</v>
      </c>
      <c r="N1005" s="7"/>
      <c r="O1005" s="277"/>
      <c r="P1005" s="345"/>
      <c r="V1005" s="383"/>
    </row>
    <row r="1006" spans="1:22" ht="15" customHeight="1">
      <c r="A1006" s="3">
        <v>37245</v>
      </c>
      <c r="B1006" s="4">
        <v>46350</v>
      </c>
      <c r="D1006" s="5">
        <v>19250</v>
      </c>
      <c r="E1006" s="5">
        <f t="shared" si="20"/>
        <v>25025</v>
      </c>
      <c r="F1006" s="1">
        <v>90625</v>
      </c>
      <c r="G1006" s="1"/>
      <c r="H1006" s="1"/>
      <c r="I1006" s="1"/>
      <c r="J1006" s="266"/>
      <c r="K1006" s="23">
        <v>490</v>
      </c>
      <c r="L1006" s="11">
        <v>490</v>
      </c>
      <c r="M1006" s="270">
        <f t="shared" si="19"/>
        <v>0</v>
      </c>
      <c r="N1006" s="7"/>
      <c r="O1006" s="277"/>
      <c r="P1006" s="345"/>
      <c r="V1006" s="383"/>
    </row>
    <row r="1007" spans="1:22" ht="15" customHeight="1">
      <c r="A1007" s="3">
        <v>37246</v>
      </c>
      <c r="B1007" s="4">
        <v>47900</v>
      </c>
      <c r="D1007" s="5">
        <v>19250</v>
      </c>
      <c r="E1007" s="5">
        <f t="shared" si="20"/>
        <v>25525</v>
      </c>
      <c r="F1007" s="1">
        <v>92675</v>
      </c>
      <c r="G1007" s="1"/>
      <c r="H1007" s="1"/>
      <c r="I1007" s="1"/>
      <c r="J1007" s="266"/>
      <c r="K1007" s="23">
        <v>500</v>
      </c>
      <c r="L1007" s="11">
        <v>497</v>
      </c>
      <c r="M1007" s="270">
        <f t="shared" si="19"/>
        <v>-3</v>
      </c>
      <c r="N1007" s="7"/>
      <c r="O1007" s="277"/>
      <c r="P1007" s="345"/>
      <c r="V1007" s="383"/>
    </row>
    <row r="1008" spans="1:22" ht="15" customHeight="1">
      <c r="A1008" s="3">
        <v>37252</v>
      </c>
      <c r="B1008" s="4">
        <v>51275</v>
      </c>
      <c r="D1008" s="5">
        <v>19875</v>
      </c>
      <c r="E1008" s="5">
        <f t="shared" si="20"/>
        <v>25450</v>
      </c>
      <c r="F1008" s="1">
        <v>96600</v>
      </c>
      <c r="G1008" s="1"/>
      <c r="H1008" s="1"/>
      <c r="I1008" s="1"/>
      <c r="J1008" s="266"/>
      <c r="K1008" s="23">
        <v>507</v>
      </c>
      <c r="L1008" s="11">
        <v>500</v>
      </c>
      <c r="M1008" s="270">
        <f t="shared" si="19"/>
        <v>-7</v>
      </c>
      <c r="N1008" s="7"/>
      <c r="O1008" s="277"/>
      <c r="P1008" s="345"/>
      <c r="V1008" s="383"/>
    </row>
    <row r="1009" spans="1:22" ht="15" customHeight="1">
      <c r="A1009" s="3">
        <v>37253</v>
      </c>
      <c r="B1009" s="4">
        <v>50650</v>
      </c>
      <c r="D1009" s="5">
        <v>21000</v>
      </c>
      <c r="E1009" s="5">
        <f t="shared" si="20"/>
        <v>25400</v>
      </c>
      <c r="F1009" s="1">
        <v>97050</v>
      </c>
      <c r="G1009" s="1"/>
      <c r="H1009" s="1"/>
      <c r="I1009" s="1"/>
      <c r="J1009" s="266"/>
      <c r="K1009" s="23">
        <v>504</v>
      </c>
      <c r="L1009" s="11">
        <v>498</v>
      </c>
      <c r="M1009" s="270">
        <f t="shared" si="19"/>
        <v>-6</v>
      </c>
      <c r="N1009" s="7"/>
      <c r="O1009" s="277"/>
      <c r="P1009" s="345"/>
      <c r="V1009" s="383"/>
    </row>
    <row r="1010" spans="1:22" ht="15" customHeight="1">
      <c r="A1010" s="3">
        <v>37258</v>
      </c>
      <c r="B1010" s="4">
        <v>50650</v>
      </c>
      <c r="D1010" s="5">
        <v>21650</v>
      </c>
      <c r="E1010" s="5">
        <f t="shared" si="20"/>
        <v>25400</v>
      </c>
      <c r="F1010" s="1">
        <v>97700</v>
      </c>
      <c r="G1010" s="1"/>
      <c r="H1010" s="1"/>
      <c r="I1010" s="1"/>
      <c r="J1010" s="266"/>
      <c r="K1010" s="23">
        <v>517.5</v>
      </c>
      <c r="L1010" s="11">
        <v>509</v>
      </c>
      <c r="M1010" s="270">
        <f t="shared" si="19"/>
        <v>-8.5</v>
      </c>
      <c r="N1010" s="7"/>
      <c r="O1010" s="277"/>
      <c r="P1010" s="345"/>
      <c r="V1010" s="383"/>
    </row>
    <row r="1011" spans="1:22" ht="15" customHeight="1">
      <c r="A1011" s="3">
        <v>37259</v>
      </c>
      <c r="B1011" s="4">
        <v>49950</v>
      </c>
      <c r="D1011" s="5">
        <v>21650</v>
      </c>
      <c r="E1011" s="5">
        <f t="shared" si="20"/>
        <v>25400</v>
      </c>
      <c r="F1011" s="1">
        <v>97000</v>
      </c>
      <c r="G1011" s="1"/>
      <c r="H1011" s="1"/>
      <c r="I1011" s="1"/>
      <c r="J1011" s="266"/>
      <c r="K1011" s="23">
        <v>523</v>
      </c>
      <c r="L1011" s="11">
        <v>518</v>
      </c>
      <c r="M1011" s="270">
        <f t="shared" si="19"/>
        <v>-5</v>
      </c>
      <c r="N1011" s="7"/>
      <c r="O1011" s="277"/>
      <c r="P1011" s="345"/>
      <c r="V1011" s="383"/>
    </row>
    <row r="1012" spans="1:22" ht="15" customHeight="1">
      <c r="A1012" s="3">
        <v>37260</v>
      </c>
      <c r="B1012" s="4">
        <v>50100</v>
      </c>
      <c r="D1012" s="5">
        <v>23000</v>
      </c>
      <c r="E1012" s="5">
        <f t="shared" si="20"/>
        <v>26050</v>
      </c>
      <c r="F1012" s="1">
        <v>99150</v>
      </c>
      <c r="G1012" s="1"/>
      <c r="H1012" s="1"/>
      <c r="I1012" s="1"/>
      <c r="J1012" s="266"/>
      <c r="K1012" s="23">
        <v>517</v>
      </c>
      <c r="L1012" s="11">
        <v>515.5</v>
      </c>
      <c r="M1012" s="270">
        <f t="shared" si="19"/>
        <v>-1.5</v>
      </c>
      <c r="N1012" s="7"/>
      <c r="O1012" s="277"/>
      <c r="P1012" s="345"/>
      <c r="V1012" s="383"/>
    </row>
    <row r="1013" spans="1:22" ht="15" customHeight="1">
      <c r="A1013" s="3">
        <v>37263</v>
      </c>
      <c r="B1013" s="4">
        <v>49950</v>
      </c>
      <c r="D1013" s="5">
        <v>23375</v>
      </c>
      <c r="E1013" s="5">
        <f t="shared" si="20"/>
        <v>26025</v>
      </c>
      <c r="F1013" s="1">
        <v>99350</v>
      </c>
      <c r="G1013" s="1"/>
      <c r="H1013" s="1"/>
      <c r="I1013" s="1"/>
      <c r="J1013" s="266"/>
      <c r="K1013" s="23">
        <v>516</v>
      </c>
      <c r="L1013" s="11">
        <v>515</v>
      </c>
      <c r="M1013" s="270">
        <f t="shared" si="19"/>
        <v>-1</v>
      </c>
      <c r="N1013" s="7"/>
      <c r="O1013" s="277"/>
      <c r="P1013" s="345"/>
      <c r="V1013" s="383"/>
    </row>
    <row r="1014" spans="1:22" ht="15" customHeight="1">
      <c r="A1014" s="3">
        <v>37264</v>
      </c>
      <c r="B1014" s="4">
        <v>50050</v>
      </c>
      <c r="D1014" s="5">
        <v>23675</v>
      </c>
      <c r="E1014" s="5">
        <f t="shared" si="20"/>
        <v>25975</v>
      </c>
      <c r="F1014" s="1">
        <v>99700</v>
      </c>
      <c r="G1014" s="1"/>
      <c r="H1014" s="1"/>
      <c r="I1014" s="1"/>
      <c r="J1014" s="266"/>
      <c r="K1014" s="23" ph="1">
        <v>530</v>
      </c>
      <c r="L1014" s="11" ph="1">
        <v>529</v>
      </c>
      <c r="M1014" s="270">
        <f t="shared" si="19"/>
        <v>-1</v>
      </c>
      <c r="N1014" s="7"/>
      <c r="O1014" s="277"/>
      <c r="P1014" s="345"/>
      <c r="V1014" s="383"/>
    </row>
    <row r="1015" spans="1:22" ht="15" customHeight="1">
      <c r="A1015" s="3">
        <v>37265</v>
      </c>
      <c r="B1015" s="4">
        <v>49700</v>
      </c>
      <c r="D1015" s="5">
        <v>23750</v>
      </c>
      <c r="E1015" s="5">
        <f t="shared" si="20"/>
        <v>25975</v>
      </c>
      <c r="F1015" s="1">
        <v>99425</v>
      </c>
      <c r="G1015" s="1"/>
      <c r="H1015" s="1"/>
      <c r="I1015" s="1"/>
      <c r="J1015" s="266"/>
      <c r="K1015" s="23" ph="1">
        <v>528</v>
      </c>
      <c r="L1015" s="11" ph="1">
        <v>525</v>
      </c>
      <c r="M1015" s="270">
        <f t="shared" ref="M1015:M1078" si="21">L1015-K1015</f>
        <v>-3</v>
      </c>
      <c r="N1015" s="7"/>
      <c r="O1015" s="277"/>
      <c r="P1015" s="345"/>
      <c r="V1015" s="383"/>
    </row>
    <row r="1016" spans="1:22" ht="15" customHeight="1">
      <c r="A1016" s="3">
        <v>37266</v>
      </c>
      <c r="B1016" s="4">
        <v>49700</v>
      </c>
      <c r="D1016" s="5">
        <v>23825</v>
      </c>
      <c r="E1016" s="5">
        <f t="shared" ref="E1016:E1085" si="22">F1016-(B1016+D1016)</f>
        <v>25950</v>
      </c>
      <c r="F1016" s="1">
        <v>99475</v>
      </c>
      <c r="G1016" s="1"/>
      <c r="H1016" s="1"/>
      <c r="I1016" s="1"/>
      <c r="J1016" s="266"/>
      <c r="K1016" s="23">
        <v>533</v>
      </c>
      <c r="L1016" s="11">
        <v>526</v>
      </c>
      <c r="M1016" s="270">
        <f t="shared" si="21"/>
        <v>-7</v>
      </c>
      <c r="N1016" s="7"/>
      <c r="O1016" s="277"/>
      <c r="P1016" s="345"/>
      <c r="V1016" s="383"/>
    </row>
    <row r="1017" spans="1:22" ht="15" customHeight="1">
      <c r="A1017" s="3">
        <v>37267</v>
      </c>
      <c r="B1017" s="4">
        <v>54450</v>
      </c>
      <c r="D1017" s="5">
        <v>23975</v>
      </c>
      <c r="E1017" s="5">
        <f t="shared" si="22"/>
        <v>25950</v>
      </c>
      <c r="F1017" s="1">
        <v>104375</v>
      </c>
      <c r="G1017" s="1"/>
      <c r="H1017" s="1"/>
      <c r="I1017" s="1"/>
      <c r="J1017" s="266"/>
      <c r="K1017" s="23">
        <v>538</v>
      </c>
      <c r="L1017" s="11">
        <v>521</v>
      </c>
      <c r="M1017" s="270">
        <f t="shared" si="21"/>
        <v>-17</v>
      </c>
      <c r="N1017" s="7"/>
      <c r="O1017" s="277"/>
      <c r="P1017" s="345"/>
      <c r="V1017" s="383"/>
    </row>
    <row r="1018" spans="1:22" ht="15" customHeight="1">
      <c r="A1018" s="3">
        <v>37270</v>
      </c>
      <c r="B1018" s="4">
        <v>52900</v>
      </c>
      <c r="D1018" s="5">
        <v>24125</v>
      </c>
      <c r="E1018" s="5">
        <f t="shared" si="22"/>
        <v>29525</v>
      </c>
      <c r="F1018" s="1">
        <v>106550</v>
      </c>
      <c r="G1018" s="1"/>
      <c r="H1018" s="1"/>
      <c r="I1018" s="1"/>
      <c r="J1018" s="266"/>
      <c r="K1018" s="23">
        <v>536</v>
      </c>
      <c r="L1018" s="11">
        <v>525</v>
      </c>
      <c r="M1018" s="270">
        <f t="shared" si="21"/>
        <v>-11</v>
      </c>
      <c r="N1018" s="7"/>
      <c r="O1018" s="277"/>
      <c r="P1018" s="345"/>
      <c r="V1018" s="383"/>
    </row>
    <row r="1019" spans="1:22" ht="15" customHeight="1">
      <c r="A1019" s="3">
        <v>37271</v>
      </c>
      <c r="B1019" s="4">
        <v>56050</v>
      </c>
      <c r="D1019" s="5">
        <v>31900</v>
      </c>
      <c r="E1019" s="5">
        <f t="shared" si="22"/>
        <v>29375</v>
      </c>
      <c r="F1019" s="1">
        <v>117325</v>
      </c>
      <c r="G1019" s="1"/>
      <c r="H1019" s="1"/>
      <c r="I1019" s="1"/>
      <c r="J1019" s="266"/>
      <c r="K1019" s="23">
        <v>524</v>
      </c>
      <c r="L1019" s="11">
        <v>517</v>
      </c>
      <c r="M1019" s="270">
        <f t="shared" si="21"/>
        <v>-7</v>
      </c>
      <c r="N1019" s="7"/>
      <c r="O1019" s="277"/>
      <c r="P1019" s="345"/>
      <c r="V1019" s="383"/>
    </row>
    <row r="1020" spans="1:22" ht="15" customHeight="1">
      <c r="A1020" s="3">
        <v>37272</v>
      </c>
      <c r="B1020" s="4">
        <v>60050</v>
      </c>
      <c r="D1020" s="5">
        <v>32000</v>
      </c>
      <c r="E1020" s="5">
        <f t="shared" si="22"/>
        <v>33825</v>
      </c>
      <c r="F1020" s="1">
        <v>125875</v>
      </c>
      <c r="G1020" s="1"/>
      <c r="H1020" s="1"/>
      <c r="I1020" s="1"/>
      <c r="J1020" s="266"/>
      <c r="K1020" s="23">
        <v>526</v>
      </c>
      <c r="L1020" s="11">
        <v>514</v>
      </c>
      <c r="M1020" s="270">
        <f t="shared" si="21"/>
        <v>-12</v>
      </c>
      <c r="N1020" s="7"/>
      <c r="O1020" s="277"/>
      <c r="P1020" s="345"/>
      <c r="V1020" s="383"/>
    </row>
    <row r="1021" spans="1:22" ht="15" customHeight="1">
      <c r="A1021" s="3">
        <v>37273</v>
      </c>
      <c r="B1021" s="4">
        <v>60550</v>
      </c>
      <c r="D1021" s="5">
        <v>32250</v>
      </c>
      <c r="E1021" s="5">
        <f t="shared" si="22"/>
        <v>33700</v>
      </c>
      <c r="F1021" s="1">
        <v>126500</v>
      </c>
      <c r="G1021" s="1"/>
      <c r="H1021" s="1"/>
      <c r="I1021" s="1"/>
      <c r="J1021" s="266"/>
      <c r="K1021" s="23">
        <v>527</v>
      </c>
      <c r="L1021" s="11">
        <v>515</v>
      </c>
      <c r="M1021" s="270">
        <f t="shared" si="21"/>
        <v>-12</v>
      </c>
      <c r="N1021" s="7"/>
      <c r="O1021" s="277"/>
      <c r="P1021" s="345"/>
      <c r="V1021" s="383"/>
    </row>
    <row r="1022" spans="1:22" ht="15" customHeight="1">
      <c r="A1022" s="3">
        <v>37274</v>
      </c>
      <c r="B1022" s="4">
        <v>60425</v>
      </c>
      <c r="D1022" s="5">
        <v>32850</v>
      </c>
      <c r="E1022" s="5">
        <f t="shared" si="22"/>
        <v>33575</v>
      </c>
      <c r="F1022" s="1">
        <v>126850</v>
      </c>
      <c r="G1022" s="1"/>
      <c r="H1022" s="1"/>
      <c r="I1022" s="1"/>
      <c r="J1022" s="266"/>
      <c r="K1022" s="23">
        <v>525</v>
      </c>
      <c r="L1022" s="11">
        <v>507</v>
      </c>
      <c r="M1022" s="270">
        <f t="shared" si="21"/>
        <v>-18</v>
      </c>
      <c r="N1022" s="7"/>
      <c r="O1022" s="277"/>
      <c r="P1022" s="345"/>
      <c r="V1022" s="383"/>
    </row>
    <row r="1023" spans="1:22" ht="15" customHeight="1">
      <c r="A1023" s="3">
        <v>37277</v>
      </c>
      <c r="B1023" s="4">
        <v>61125</v>
      </c>
      <c r="D1023" s="5">
        <v>33275</v>
      </c>
      <c r="E1023" s="5">
        <f t="shared" si="22"/>
        <v>33425</v>
      </c>
      <c r="F1023" s="1">
        <v>127825</v>
      </c>
      <c r="G1023" s="1"/>
      <c r="H1023" s="1"/>
      <c r="I1023" s="1"/>
      <c r="J1023" s="266"/>
      <c r="K1023" s="23">
        <v>512</v>
      </c>
      <c r="L1023" s="11">
        <v>506</v>
      </c>
      <c r="M1023" s="270">
        <f t="shared" si="21"/>
        <v>-6</v>
      </c>
      <c r="N1023" s="7"/>
      <c r="O1023" s="277"/>
      <c r="P1023" s="345"/>
      <c r="V1023" s="383"/>
    </row>
    <row r="1024" spans="1:22" ht="15" customHeight="1">
      <c r="A1024" s="3">
        <v>37278</v>
      </c>
      <c r="B1024" s="4">
        <v>64600</v>
      </c>
      <c r="D1024" s="5">
        <v>33275</v>
      </c>
      <c r="E1024" s="5">
        <f t="shared" si="22"/>
        <v>33725</v>
      </c>
      <c r="F1024" s="1">
        <v>131600</v>
      </c>
      <c r="G1024" s="1"/>
      <c r="H1024" s="1"/>
      <c r="I1024" s="1"/>
      <c r="J1024" s="266"/>
      <c r="K1024" s="23">
        <v>498</v>
      </c>
      <c r="L1024" s="11">
        <v>500</v>
      </c>
      <c r="M1024" s="270">
        <f t="shared" si="21"/>
        <v>2</v>
      </c>
      <c r="N1024" s="7"/>
      <c r="O1024" s="277"/>
      <c r="P1024" s="345"/>
      <c r="V1024" s="383"/>
    </row>
    <row r="1025" spans="1:22" ht="15" customHeight="1">
      <c r="A1025" s="3">
        <v>37279</v>
      </c>
      <c r="B1025" s="4">
        <v>65425</v>
      </c>
      <c r="D1025" s="5">
        <v>33975</v>
      </c>
      <c r="E1025" s="5">
        <f t="shared" si="22"/>
        <v>34250</v>
      </c>
      <c r="F1025" s="1">
        <v>133650</v>
      </c>
      <c r="G1025" s="1"/>
      <c r="H1025" s="1"/>
      <c r="I1025" s="1"/>
      <c r="J1025" s="266"/>
      <c r="K1025" s="23">
        <v>500.5</v>
      </c>
      <c r="L1025" s="11">
        <v>500.5</v>
      </c>
      <c r="M1025" s="270">
        <f t="shared" si="21"/>
        <v>0</v>
      </c>
      <c r="N1025" s="7"/>
      <c r="O1025" s="277"/>
      <c r="P1025" s="345"/>
      <c r="V1025" s="383"/>
    </row>
    <row r="1026" spans="1:22" ht="15" customHeight="1">
      <c r="A1026" s="3">
        <v>37280</v>
      </c>
      <c r="B1026" s="4">
        <v>66200</v>
      </c>
      <c r="D1026" s="5">
        <v>33975</v>
      </c>
      <c r="E1026" s="5">
        <f t="shared" si="22"/>
        <v>34600</v>
      </c>
      <c r="F1026" s="1">
        <v>134775</v>
      </c>
      <c r="G1026" s="1"/>
      <c r="H1026" s="1"/>
      <c r="I1026" s="1"/>
      <c r="J1026" s="266"/>
      <c r="K1026" s="23">
        <v>498</v>
      </c>
      <c r="L1026" s="11">
        <v>503</v>
      </c>
      <c r="M1026" s="270">
        <f t="shared" si="21"/>
        <v>5</v>
      </c>
      <c r="N1026" s="7"/>
      <c r="O1026" s="277"/>
      <c r="P1026" s="345"/>
      <c r="V1026" s="383"/>
    </row>
    <row r="1027" spans="1:22" ht="15" customHeight="1">
      <c r="A1027" s="3">
        <v>37281</v>
      </c>
      <c r="B1027" s="4">
        <v>66100</v>
      </c>
      <c r="D1027" s="5">
        <v>34725</v>
      </c>
      <c r="E1027" s="5">
        <f t="shared" si="22"/>
        <v>34600</v>
      </c>
      <c r="F1027" s="1">
        <v>135425</v>
      </c>
      <c r="G1027" s="1"/>
      <c r="H1027" s="1"/>
      <c r="I1027" s="1"/>
      <c r="J1027" s="266"/>
      <c r="K1027" s="23">
        <v>494.5</v>
      </c>
      <c r="L1027" s="11">
        <v>500</v>
      </c>
      <c r="M1027" s="270">
        <f t="shared" si="21"/>
        <v>5.5</v>
      </c>
      <c r="N1027" s="7"/>
      <c r="O1027" s="277"/>
      <c r="P1027" s="345"/>
      <c r="V1027" s="383"/>
    </row>
    <row r="1028" spans="1:22" ht="15" customHeight="1">
      <c r="A1028" s="3">
        <v>37284</v>
      </c>
      <c r="B1028" s="4">
        <v>66400</v>
      </c>
      <c r="D1028" s="5">
        <v>35150</v>
      </c>
      <c r="E1028" s="5">
        <f t="shared" si="22"/>
        <v>34300</v>
      </c>
      <c r="F1028" s="1">
        <v>135850</v>
      </c>
      <c r="G1028" s="1"/>
      <c r="H1028" s="1"/>
      <c r="I1028" s="1"/>
      <c r="J1028" s="266"/>
      <c r="K1028" s="23">
        <v>492.5</v>
      </c>
      <c r="L1028" s="11">
        <v>499</v>
      </c>
      <c r="M1028" s="270">
        <f t="shared" si="21"/>
        <v>6.5</v>
      </c>
      <c r="N1028" s="7"/>
      <c r="O1028" s="277"/>
      <c r="P1028" s="345"/>
      <c r="V1028" s="383"/>
    </row>
    <row r="1029" spans="1:22" ht="15" customHeight="1">
      <c r="A1029" s="3">
        <v>37285</v>
      </c>
      <c r="B1029" s="4">
        <v>65200</v>
      </c>
      <c r="D1029" s="5">
        <v>35225</v>
      </c>
      <c r="E1029" s="5">
        <f t="shared" si="22"/>
        <v>34600</v>
      </c>
      <c r="F1029" s="1">
        <v>135025</v>
      </c>
      <c r="G1029" s="1"/>
      <c r="H1029" s="1"/>
      <c r="I1029" s="1"/>
      <c r="J1029" s="266"/>
      <c r="K1029" s="23">
        <v>483</v>
      </c>
      <c r="L1029" s="11">
        <v>492</v>
      </c>
      <c r="M1029" s="270">
        <f t="shared" si="21"/>
        <v>9</v>
      </c>
      <c r="N1029" s="7"/>
      <c r="O1029" s="277"/>
      <c r="P1029" s="345"/>
      <c r="V1029" s="383"/>
    </row>
    <row r="1030" spans="1:22" ht="15" customHeight="1">
      <c r="A1030" s="3">
        <v>37286</v>
      </c>
      <c r="B1030" s="4">
        <v>65200</v>
      </c>
      <c r="D1030" s="5">
        <v>35225</v>
      </c>
      <c r="E1030" s="5">
        <f t="shared" si="22"/>
        <v>34425</v>
      </c>
      <c r="F1030" s="1">
        <v>134850</v>
      </c>
      <c r="G1030" s="1"/>
      <c r="H1030" s="1"/>
      <c r="I1030" s="1"/>
      <c r="J1030" s="266"/>
      <c r="K1030" s="23">
        <v>480</v>
      </c>
      <c r="L1030" s="11">
        <v>487</v>
      </c>
      <c r="M1030" s="270">
        <f t="shared" si="21"/>
        <v>7</v>
      </c>
      <c r="N1030" s="7"/>
      <c r="O1030" s="277"/>
      <c r="P1030" s="345"/>
      <c r="V1030" s="383"/>
    </row>
    <row r="1031" spans="1:22" ht="15" customHeight="1">
      <c r="A1031" s="3">
        <v>37287</v>
      </c>
      <c r="B1031" s="4">
        <v>65600</v>
      </c>
      <c r="D1031" s="5">
        <v>35225</v>
      </c>
      <c r="E1031" s="5">
        <f t="shared" si="22"/>
        <v>34250</v>
      </c>
      <c r="F1031" s="1">
        <v>135075</v>
      </c>
      <c r="G1031" s="1"/>
      <c r="H1031" s="1"/>
      <c r="I1031" s="1"/>
      <c r="J1031" s="266"/>
      <c r="K1031" s="23">
        <v>488.5</v>
      </c>
      <c r="L1031" s="11">
        <v>494</v>
      </c>
      <c r="M1031" s="270">
        <f t="shared" si="21"/>
        <v>5.5</v>
      </c>
      <c r="N1031" s="7"/>
      <c r="O1031" s="277"/>
      <c r="P1031" s="345"/>
      <c r="V1031" s="383"/>
    </row>
    <row r="1032" spans="1:22" ht="15" customHeight="1">
      <c r="A1032" s="3">
        <v>37288</v>
      </c>
      <c r="B1032" s="4">
        <v>65150</v>
      </c>
      <c r="D1032" s="5">
        <v>35225</v>
      </c>
      <c r="E1032" s="5">
        <f t="shared" si="22"/>
        <v>34100</v>
      </c>
      <c r="F1032" s="1">
        <v>134475</v>
      </c>
      <c r="G1032" s="1"/>
      <c r="H1032" s="1"/>
      <c r="I1032" s="1"/>
      <c r="J1032" s="266"/>
      <c r="K1032" s="23">
        <v>487</v>
      </c>
      <c r="L1032" s="11">
        <v>497</v>
      </c>
      <c r="M1032" s="270">
        <f t="shared" si="21"/>
        <v>10</v>
      </c>
      <c r="N1032" s="7"/>
      <c r="O1032" s="277"/>
      <c r="P1032" s="345"/>
      <c r="V1032" s="383"/>
    </row>
    <row r="1033" spans="1:22" ht="15" customHeight="1">
      <c r="A1033" s="3">
        <v>37291</v>
      </c>
      <c r="B1033" s="4">
        <v>64800</v>
      </c>
      <c r="D1033" s="5">
        <v>35225</v>
      </c>
      <c r="E1033" s="5">
        <f t="shared" si="22"/>
        <v>34100</v>
      </c>
      <c r="F1033" s="1">
        <v>134125</v>
      </c>
      <c r="G1033" s="1"/>
      <c r="H1033" s="1"/>
      <c r="I1033" s="1"/>
      <c r="J1033" s="266"/>
      <c r="K1033" s="23">
        <v>488.5</v>
      </c>
      <c r="L1033" s="11">
        <v>496</v>
      </c>
      <c r="M1033" s="270">
        <f t="shared" si="21"/>
        <v>7.5</v>
      </c>
      <c r="N1033" s="7"/>
      <c r="O1033" s="277"/>
      <c r="P1033" s="345"/>
      <c r="V1033" s="383"/>
    </row>
    <row r="1034" spans="1:22" ht="15" customHeight="1">
      <c r="A1034" s="3">
        <v>37292</v>
      </c>
      <c r="B1034" s="4">
        <v>65000</v>
      </c>
      <c r="D1034" s="5">
        <v>35225</v>
      </c>
      <c r="E1034" s="5">
        <f t="shared" si="22"/>
        <v>33575</v>
      </c>
      <c r="F1034" s="1">
        <v>133800</v>
      </c>
      <c r="G1034" s="1"/>
      <c r="H1034" s="1"/>
      <c r="I1034" s="1"/>
      <c r="J1034" s="266"/>
      <c r="K1034" s="23">
        <v>484</v>
      </c>
      <c r="L1034" s="11">
        <v>490.5</v>
      </c>
      <c r="M1034" s="270">
        <f t="shared" si="21"/>
        <v>6.5</v>
      </c>
      <c r="N1034" s="7"/>
      <c r="O1034" s="277"/>
      <c r="P1034" s="345"/>
      <c r="V1034" s="383"/>
    </row>
    <row r="1035" spans="1:22" ht="15" customHeight="1">
      <c r="A1035" s="3">
        <v>37293</v>
      </c>
      <c r="B1035" s="4">
        <v>66900</v>
      </c>
      <c r="D1035" s="5">
        <v>35225</v>
      </c>
      <c r="E1035" s="5">
        <f t="shared" si="22"/>
        <v>32950</v>
      </c>
      <c r="F1035" s="1">
        <v>135075</v>
      </c>
      <c r="G1035" s="1"/>
      <c r="H1035" s="1"/>
      <c r="I1035" s="1"/>
      <c r="J1035" s="266"/>
      <c r="K1035" s="23">
        <v>483</v>
      </c>
      <c r="L1035" s="11">
        <v>488.5</v>
      </c>
      <c r="M1035" s="270">
        <f t="shared" si="21"/>
        <v>5.5</v>
      </c>
      <c r="N1035" s="7"/>
      <c r="O1035" s="277"/>
      <c r="P1035" s="345"/>
      <c r="V1035" s="383"/>
    </row>
    <row r="1036" spans="1:22" ht="15" customHeight="1">
      <c r="A1036" s="3">
        <v>37294</v>
      </c>
      <c r="B1036" s="4">
        <v>66600</v>
      </c>
      <c r="D1036" s="5">
        <v>35325</v>
      </c>
      <c r="E1036" s="5">
        <f t="shared" si="22"/>
        <v>32200</v>
      </c>
      <c r="F1036" s="1">
        <v>134125</v>
      </c>
      <c r="G1036" s="1"/>
      <c r="H1036" s="1"/>
      <c r="I1036" s="1"/>
      <c r="J1036" s="266"/>
      <c r="K1036" s="23">
        <v>480.5</v>
      </c>
      <c r="L1036" s="11">
        <v>488</v>
      </c>
      <c r="M1036" s="270">
        <f t="shared" si="21"/>
        <v>7.5</v>
      </c>
      <c r="N1036" s="7"/>
      <c r="O1036" s="277"/>
      <c r="P1036" s="345"/>
      <c r="V1036" s="383"/>
    </row>
    <row r="1037" spans="1:22" ht="15" customHeight="1">
      <c r="A1037" s="3">
        <v>37295</v>
      </c>
      <c r="B1037" s="4">
        <v>66775</v>
      </c>
      <c r="D1037" s="5">
        <v>35325</v>
      </c>
      <c r="E1037" s="5">
        <f t="shared" si="22"/>
        <v>32000</v>
      </c>
      <c r="F1037" s="1">
        <v>134100</v>
      </c>
      <c r="G1037" s="1"/>
      <c r="H1037" s="1"/>
      <c r="I1037" s="1"/>
      <c r="J1037" s="266"/>
      <c r="K1037" s="23">
        <v>485</v>
      </c>
      <c r="L1037" s="11">
        <v>491.5</v>
      </c>
      <c r="M1037" s="270">
        <f t="shared" si="21"/>
        <v>6.5</v>
      </c>
      <c r="N1037" s="7"/>
      <c r="O1037" s="277"/>
      <c r="P1037" s="345"/>
      <c r="V1037" s="383"/>
    </row>
    <row r="1038" spans="1:22" ht="15" customHeight="1">
      <c r="A1038" s="3">
        <v>37298</v>
      </c>
      <c r="B1038" s="4">
        <v>62975</v>
      </c>
      <c r="D1038" s="5">
        <v>35450</v>
      </c>
      <c r="E1038" s="5">
        <f t="shared" si="22"/>
        <v>31425</v>
      </c>
      <c r="F1038" s="1">
        <v>129850</v>
      </c>
      <c r="G1038" s="1"/>
      <c r="H1038" s="1"/>
      <c r="I1038" s="1"/>
      <c r="J1038" s="266"/>
      <c r="K1038" s="23">
        <v>475</v>
      </c>
      <c r="L1038" s="11">
        <v>484.5</v>
      </c>
      <c r="M1038" s="270">
        <f t="shared" si="21"/>
        <v>9.5</v>
      </c>
      <c r="N1038" s="7"/>
      <c r="O1038" s="277"/>
      <c r="P1038" s="345"/>
      <c r="V1038" s="383"/>
    </row>
    <row r="1039" spans="1:22" ht="15" customHeight="1">
      <c r="A1039" s="3">
        <v>37299</v>
      </c>
      <c r="B1039" s="4">
        <v>52450</v>
      </c>
      <c r="D1039" s="5">
        <v>35450</v>
      </c>
      <c r="E1039" s="5">
        <f t="shared" si="22"/>
        <v>30350</v>
      </c>
      <c r="F1039" s="1">
        <v>118250</v>
      </c>
      <c r="G1039" s="1"/>
      <c r="H1039" s="1"/>
      <c r="I1039" s="1"/>
      <c r="J1039" s="266"/>
      <c r="K1039" s="23">
        <v>476.5</v>
      </c>
      <c r="L1039" s="11">
        <v>486</v>
      </c>
      <c r="M1039" s="270">
        <f t="shared" si="21"/>
        <v>9.5</v>
      </c>
      <c r="N1039" s="7"/>
      <c r="O1039" s="277"/>
      <c r="P1039" s="345"/>
      <c r="V1039" s="383"/>
    </row>
    <row r="1040" spans="1:22" ht="15" customHeight="1">
      <c r="A1040" s="3">
        <v>37300</v>
      </c>
      <c r="B1040" s="4">
        <v>53050</v>
      </c>
      <c r="D1040" s="5">
        <v>35575</v>
      </c>
      <c r="E1040" s="5">
        <f t="shared" si="22"/>
        <v>29700</v>
      </c>
      <c r="F1040" s="1">
        <v>118325</v>
      </c>
      <c r="G1040" s="1"/>
      <c r="H1040" s="1"/>
      <c r="I1040" s="1"/>
      <c r="J1040" s="266"/>
      <c r="K1040" s="23">
        <v>476.5</v>
      </c>
      <c r="L1040" s="11">
        <v>488</v>
      </c>
      <c r="M1040" s="270">
        <f t="shared" si="21"/>
        <v>11.5</v>
      </c>
      <c r="N1040" s="7"/>
      <c r="O1040" s="277"/>
      <c r="P1040" s="345"/>
      <c r="V1040" s="383"/>
    </row>
    <row r="1041" spans="1:22" ht="15" customHeight="1">
      <c r="A1041" s="3">
        <v>37301</v>
      </c>
      <c r="B1041" s="4">
        <v>53050</v>
      </c>
      <c r="D1041" s="5">
        <v>35575</v>
      </c>
      <c r="E1041" s="5">
        <f t="shared" si="22"/>
        <v>29625</v>
      </c>
      <c r="F1041" s="1">
        <v>118250</v>
      </c>
      <c r="G1041" s="1"/>
      <c r="H1041" s="1"/>
      <c r="I1041" s="1"/>
      <c r="J1041" s="266"/>
      <c r="K1041" s="23">
        <v>497</v>
      </c>
      <c r="L1041" s="11">
        <v>500.5</v>
      </c>
      <c r="M1041" s="270">
        <f t="shared" si="21"/>
        <v>3.5</v>
      </c>
      <c r="N1041" s="7"/>
      <c r="O1041" s="277"/>
      <c r="P1041" s="345"/>
      <c r="V1041" s="383"/>
    </row>
    <row r="1042" spans="1:22" ht="15" customHeight="1">
      <c r="A1042" s="3">
        <v>37302</v>
      </c>
      <c r="B1042" s="4">
        <v>53850</v>
      </c>
      <c r="D1042" s="5">
        <v>35675</v>
      </c>
      <c r="E1042" s="5">
        <f t="shared" si="22"/>
        <v>29425</v>
      </c>
      <c r="F1042" s="1">
        <v>118950</v>
      </c>
      <c r="G1042" s="1"/>
      <c r="H1042" s="1"/>
      <c r="I1042" s="1"/>
      <c r="J1042" s="266"/>
      <c r="K1042" s="23">
        <v>487</v>
      </c>
      <c r="L1042" s="11">
        <v>492</v>
      </c>
      <c r="M1042" s="270">
        <f t="shared" si="21"/>
        <v>5</v>
      </c>
      <c r="N1042" s="7"/>
      <c r="O1042" s="277"/>
      <c r="P1042" s="345"/>
      <c r="V1042" s="383"/>
    </row>
    <row r="1043" spans="1:22" ht="15" customHeight="1">
      <c r="A1043" s="3">
        <v>37305</v>
      </c>
      <c r="B1043" s="4">
        <v>52200</v>
      </c>
      <c r="D1043" s="5">
        <v>36550</v>
      </c>
      <c r="E1043" s="5">
        <f t="shared" si="22"/>
        <v>29275</v>
      </c>
      <c r="F1043" s="1">
        <v>118025</v>
      </c>
      <c r="G1043" s="1"/>
      <c r="H1043" s="1"/>
      <c r="I1043" s="1"/>
      <c r="J1043" s="266"/>
      <c r="K1043" s="23">
        <v>473</v>
      </c>
      <c r="L1043" s="11">
        <v>483</v>
      </c>
      <c r="M1043" s="270">
        <f t="shared" si="21"/>
        <v>10</v>
      </c>
      <c r="N1043" s="7"/>
      <c r="O1043" s="277"/>
      <c r="P1043" s="345"/>
      <c r="V1043" s="383"/>
    </row>
    <row r="1044" spans="1:22" ht="15" customHeight="1">
      <c r="A1044" s="3">
        <v>37306</v>
      </c>
      <c r="B1044" s="4">
        <v>52200</v>
      </c>
      <c r="D1044" s="5">
        <v>37250</v>
      </c>
      <c r="E1044" s="5">
        <f t="shared" si="22"/>
        <v>29125</v>
      </c>
      <c r="F1044" s="1">
        <v>118575</v>
      </c>
      <c r="G1044" s="1"/>
      <c r="H1044" s="1"/>
      <c r="I1044" s="1"/>
      <c r="J1044" s="266"/>
      <c r="K1044" s="23">
        <v>469</v>
      </c>
      <c r="L1044" s="11">
        <v>481</v>
      </c>
      <c r="M1044" s="270">
        <f t="shared" si="21"/>
        <v>12</v>
      </c>
      <c r="N1044" s="7"/>
      <c r="O1044" s="277"/>
      <c r="P1044" s="345"/>
      <c r="V1044" s="383"/>
    </row>
    <row r="1045" spans="1:22" ht="15" customHeight="1">
      <c r="A1045" s="3">
        <v>37307</v>
      </c>
      <c r="B1045" s="4">
        <v>52150</v>
      </c>
      <c r="D1045" s="5">
        <v>38525</v>
      </c>
      <c r="E1045" s="5">
        <f t="shared" si="22"/>
        <v>29025</v>
      </c>
      <c r="F1045" s="1">
        <v>119700</v>
      </c>
      <c r="G1045" s="1"/>
      <c r="H1045" s="1"/>
      <c r="I1045" s="1"/>
      <c r="J1045" s="266"/>
      <c r="K1045" s="23">
        <v>478.5</v>
      </c>
      <c r="L1045" s="11">
        <v>493</v>
      </c>
      <c r="M1045" s="270">
        <f t="shared" si="21"/>
        <v>14.5</v>
      </c>
      <c r="N1045" s="7"/>
      <c r="O1045" s="277"/>
      <c r="P1045" s="345"/>
      <c r="V1045" s="383"/>
    </row>
    <row r="1046" spans="1:22" ht="15" customHeight="1">
      <c r="A1046" s="3">
        <v>37308</v>
      </c>
      <c r="B1046" s="4">
        <v>52450</v>
      </c>
      <c r="D1046" s="5">
        <v>39100</v>
      </c>
      <c r="E1046" s="5">
        <f t="shared" si="22"/>
        <v>28925</v>
      </c>
      <c r="F1046" s="1">
        <v>120475</v>
      </c>
      <c r="G1046" s="1"/>
      <c r="H1046" s="1"/>
      <c r="I1046" s="1"/>
      <c r="J1046" s="266"/>
      <c r="K1046" s="23">
        <v>479</v>
      </c>
      <c r="L1046" s="11">
        <v>493</v>
      </c>
      <c r="M1046" s="270">
        <f t="shared" si="21"/>
        <v>14</v>
      </c>
      <c r="N1046" s="7"/>
      <c r="O1046" s="277"/>
      <c r="P1046" s="345"/>
      <c r="V1046" s="383"/>
    </row>
    <row r="1047" spans="1:22" ht="15" customHeight="1">
      <c r="A1047" s="3">
        <v>37309</v>
      </c>
      <c r="B1047" s="4">
        <v>51375</v>
      </c>
      <c r="D1047" s="5">
        <v>39625</v>
      </c>
      <c r="E1047" s="5">
        <f t="shared" si="22"/>
        <v>28850</v>
      </c>
      <c r="F1047" s="1">
        <v>119850</v>
      </c>
      <c r="G1047" s="1"/>
      <c r="H1047" s="1"/>
      <c r="I1047" s="1"/>
      <c r="J1047" s="266"/>
      <c r="K1047" s="23">
        <v>474.5</v>
      </c>
      <c r="L1047" s="11">
        <v>485</v>
      </c>
      <c r="M1047" s="270">
        <f t="shared" si="21"/>
        <v>10.5</v>
      </c>
      <c r="N1047" s="7"/>
      <c r="O1047" s="277"/>
      <c r="P1047" s="345"/>
      <c r="V1047" s="383"/>
    </row>
    <row r="1048" spans="1:22" ht="15" customHeight="1">
      <c r="A1048" s="3">
        <v>37312</v>
      </c>
      <c r="B1048" s="4">
        <v>53425</v>
      </c>
      <c r="D1048" s="5">
        <v>40175</v>
      </c>
      <c r="E1048" s="5">
        <f t="shared" si="22"/>
        <v>28775</v>
      </c>
      <c r="F1048" s="1">
        <v>122375</v>
      </c>
      <c r="G1048" s="1"/>
      <c r="H1048" s="1"/>
      <c r="I1048" s="1"/>
      <c r="J1048" s="266"/>
      <c r="K1048" s="23">
        <v>471</v>
      </c>
      <c r="L1048" s="11">
        <v>481</v>
      </c>
      <c r="M1048" s="270">
        <f t="shared" si="21"/>
        <v>10</v>
      </c>
      <c r="N1048" s="7"/>
      <c r="O1048" s="277"/>
      <c r="P1048" s="345"/>
      <c r="V1048" s="383"/>
    </row>
    <row r="1049" spans="1:22" ht="15" customHeight="1">
      <c r="A1049" s="3">
        <v>37313</v>
      </c>
      <c r="B1049" s="4">
        <v>54425</v>
      </c>
      <c r="D1049" s="5">
        <v>40575</v>
      </c>
      <c r="E1049" s="5">
        <f t="shared" si="22"/>
        <v>28775</v>
      </c>
      <c r="F1049" s="1">
        <v>123775</v>
      </c>
      <c r="G1049" s="1"/>
      <c r="H1049" s="1"/>
      <c r="I1049" s="1"/>
      <c r="J1049" s="266"/>
      <c r="K1049" s="23">
        <v>477.5</v>
      </c>
      <c r="L1049" s="11">
        <v>489.5</v>
      </c>
      <c r="M1049" s="270">
        <f t="shared" si="21"/>
        <v>12</v>
      </c>
      <c r="N1049" s="7"/>
      <c r="O1049" s="277"/>
      <c r="P1049" s="345"/>
      <c r="V1049" s="383"/>
    </row>
    <row r="1050" spans="1:22" ht="15" customHeight="1">
      <c r="A1050" s="3">
        <v>37314</v>
      </c>
      <c r="B1050" s="4">
        <v>56425</v>
      </c>
      <c r="D1050" s="5">
        <v>40725</v>
      </c>
      <c r="E1050" s="5">
        <f t="shared" si="22"/>
        <v>28625</v>
      </c>
      <c r="F1050" s="1">
        <v>125775</v>
      </c>
      <c r="G1050" s="1"/>
      <c r="H1050" s="1"/>
      <c r="I1050" s="1"/>
      <c r="J1050" s="266"/>
      <c r="K1050" s="23">
        <v>475</v>
      </c>
      <c r="L1050" s="11">
        <v>485.5</v>
      </c>
      <c r="M1050" s="270">
        <f t="shared" si="21"/>
        <v>10.5</v>
      </c>
      <c r="N1050" s="7"/>
      <c r="O1050" s="277"/>
      <c r="P1050" s="345"/>
      <c r="V1050" s="383"/>
    </row>
    <row r="1051" spans="1:22" ht="15" customHeight="1">
      <c r="A1051" s="3">
        <v>37315</v>
      </c>
      <c r="B1051" s="4">
        <v>55400</v>
      </c>
      <c r="D1051" s="5">
        <v>40725</v>
      </c>
      <c r="E1051" s="5">
        <f t="shared" si="22"/>
        <v>28525</v>
      </c>
      <c r="F1051" s="1">
        <v>124650</v>
      </c>
      <c r="G1051" s="1"/>
      <c r="H1051" s="1"/>
      <c r="I1051" s="1"/>
      <c r="J1051" s="266"/>
      <c r="K1051" s="23">
        <v>481.5</v>
      </c>
      <c r="L1051" s="11">
        <v>491.5</v>
      </c>
      <c r="M1051" s="270">
        <f t="shared" si="21"/>
        <v>10</v>
      </c>
      <c r="N1051" s="7"/>
      <c r="O1051" s="277"/>
      <c r="P1051" s="345"/>
      <c r="V1051" s="383"/>
    </row>
    <row r="1052" spans="1:22" ht="15" customHeight="1">
      <c r="A1052" s="3">
        <v>37316</v>
      </c>
      <c r="B1052" s="4">
        <v>55900</v>
      </c>
      <c r="D1052" s="5">
        <v>40725</v>
      </c>
      <c r="E1052" s="5">
        <f t="shared" si="22"/>
        <v>28425</v>
      </c>
      <c r="F1052" s="1">
        <v>125050</v>
      </c>
      <c r="G1052" s="1"/>
      <c r="H1052" s="1"/>
      <c r="I1052" s="1"/>
      <c r="J1052" s="266"/>
      <c r="K1052" s="23">
        <v>477</v>
      </c>
      <c r="L1052" s="11">
        <v>488</v>
      </c>
      <c r="M1052" s="270">
        <f t="shared" si="21"/>
        <v>11</v>
      </c>
      <c r="N1052" s="7"/>
      <c r="O1052" s="277"/>
      <c r="P1052" s="345"/>
      <c r="V1052" s="383"/>
    </row>
    <row r="1053" spans="1:22" ht="15" customHeight="1">
      <c r="A1053" s="3">
        <v>37319</v>
      </c>
      <c r="B1053" s="4">
        <v>55900</v>
      </c>
      <c r="D1053" s="5">
        <v>40725</v>
      </c>
      <c r="E1053" s="5">
        <f t="shared" si="22"/>
        <v>27350</v>
      </c>
      <c r="F1053" s="1">
        <v>123975</v>
      </c>
      <c r="G1053" s="1"/>
      <c r="H1053" s="1"/>
      <c r="I1053" s="1"/>
      <c r="J1053" s="266"/>
      <c r="K1053" s="23">
        <v>482</v>
      </c>
      <c r="L1053" s="11">
        <v>494</v>
      </c>
      <c r="M1053" s="270">
        <f t="shared" si="21"/>
        <v>12</v>
      </c>
      <c r="N1053" s="7"/>
      <c r="O1053" s="277"/>
      <c r="P1053" s="345"/>
      <c r="V1053" s="383"/>
    </row>
    <row r="1054" spans="1:22" ht="15" customHeight="1">
      <c r="A1054" s="3">
        <v>37320</v>
      </c>
      <c r="B1054" s="4">
        <v>56825</v>
      </c>
      <c r="D1054" s="5">
        <v>40725</v>
      </c>
      <c r="E1054" s="5">
        <f t="shared" si="22"/>
        <v>28050</v>
      </c>
      <c r="F1054" s="1">
        <v>125600</v>
      </c>
      <c r="G1054" s="1"/>
      <c r="H1054" s="1"/>
      <c r="I1054" s="1"/>
      <c r="J1054" s="266"/>
      <c r="K1054" s="23">
        <v>480</v>
      </c>
      <c r="L1054" s="11">
        <v>490</v>
      </c>
      <c r="M1054" s="270">
        <f t="shared" si="21"/>
        <v>10</v>
      </c>
      <c r="N1054" s="7"/>
      <c r="O1054" s="277"/>
      <c r="P1054" s="345"/>
      <c r="V1054" s="383"/>
    </row>
    <row r="1055" spans="1:22" ht="15" customHeight="1">
      <c r="A1055" s="3">
        <v>37321</v>
      </c>
      <c r="B1055" s="4">
        <v>58050</v>
      </c>
      <c r="D1055" s="5">
        <v>43550</v>
      </c>
      <c r="E1055" s="5">
        <f t="shared" si="22"/>
        <v>25650</v>
      </c>
      <c r="F1055" s="1">
        <v>127250</v>
      </c>
      <c r="G1055" s="1"/>
      <c r="H1055" s="1"/>
      <c r="I1055" s="1"/>
      <c r="J1055" s="266"/>
      <c r="K1055" s="23">
        <v>475.5</v>
      </c>
      <c r="L1055" s="11">
        <v>487</v>
      </c>
      <c r="M1055" s="270">
        <f t="shared" si="21"/>
        <v>11.5</v>
      </c>
      <c r="N1055" s="7"/>
      <c r="O1055" s="277"/>
      <c r="P1055" s="345"/>
      <c r="V1055" s="383"/>
    </row>
    <row r="1056" spans="1:22" ht="15" customHeight="1">
      <c r="A1056" s="3">
        <v>37322</v>
      </c>
      <c r="B1056" s="4">
        <v>57200</v>
      </c>
      <c r="D1056" s="5">
        <v>43550</v>
      </c>
      <c r="E1056" s="5">
        <f t="shared" si="22"/>
        <v>25475</v>
      </c>
      <c r="F1056" s="1">
        <v>126225</v>
      </c>
      <c r="G1056" s="1"/>
      <c r="H1056" s="1"/>
      <c r="I1056" s="1"/>
      <c r="J1056" s="266"/>
      <c r="K1056" s="23">
        <v>479</v>
      </c>
      <c r="L1056" s="11">
        <v>492</v>
      </c>
      <c r="M1056" s="270">
        <f t="shared" si="21"/>
        <v>13</v>
      </c>
      <c r="N1056" s="7"/>
      <c r="O1056" s="277"/>
      <c r="P1056" s="345"/>
      <c r="V1056" s="383"/>
    </row>
    <row r="1057" spans="1:22" ht="15" customHeight="1">
      <c r="A1057" s="3">
        <v>37323</v>
      </c>
      <c r="B1057" s="4">
        <v>55850</v>
      </c>
      <c r="D1057" s="5">
        <v>43675</v>
      </c>
      <c r="E1057" s="5">
        <f t="shared" si="22"/>
        <v>25325</v>
      </c>
      <c r="F1057" s="1">
        <v>124850</v>
      </c>
      <c r="G1057" s="1"/>
      <c r="H1057" s="1"/>
      <c r="I1057" s="1"/>
      <c r="J1057" s="266"/>
      <c r="K1057" s="23">
        <v>482.5</v>
      </c>
      <c r="L1057" s="11">
        <v>494</v>
      </c>
      <c r="M1057" s="270">
        <f t="shared" si="21"/>
        <v>11.5</v>
      </c>
      <c r="N1057" s="7"/>
      <c r="O1057" s="277"/>
      <c r="P1057" s="345"/>
      <c r="V1057" s="383"/>
    </row>
    <row r="1058" spans="1:22" ht="15" customHeight="1">
      <c r="A1058" s="3">
        <v>37326</v>
      </c>
      <c r="B1058" s="4">
        <v>55250</v>
      </c>
      <c r="D1058" s="5">
        <v>43675</v>
      </c>
      <c r="E1058" s="5">
        <f t="shared" si="22"/>
        <v>25225</v>
      </c>
      <c r="F1058" s="1">
        <v>124150</v>
      </c>
      <c r="G1058" s="1"/>
      <c r="H1058" s="1"/>
      <c r="I1058" s="1"/>
      <c r="J1058" s="266"/>
      <c r="K1058" s="23">
        <v>476</v>
      </c>
      <c r="L1058" s="11">
        <v>487</v>
      </c>
      <c r="M1058" s="270">
        <f t="shared" si="21"/>
        <v>11</v>
      </c>
      <c r="N1058" s="7"/>
      <c r="O1058" s="277"/>
      <c r="P1058" s="345"/>
      <c r="V1058" s="383"/>
    </row>
    <row r="1059" spans="1:22" ht="15" customHeight="1">
      <c r="A1059" s="3">
        <v>37327</v>
      </c>
      <c r="B1059" s="4">
        <v>55675</v>
      </c>
      <c r="D1059" s="5">
        <v>43725</v>
      </c>
      <c r="E1059" s="5">
        <f t="shared" si="22"/>
        <v>25025</v>
      </c>
      <c r="F1059" s="1">
        <v>124425</v>
      </c>
      <c r="G1059" s="1"/>
      <c r="H1059" s="1"/>
      <c r="I1059" s="1"/>
      <c r="J1059" s="266"/>
      <c r="K1059" s="23">
        <v>475</v>
      </c>
      <c r="L1059" s="11">
        <v>486</v>
      </c>
      <c r="M1059" s="270">
        <f t="shared" si="21"/>
        <v>11</v>
      </c>
      <c r="N1059" s="7"/>
      <c r="O1059" s="277"/>
      <c r="P1059" s="345"/>
      <c r="V1059" s="383"/>
    </row>
    <row r="1060" spans="1:22" ht="15" customHeight="1">
      <c r="A1060" s="3">
        <v>37328</v>
      </c>
      <c r="B1060" s="4">
        <v>56175</v>
      </c>
      <c r="D1060" s="5">
        <v>43725</v>
      </c>
      <c r="E1060" s="5">
        <f t="shared" si="22"/>
        <v>24725</v>
      </c>
      <c r="F1060" s="1">
        <v>124625</v>
      </c>
      <c r="G1060" s="1"/>
      <c r="H1060" s="1"/>
      <c r="I1060" s="1"/>
      <c r="J1060" s="266"/>
      <c r="K1060" s="23">
        <v>475.5</v>
      </c>
      <c r="L1060" s="11">
        <v>490</v>
      </c>
      <c r="M1060" s="270">
        <f t="shared" si="21"/>
        <v>14.5</v>
      </c>
      <c r="N1060" s="7"/>
      <c r="O1060" s="277"/>
      <c r="P1060" s="345"/>
      <c r="V1060" s="383"/>
    </row>
    <row r="1061" spans="1:22" ht="15" customHeight="1">
      <c r="A1061" s="3">
        <v>37329</v>
      </c>
      <c r="B1061" s="4">
        <v>55825</v>
      </c>
      <c r="D1061" s="5">
        <v>43925</v>
      </c>
      <c r="E1061" s="5">
        <f t="shared" si="22"/>
        <v>24500</v>
      </c>
      <c r="F1061" s="1">
        <v>124250</v>
      </c>
      <c r="G1061" s="1"/>
      <c r="H1061" s="1"/>
      <c r="I1061" s="1"/>
      <c r="J1061" s="266"/>
      <c r="K1061" s="23">
        <v>475</v>
      </c>
      <c r="L1061" s="11">
        <v>488</v>
      </c>
      <c r="M1061" s="270">
        <f t="shared" si="21"/>
        <v>13</v>
      </c>
      <c r="N1061" s="7"/>
      <c r="O1061" s="277"/>
      <c r="P1061" s="345"/>
      <c r="V1061" s="383"/>
    </row>
    <row r="1062" spans="1:22" ht="15" customHeight="1">
      <c r="A1062" s="3">
        <v>37330</v>
      </c>
      <c r="B1062" s="4">
        <v>55850</v>
      </c>
      <c r="D1062" s="5">
        <v>44425</v>
      </c>
      <c r="E1062" s="5">
        <f t="shared" si="22"/>
        <v>24275</v>
      </c>
      <c r="F1062" s="1">
        <v>124550</v>
      </c>
      <c r="G1062" s="1"/>
      <c r="H1062" s="1"/>
      <c r="I1062" s="1"/>
      <c r="J1062" s="266"/>
      <c r="K1062" s="23">
        <v>476</v>
      </c>
      <c r="L1062" s="11">
        <v>486.5</v>
      </c>
      <c r="M1062" s="270">
        <f t="shared" si="21"/>
        <v>10.5</v>
      </c>
      <c r="N1062" s="7"/>
      <c r="O1062" s="277"/>
      <c r="P1062" s="345"/>
      <c r="V1062" s="383"/>
    </row>
    <row r="1063" spans="1:22" ht="15" customHeight="1">
      <c r="A1063" s="3">
        <v>37333</v>
      </c>
      <c r="B1063" s="4">
        <v>55775</v>
      </c>
      <c r="D1063" s="5">
        <v>44550</v>
      </c>
      <c r="E1063" s="5">
        <f t="shared" si="22"/>
        <v>24225</v>
      </c>
      <c r="F1063" s="1">
        <v>124550</v>
      </c>
      <c r="G1063" s="1"/>
      <c r="H1063" s="1"/>
      <c r="I1063" s="1"/>
      <c r="J1063" s="266"/>
      <c r="K1063" s="23">
        <v>475.5</v>
      </c>
      <c r="L1063" s="11">
        <v>487</v>
      </c>
      <c r="M1063" s="270">
        <f t="shared" si="21"/>
        <v>11.5</v>
      </c>
      <c r="N1063" s="7"/>
      <c r="O1063" s="277"/>
      <c r="P1063" s="345"/>
      <c r="V1063" s="383"/>
    </row>
    <row r="1064" spans="1:22" ht="15" customHeight="1">
      <c r="A1064" s="3">
        <v>37334</v>
      </c>
      <c r="B1064" s="4">
        <v>55725</v>
      </c>
      <c r="D1064" s="5">
        <v>44550</v>
      </c>
      <c r="E1064" s="5">
        <f t="shared" si="22"/>
        <v>24225</v>
      </c>
      <c r="F1064" s="1">
        <v>124500</v>
      </c>
      <c r="G1064" s="1"/>
      <c r="H1064" s="1"/>
      <c r="I1064" s="1"/>
      <c r="J1064" s="266"/>
      <c r="K1064" s="23">
        <v>484.5</v>
      </c>
      <c r="L1064" s="11">
        <v>495</v>
      </c>
      <c r="M1064" s="270">
        <f t="shared" si="21"/>
        <v>10.5</v>
      </c>
      <c r="N1064" s="7"/>
      <c r="O1064" s="277"/>
      <c r="P1064" s="345"/>
      <c r="V1064" s="383"/>
    </row>
    <row r="1065" spans="1:22" ht="15" customHeight="1">
      <c r="A1065" s="3">
        <v>37335</v>
      </c>
      <c r="B1065" s="4">
        <v>54200</v>
      </c>
      <c r="D1065" s="5">
        <v>45150</v>
      </c>
      <c r="E1065" s="5">
        <f t="shared" si="22"/>
        <v>24200</v>
      </c>
      <c r="F1065" s="1">
        <v>123550</v>
      </c>
      <c r="G1065" s="1"/>
      <c r="H1065" s="1"/>
      <c r="I1065" s="1"/>
      <c r="J1065" s="266"/>
      <c r="K1065" s="23">
        <v>484.5</v>
      </c>
      <c r="L1065" s="11">
        <v>497.5</v>
      </c>
      <c r="M1065" s="270">
        <f t="shared" si="21"/>
        <v>13</v>
      </c>
      <c r="N1065" s="7"/>
      <c r="O1065" s="277"/>
      <c r="P1065" s="345"/>
      <c r="V1065" s="383"/>
    </row>
    <row r="1066" spans="1:22" ht="15" customHeight="1">
      <c r="A1066" s="3">
        <v>37336</v>
      </c>
      <c r="B1066" s="4">
        <v>54175</v>
      </c>
      <c r="D1066" s="5">
        <v>45150</v>
      </c>
      <c r="E1066" s="5">
        <f t="shared" si="22"/>
        <v>24100</v>
      </c>
      <c r="F1066" s="1">
        <v>123425</v>
      </c>
      <c r="G1066" s="1"/>
      <c r="H1066" s="1"/>
      <c r="I1066" s="1"/>
      <c r="J1066" s="266"/>
      <c r="K1066" s="23">
        <v>491</v>
      </c>
      <c r="L1066" s="11">
        <v>504</v>
      </c>
      <c r="M1066" s="270">
        <f t="shared" si="21"/>
        <v>13</v>
      </c>
      <c r="N1066" s="7"/>
      <c r="O1066" s="277"/>
      <c r="P1066" s="345"/>
      <c r="V1066" s="383"/>
    </row>
    <row r="1067" spans="1:22" ht="15" customHeight="1">
      <c r="A1067" s="3">
        <v>37337</v>
      </c>
      <c r="B1067" s="4">
        <v>54250</v>
      </c>
      <c r="D1067" s="5">
        <v>45150</v>
      </c>
      <c r="E1067" s="5">
        <f t="shared" si="22"/>
        <v>24000</v>
      </c>
      <c r="F1067" s="1">
        <v>123400</v>
      </c>
      <c r="G1067" s="1"/>
      <c r="H1067" s="1"/>
      <c r="I1067" s="1"/>
      <c r="J1067" s="266"/>
      <c r="K1067" s="23">
        <v>477.5</v>
      </c>
      <c r="L1067" s="11">
        <v>492</v>
      </c>
      <c r="M1067" s="270">
        <f t="shared" si="21"/>
        <v>14.5</v>
      </c>
      <c r="N1067" s="7"/>
      <c r="O1067" s="277"/>
      <c r="P1067" s="345"/>
      <c r="V1067" s="383"/>
    </row>
    <row r="1068" spans="1:22" ht="15" customHeight="1">
      <c r="A1068" s="3">
        <v>37340</v>
      </c>
      <c r="B1068" s="4">
        <v>54025</v>
      </c>
      <c r="D1068" s="5">
        <v>45150</v>
      </c>
      <c r="E1068" s="5">
        <f t="shared" si="22"/>
        <v>24175</v>
      </c>
      <c r="F1068" s="1">
        <v>123350</v>
      </c>
      <c r="G1068" s="1"/>
      <c r="H1068" s="1"/>
      <c r="I1068" s="1"/>
      <c r="J1068" s="266"/>
      <c r="K1068" s="23">
        <v>477</v>
      </c>
      <c r="L1068" s="11">
        <v>493.5</v>
      </c>
      <c r="M1068" s="270">
        <f t="shared" si="21"/>
        <v>16.5</v>
      </c>
      <c r="N1068" s="7"/>
      <c r="O1068" s="277"/>
      <c r="P1068" s="345"/>
      <c r="V1068" s="383"/>
    </row>
    <row r="1069" spans="1:22" ht="15" customHeight="1">
      <c r="A1069" s="3">
        <v>37341</v>
      </c>
      <c r="B1069" s="4">
        <v>55000</v>
      </c>
      <c r="D1069" s="5">
        <v>45150</v>
      </c>
      <c r="E1069" s="5">
        <f t="shared" si="22"/>
        <v>24175</v>
      </c>
      <c r="F1069" s="1">
        <v>124325</v>
      </c>
      <c r="G1069" s="1"/>
      <c r="H1069" s="1"/>
      <c r="I1069" s="1"/>
      <c r="J1069" s="266"/>
      <c r="K1069" s="23">
        <v>484</v>
      </c>
      <c r="L1069" s="11">
        <v>497.5</v>
      </c>
      <c r="M1069" s="270">
        <f t="shared" si="21"/>
        <v>13.5</v>
      </c>
      <c r="N1069" s="7"/>
      <c r="O1069" s="277"/>
      <c r="P1069" s="345"/>
      <c r="V1069" s="383"/>
    </row>
    <row r="1070" spans="1:22" ht="15" customHeight="1">
      <c r="A1070" s="3">
        <v>37342</v>
      </c>
      <c r="B1070" s="4">
        <v>55800</v>
      </c>
      <c r="D1070" s="5">
        <v>46150</v>
      </c>
      <c r="E1070" s="5">
        <f t="shared" si="22"/>
        <v>23875</v>
      </c>
      <c r="F1070" s="1">
        <v>125825</v>
      </c>
      <c r="G1070" s="1"/>
      <c r="H1070" s="1"/>
      <c r="I1070" s="1"/>
      <c r="J1070" s="266"/>
      <c r="K1070" s="23">
        <v>490</v>
      </c>
      <c r="L1070" s="11">
        <v>501.5</v>
      </c>
      <c r="M1070" s="270">
        <f t="shared" si="21"/>
        <v>11.5</v>
      </c>
      <c r="N1070" s="7"/>
      <c r="O1070" s="277"/>
      <c r="P1070" s="345"/>
      <c r="V1070" s="383"/>
    </row>
    <row r="1071" spans="1:22" ht="15" customHeight="1">
      <c r="A1071" s="3">
        <v>37343</v>
      </c>
      <c r="B1071" s="4">
        <v>57800</v>
      </c>
      <c r="D1071" s="5">
        <v>46150</v>
      </c>
      <c r="E1071" s="5">
        <f t="shared" si="22"/>
        <v>23825</v>
      </c>
      <c r="F1071" s="1">
        <v>127775</v>
      </c>
      <c r="G1071" s="1"/>
      <c r="H1071" s="1"/>
      <c r="I1071" s="1"/>
      <c r="J1071" s="266"/>
      <c r="K1071" s="23">
        <v>485.5</v>
      </c>
      <c r="L1071" s="11">
        <v>498</v>
      </c>
      <c r="M1071" s="270">
        <f t="shared" si="21"/>
        <v>12.5</v>
      </c>
      <c r="N1071" s="7"/>
      <c r="O1071" s="277"/>
      <c r="P1071" s="345"/>
      <c r="V1071" s="383"/>
    </row>
    <row r="1072" spans="1:22" ht="15" customHeight="1">
      <c r="A1072" s="3">
        <v>37348</v>
      </c>
      <c r="B1072" s="4">
        <v>58450</v>
      </c>
      <c r="D1072" s="5">
        <v>46450</v>
      </c>
      <c r="E1072" s="5">
        <f t="shared" si="22"/>
        <v>23825</v>
      </c>
      <c r="F1072" s="1">
        <v>128725</v>
      </c>
      <c r="G1072" s="1"/>
      <c r="H1072" s="1"/>
      <c r="I1072" s="1"/>
      <c r="J1072" s="266"/>
      <c r="K1072" s="24">
        <v>483</v>
      </c>
      <c r="L1072" s="6">
        <v>495.5</v>
      </c>
      <c r="M1072" s="270">
        <f t="shared" si="21"/>
        <v>12.5</v>
      </c>
      <c r="N1072" s="7"/>
      <c r="O1072" s="277"/>
      <c r="P1072" s="345"/>
      <c r="V1072" s="383"/>
    </row>
    <row r="1073" spans="1:22" ht="15" customHeight="1">
      <c r="A1073" s="3">
        <v>37349</v>
      </c>
      <c r="B1073" s="4">
        <v>58050</v>
      </c>
      <c r="D1073" s="5">
        <v>46450</v>
      </c>
      <c r="E1073" s="5">
        <f t="shared" si="22"/>
        <v>23775</v>
      </c>
      <c r="F1073" s="1">
        <v>128275</v>
      </c>
      <c r="G1073" s="1"/>
      <c r="H1073" s="1"/>
      <c r="I1073" s="1"/>
      <c r="J1073" s="266"/>
      <c r="K1073" s="24">
        <v>483</v>
      </c>
      <c r="L1073" s="6">
        <v>492</v>
      </c>
      <c r="M1073" s="270">
        <f t="shared" si="21"/>
        <v>9</v>
      </c>
      <c r="N1073" s="7"/>
      <c r="O1073" s="277"/>
      <c r="P1073" s="345"/>
      <c r="V1073" s="383"/>
    </row>
    <row r="1074" spans="1:22" ht="15" customHeight="1">
      <c r="A1074" s="3">
        <v>37350</v>
      </c>
      <c r="B1074" s="4">
        <v>58050</v>
      </c>
      <c r="D1074" s="5">
        <v>46450</v>
      </c>
      <c r="E1074" s="5">
        <f t="shared" si="22"/>
        <v>23750</v>
      </c>
      <c r="F1074" s="1">
        <v>128250</v>
      </c>
      <c r="G1074" s="1"/>
      <c r="H1074" s="1"/>
      <c r="I1074" s="1"/>
      <c r="J1074" s="266"/>
      <c r="K1074" s="24">
        <v>469.5</v>
      </c>
      <c r="L1074" s="6">
        <v>484</v>
      </c>
      <c r="M1074" s="270">
        <f t="shared" si="21"/>
        <v>14.5</v>
      </c>
      <c r="N1074" s="7"/>
      <c r="O1074" s="277"/>
      <c r="P1074" s="345"/>
      <c r="V1074" s="383"/>
    </row>
    <row r="1075" spans="1:22" ht="15" customHeight="1">
      <c r="A1075" s="3">
        <v>37351</v>
      </c>
      <c r="B1075" s="4">
        <v>58050</v>
      </c>
      <c r="D1075" s="5">
        <v>47000</v>
      </c>
      <c r="E1075" s="5">
        <f t="shared" si="22"/>
        <v>23700</v>
      </c>
      <c r="F1075" s="1">
        <v>128750</v>
      </c>
      <c r="G1075" s="1"/>
      <c r="H1075" s="1"/>
      <c r="I1075" s="1"/>
      <c r="J1075" s="266"/>
      <c r="K1075" s="24">
        <v>466.5</v>
      </c>
      <c r="L1075" s="6">
        <v>481</v>
      </c>
      <c r="M1075" s="270">
        <f t="shared" si="21"/>
        <v>14.5</v>
      </c>
      <c r="N1075" s="7"/>
      <c r="O1075" s="277"/>
      <c r="P1075" s="345"/>
      <c r="V1075" s="383"/>
    </row>
    <row r="1076" spans="1:22" ht="15" customHeight="1">
      <c r="A1076" s="3">
        <v>37354</v>
      </c>
      <c r="B1076" s="4">
        <v>59050</v>
      </c>
      <c r="D1076" s="5">
        <v>47075</v>
      </c>
      <c r="E1076" s="5">
        <f t="shared" si="22"/>
        <v>23650</v>
      </c>
      <c r="F1076" s="1">
        <v>129775</v>
      </c>
      <c r="G1076" s="1"/>
      <c r="H1076" s="1"/>
      <c r="I1076" s="1"/>
      <c r="J1076" s="266"/>
      <c r="K1076" s="24">
        <v>467</v>
      </c>
      <c r="L1076" s="6">
        <v>481</v>
      </c>
      <c r="M1076" s="270">
        <f t="shared" si="21"/>
        <v>14</v>
      </c>
      <c r="N1076" s="7"/>
      <c r="O1076" s="277"/>
      <c r="P1076" s="345"/>
      <c r="V1076" s="383"/>
    </row>
    <row r="1077" spans="1:22" ht="15" customHeight="1">
      <c r="A1077" s="3">
        <v>37355</v>
      </c>
      <c r="B1077" s="4">
        <v>59000</v>
      </c>
      <c r="D1077" s="5">
        <v>47875</v>
      </c>
      <c r="E1077" s="5">
        <f t="shared" si="22"/>
        <v>23625</v>
      </c>
      <c r="F1077" s="1">
        <v>130500</v>
      </c>
      <c r="G1077" s="1"/>
      <c r="H1077" s="1"/>
      <c r="I1077" s="1"/>
      <c r="J1077" s="266"/>
      <c r="K1077" s="24">
        <v>476.5</v>
      </c>
      <c r="L1077" s="6">
        <v>490</v>
      </c>
      <c r="M1077" s="270">
        <f t="shared" si="21"/>
        <v>13.5</v>
      </c>
      <c r="N1077" s="7"/>
      <c r="O1077" s="277"/>
      <c r="P1077" s="345"/>
      <c r="V1077" s="383"/>
    </row>
    <row r="1078" spans="1:22" ht="15" customHeight="1">
      <c r="A1078" s="3">
        <v>37356</v>
      </c>
      <c r="B1078" s="4">
        <v>58950</v>
      </c>
      <c r="D1078" s="5">
        <v>48050</v>
      </c>
      <c r="E1078" s="5">
        <f t="shared" si="22"/>
        <v>23550</v>
      </c>
      <c r="F1078" s="1">
        <v>130550</v>
      </c>
      <c r="G1078" s="1"/>
      <c r="H1078" s="1"/>
      <c r="I1078" s="1"/>
      <c r="J1078" s="266"/>
      <c r="K1078" s="24">
        <v>476</v>
      </c>
      <c r="L1078" s="6">
        <v>489</v>
      </c>
      <c r="M1078" s="270">
        <f t="shared" si="21"/>
        <v>13</v>
      </c>
      <c r="N1078" s="7"/>
      <c r="O1078" s="277"/>
      <c r="P1078" s="345"/>
      <c r="V1078" s="383"/>
    </row>
    <row r="1079" spans="1:22" ht="15" customHeight="1">
      <c r="A1079" s="3">
        <v>37357</v>
      </c>
      <c r="B1079" s="4">
        <v>59025</v>
      </c>
      <c r="D1079" s="5">
        <v>48050</v>
      </c>
      <c r="E1079" s="5">
        <f t="shared" si="22"/>
        <v>23525</v>
      </c>
      <c r="F1079" s="1">
        <v>130600</v>
      </c>
      <c r="G1079" s="1"/>
      <c r="H1079" s="1"/>
      <c r="I1079" s="1"/>
      <c r="J1079" s="266"/>
      <c r="K1079" s="24">
        <v>478</v>
      </c>
      <c r="L1079" s="6">
        <v>490</v>
      </c>
      <c r="M1079" s="270">
        <f t="shared" ref="M1079:M1142" si="23">L1079-K1079</f>
        <v>12</v>
      </c>
      <c r="N1079" s="7"/>
      <c r="O1079" s="277"/>
      <c r="P1079" s="345"/>
      <c r="V1079" s="383"/>
    </row>
    <row r="1080" spans="1:22" ht="15" customHeight="1">
      <c r="A1080" s="3">
        <v>37358</v>
      </c>
      <c r="B1080" s="4">
        <v>57700</v>
      </c>
      <c r="D1080" s="5">
        <v>48100</v>
      </c>
      <c r="E1080" s="5">
        <f t="shared" si="22"/>
        <v>23400</v>
      </c>
      <c r="F1080" s="1">
        <v>129200</v>
      </c>
      <c r="G1080" s="1"/>
      <c r="H1080" s="1"/>
      <c r="I1080" s="1"/>
      <c r="J1080" s="266"/>
      <c r="K1080" s="24">
        <v>477</v>
      </c>
      <c r="L1080" s="6">
        <v>489</v>
      </c>
      <c r="M1080" s="270">
        <f t="shared" si="23"/>
        <v>12</v>
      </c>
      <c r="N1080" s="7"/>
      <c r="O1080" s="277"/>
      <c r="P1080" s="345"/>
      <c r="V1080" s="383"/>
    </row>
    <row r="1081" spans="1:22" ht="15" customHeight="1">
      <c r="A1081" s="3">
        <v>37361</v>
      </c>
      <c r="B1081" s="4">
        <v>65600</v>
      </c>
      <c r="D1081" s="5">
        <v>48100</v>
      </c>
      <c r="E1081" s="5">
        <f t="shared" si="22"/>
        <v>23400</v>
      </c>
      <c r="F1081" s="1">
        <v>137100</v>
      </c>
      <c r="G1081" s="1"/>
      <c r="H1081" s="1"/>
      <c r="I1081" s="1"/>
      <c r="J1081" s="266"/>
      <c r="K1081" s="24">
        <v>468.5</v>
      </c>
      <c r="L1081" s="6">
        <v>481</v>
      </c>
      <c r="M1081" s="270">
        <f t="shared" si="23"/>
        <v>12.5</v>
      </c>
      <c r="N1081" s="7"/>
      <c r="O1081" s="277"/>
      <c r="P1081" s="345"/>
      <c r="V1081" s="383"/>
    </row>
    <row r="1082" spans="1:22" ht="15" customHeight="1">
      <c r="A1082" s="3">
        <v>37362</v>
      </c>
      <c r="B1082" s="4">
        <v>69450</v>
      </c>
      <c r="D1082" s="5">
        <v>48350</v>
      </c>
      <c r="E1082" s="5">
        <f t="shared" si="22"/>
        <v>23350</v>
      </c>
      <c r="F1082" s="1">
        <v>141150</v>
      </c>
      <c r="G1082" s="1"/>
      <c r="H1082" s="1"/>
      <c r="I1082" s="1"/>
      <c r="J1082" s="266"/>
      <c r="K1082" s="24">
        <v>469</v>
      </c>
      <c r="L1082" s="6">
        <v>482</v>
      </c>
      <c r="M1082" s="270">
        <f t="shared" si="23"/>
        <v>13</v>
      </c>
      <c r="N1082" s="7"/>
      <c r="O1082" s="277"/>
      <c r="P1082" s="345"/>
      <c r="V1082" s="383"/>
    </row>
    <row r="1083" spans="1:22" ht="15" customHeight="1">
      <c r="A1083" s="3">
        <v>37363</v>
      </c>
      <c r="B1083" s="4">
        <v>69300</v>
      </c>
      <c r="D1083" s="5">
        <v>48575</v>
      </c>
      <c r="E1083" s="5">
        <f t="shared" si="22"/>
        <v>23325</v>
      </c>
      <c r="F1083" s="1">
        <v>141200</v>
      </c>
      <c r="G1083" s="1"/>
      <c r="H1083" s="1"/>
      <c r="I1083" s="1"/>
      <c r="J1083" s="266"/>
      <c r="K1083" s="24">
        <v>471</v>
      </c>
      <c r="L1083" s="6">
        <v>484</v>
      </c>
      <c r="M1083" s="270">
        <f t="shared" si="23"/>
        <v>13</v>
      </c>
      <c r="N1083" s="7"/>
      <c r="O1083" s="277"/>
      <c r="P1083" s="345"/>
      <c r="V1083" s="383"/>
    </row>
    <row r="1084" spans="1:22" ht="15" customHeight="1">
      <c r="A1084" s="3">
        <v>37364</v>
      </c>
      <c r="B1084" s="4">
        <v>67475</v>
      </c>
      <c r="D1084" s="5">
        <v>48775</v>
      </c>
      <c r="E1084" s="5">
        <f t="shared" si="22"/>
        <v>23250</v>
      </c>
      <c r="F1084" s="1">
        <v>139500</v>
      </c>
      <c r="G1084" s="1"/>
      <c r="H1084" s="1"/>
      <c r="I1084" s="1"/>
      <c r="J1084" s="266"/>
      <c r="K1084" s="24">
        <v>475</v>
      </c>
      <c r="L1084" s="6">
        <v>486</v>
      </c>
      <c r="M1084" s="270">
        <f t="shared" si="23"/>
        <v>11</v>
      </c>
      <c r="N1084" s="7"/>
      <c r="O1084" s="277"/>
      <c r="P1084" s="345"/>
      <c r="V1084" s="383"/>
    </row>
    <row r="1085" spans="1:22" ht="15" customHeight="1">
      <c r="A1085" s="3">
        <v>37365</v>
      </c>
      <c r="B1085" s="4">
        <v>68500</v>
      </c>
      <c r="D1085" s="5">
        <v>49425</v>
      </c>
      <c r="E1085" s="5">
        <f t="shared" si="22"/>
        <v>23200</v>
      </c>
      <c r="F1085" s="1">
        <v>141125</v>
      </c>
      <c r="G1085" s="1"/>
      <c r="H1085" s="1"/>
      <c r="I1085" s="1"/>
      <c r="J1085" s="266"/>
      <c r="K1085" s="24">
        <v>467.5</v>
      </c>
      <c r="L1085" s="6">
        <v>481.5</v>
      </c>
      <c r="M1085" s="270">
        <f t="shared" si="23"/>
        <v>14</v>
      </c>
      <c r="N1085" s="7"/>
      <c r="O1085" s="277"/>
      <c r="P1085" s="345"/>
      <c r="V1085" s="383"/>
    </row>
    <row r="1086" spans="1:22" ht="15" customHeight="1">
      <c r="A1086" s="3">
        <v>37368</v>
      </c>
      <c r="B1086" s="4">
        <v>68450</v>
      </c>
      <c r="D1086" s="5">
        <v>50900</v>
      </c>
      <c r="E1086" s="5">
        <f t="shared" ref="E1086:E1127" si="24">F1086-(B1086+D1086)</f>
        <v>23125</v>
      </c>
      <c r="F1086" s="1">
        <v>142475</v>
      </c>
      <c r="G1086" s="1"/>
      <c r="H1086" s="1"/>
      <c r="I1086" s="1"/>
      <c r="J1086" s="266"/>
      <c r="K1086" s="24">
        <v>475</v>
      </c>
      <c r="L1086" s="6">
        <v>486</v>
      </c>
      <c r="M1086" s="270">
        <f t="shared" si="23"/>
        <v>11</v>
      </c>
      <c r="N1086" s="7"/>
      <c r="O1086" s="277"/>
      <c r="P1086" s="345"/>
      <c r="V1086" s="383"/>
    </row>
    <row r="1087" spans="1:22" ht="15" customHeight="1">
      <c r="A1087" s="3">
        <v>37369</v>
      </c>
      <c r="B1087" s="4">
        <v>67600</v>
      </c>
      <c r="D1087" s="5">
        <v>51175</v>
      </c>
      <c r="E1087" s="5">
        <f t="shared" si="24"/>
        <v>23125</v>
      </c>
      <c r="F1087" s="1">
        <v>141900</v>
      </c>
      <c r="G1087" s="1"/>
      <c r="H1087" s="1"/>
      <c r="I1087" s="1"/>
      <c r="J1087" s="266"/>
      <c r="K1087" s="24">
        <v>474</v>
      </c>
      <c r="L1087" s="6">
        <v>484</v>
      </c>
      <c r="M1087" s="270">
        <f t="shared" si="23"/>
        <v>10</v>
      </c>
      <c r="N1087" s="7"/>
      <c r="O1087" s="277"/>
      <c r="P1087" s="345"/>
      <c r="V1087" s="383"/>
    </row>
    <row r="1088" spans="1:22" ht="15" customHeight="1">
      <c r="A1088" s="3">
        <v>37370</v>
      </c>
      <c r="B1088" s="4">
        <v>67550</v>
      </c>
      <c r="D1088" s="5">
        <v>52100</v>
      </c>
      <c r="E1088" s="5">
        <f t="shared" si="24"/>
        <v>23100</v>
      </c>
      <c r="F1088" s="1">
        <v>142750</v>
      </c>
      <c r="G1088" s="1"/>
      <c r="H1088" s="1"/>
      <c r="I1088" s="1"/>
      <c r="J1088" s="266"/>
      <c r="K1088" s="24">
        <v>472</v>
      </c>
      <c r="L1088" s="6">
        <v>483</v>
      </c>
      <c r="M1088" s="270">
        <f t="shared" si="23"/>
        <v>11</v>
      </c>
      <c r="N1088" s="7"/>
      <c r="O1088" s="277"/>
      <c r="P1088" s="345"/>
      <c r="V1088" s="383"/>
    </row>
    <row r="1089" spans="1:22" ht="15" customHeight="1">
      <c r="A1089" s="3">
        <v>37371</v>
      </c>
      <c r="B1089" s="4">
        <v>70000</v>
      </c>
      <c r="D1089" s="5">
        <v>52475</v>
      </c>
      <c r="E1089" s="5">
        <f t="shared" si="24"/>
        <v>23050</v>
      </c>
      <c r="F1089" s="1">
        <v>145525</v>
      </c>
      <c r="G1089" s="1"/>
      <c r="H1089" s="1"/>
      <c r="I1089" s="1"/>
      <c r="J1089" s="266"/>
      <c r="K1089" s="24">
        <v>469.5</v>
      </c>
      <c r="L1089" s="6">
        <v>481</v>
      </c>
      <c r="M1089" s="270">
        <f t="shared" si="23"/>
        <v>11.5</v>
      </c>
      <c r="N1089" s="7"/>
      <c r="O1089" s="277"/>
      <c r="P1089" s="345"/>
      <c r="V1089" s="383"/>
    </row>
    <row r="1090" spans="1:22" ht="15" customHeight="1">
      <c r="A1090" s="3">
        <v>37372</v>
      </c>
      <c r="B1090" s="4">
        <v>71500</v>
      </c>
      <c r="D1090" s="5">
        <v>52925</v>
      </c>
      <c r="E1090" s="5">
        <f t="shared" si="24"/>
        <v>23050</v>
      </c>
      <c r="F1090" s="5">
        <v>147475</v>
      </c>
      <c r="K1090" s="24">
        <v>467</v>
      </c>
      <c r="L1090" s="6">
        <v>476.5</v>
      </c>
      <c r="M1090" s="270">
        <f t="shared" si="23"/>
        <v>9.5</v>
      </c>
      <c r="N1090" s="7"/>
      <c r="O1090" s="277"/>
      <c r="P1090" s="345"/>
      <c r="V1090" s="383"/>
    </row>
    <row r="1091" spans="1:22" ht="15" customHeight="1">
      <c r="A1091" s="3">
        <v>37375</v>
      </c>
      <c r="B1091" s="4">
        <v>71300</v>
      </c>
      <c r="D1091" s="5">
        <v>53225</v>
      </c>
      <c r="E1091" s="5">
        <f t="shared" si="24"/>
        <v>23050</v>
      </c>
      <c r="F1091" s="5">
        <v>147575</v>
      </c>
      <c r="K1091" s="24">
        <v>471</v>
      </c>
      <c r="L1091" s="6">
        <v>484</v>
      </c>
      <c r="M1091" s="270">
        <f t="shared" si="23"/>
        <v>13</v>
      </c>
      <c r="N1091" s="7"/>
      <c r="O1091" s="277"/>
      <c r="P1091" s="345"/>
      <c r="V1091" s="383"/>
    </row>
    <row r="1092" spans="1:22" ht="15" customHeight="1">
      <c r="A1092" s="3">
        <v>37376</v>
      </c>
      <c r="B1092" s="4">
        <v>71250</v>
      </c>
      <c r="D1092" s="5">
        <v>54725</v>
      </c>
      <c r="E1092" s="5">
        <f t="shared" si="24"/>
        <v>23050</v>
      </c>
      <c r="F1092" s="5">
        <v>149025</v>
      </c>
      <c r="K1092" s="24">
        <v>463.5</v>
      </c>
      <c r="L1092" s="6">
        <v>476</v>
      </c>
      <c r="M1092" s="270">
        <f t="shared" si="23"/>
        <v>12.5</v>
      </c>
      <c r="N1092" s="7"/>
      <c r="O1092" s="277"/>
      <c r="P1092" s="345"/>
      <c r="V1092" s="383"/>
    </row>
    <row r="1093" spans="1:22" ht="15" customHeight="1">
      <c r="A1093" s="3">
        <v>37377</v>
      </c>
      <c r="B1093" s="4">
        <v>75225</v>
      </c>
      <c r="D1093" s="5">
        <v>55050</v>
      </c>
      <c r="E1093" s="5">
        <f t="shared" si="24"/>
        <v>23050</v>
      </c>
      <c r="F1093" s="5">
        <v>153325</v>
      </c>
      <c r="K1093" s="24">
        <v>460</v>
      </c>
      <c r="L1093" s="6">
        <v>472</v>
      </c>
      <c r="M1093" s="270">
        <f t="shared" si="23"/>
        <v>12</v>
      </c>
      <c r="N1093" s="7"/>
      <c r="O1093" s="277"/>
      <c r="P1093" s="345"/>
      <c r="V1093" s="383"/>
    </row>
    <row r="1094" spans="1:22" ht="15" customHeight="1">
      <c r="A1094" s="3">
        <v>37378</v>
      </c>
      <c r="B1094" s="4">
        <v>75225</v>
      </c>
      <c r="D1094" s="5">
        <v>57425</v>
      </c>
      <c r="E1094" s="5">
        <f t="shared" si="24"/>
        <v>23050</v>
      </c>
      <c r="F1094" s="5">
        <v>155700</v>
      </c>
      <c r="K1094" s="24">
        <v>462</v>
      </c>
      <c r="L1094" s="6">
        <v>473.5</v>
      </c>
      <c r="M1094" s="270">
        <f t="shared" si="23"/>
        <v>11.5</v>
      </c>
      <c r="N1094" s="7"/>
      <c r="O1094" s="277"/>
      <c r="P1094" s="345"/>
      <c r="V1094" s="383"/>
    </row>
    <row r="1095" spans="1:22" ht="15" customHeight="1">
      <c r="A1095" s="3">
        <v>37381</v>
      </c>
      <c r="B1095" s="4">
        <v>75450</v>
      </c>
      <c r="D1095" s="5">
        <v>58025</v>
      </c>
      <c r="E1095" s="5">
        <f t="shared" si="24"/>
        <v>24650</v>
      </c>
      <c r="F1095" s="5">
        <v>158125</v>
      </c>
      <c r="K1095" s="24">
        <v>458</v>
      </c>
      <c r="L1095" s="6">
        <v>469</v>
      </c>
      <c r="M1095" s="270">
        <f t="shared" si="23"/>
        <v>11</v>
      </c>
      <c r="N1095" s="7"/>
      <c r="O1095" s="277"/>
      <c r="P1095" s="345"/>
      <c r="V1095" s="383"/>
    </row>
    <row r="1096" spans="1:22" ht="15" customHeight="1">
      <c r="A1096" s="3">
        <v>37383</v>
      </c>
      <c r="B1096" s="4">
        <v>75175</v>
      </c>
      <c r="D1096" s="5">
        <v>58025</v>
      </c>
      <c r="E1096" s="5">
        <f t="shared" si="24"/>
        <v>30400</v>
      </c>
      <c r="F1096" s="5">
        <v>163600</v>
      </c>
      <c r="K1096" s="24">
        <v>458</v>
      </c>
      <c r="L1096" s="6">
        <v>469</v>
      </c>
      <c r="M1096" s="270">
        <f t="shared" si="23"/>
        <v>11</v>
      </c>
      <c r="N1096" s="7"/>
      <c r="O1096" s="277"/>
      <c r="P1096" s="345"/>
      <c r="V1096" s="383"/>
    </row>
    <row r="1097" spans="1:22" ht="15" customHeight="1">
      <c r="A1097" s="3">
        <v>37384</v>
      </c>
      <c r="B1097" s="4">
        <v>76075</v>
      </c>
      <c r="D1097" s="5">
        <v>59200</v>
      </c>
      <c r="E1097" s="5">
        <f t="shared" si="24"/>
        <v>30350</v>
      </c>
      <c r="F1097" s="5">
        <v>165625</v>
      </c>
      <c r="K1097" s="24">
        <v>464</v>
      </c>
      <c r="L1097" s="6">
        <v>474</v>
      </c>
      <c r="M1097" s="270">
        <f t="shared" si="23"/>
        <v>10</v>
      </c>
      <c r="N1097" s="7"/>
      <c r="O1097" s="277"/>
      <c r="P1097" s="345"/>
      <c r="V1097" s="383"/>
    </row>
    <row r="1098" spans="1:22" ht="15" customHeight="1">
      <c r="A1098" s="3">
        <v>37385</v>
      </c>
      <c r="B1098" s="4">
        <v>75325</v>
      </c>
      <c r="D1098" s="5">
        <v>59200</v>
      </c>
      <c r="E1098" s="5">
        <f t="shared" si="24"/>
        <v>30300</v>
      </c>
      <c r="F1098" s="5">
        <v>164825</v>
      </c>
      <c r="K1098" s="24">
        <v>459</v>
      </c>
      <c r="L1098" s="6">
        <v>470</v>
      </c>
      <c r="M1098" s="270">
        <f t="shared" si="23"/>
        <v>11</v>
      </c>
      <c r="N1098" s="7"/>
      <c r="O1098" s="277"/>
      <c r="P1098" s="345"/>
      <c r="V1098" s="383"/>
    </row>
    <row r="1099" spans="1:22" ht="15" customHeight="1">
      <c r="A1099" s="3">
        <v>37388</v>
      </c>
      <c r="B1099" s="4">
        <v>75100</v>
      </c>
      <c r="D1099" s="5">
        <v>59325</v>
      </c>
      <c r="E1099" s="5">
        <f t="shared" si="24"/>
        <v>30300</v>
      </c>
      <c r="F1099" s="5">
        <v>164725</v>
      </c>
      <c r="K1099" s="24">
        <v>462</v>
      </c>
      <c r="L1099" s="6">
        <v>472</v>
      </c>
      <c r="M1099" s="270">
        <f t="shared" si="23"/>
        <v>10</v>
      </c>
      <c r="N1099" s="7"/>
      <c r="O1099" s="277"/>
      <c r="P1099" s="345"/>
      <c r="V1099" s="383"/>
    </row>
    <row r="1100" spans="1:22" ht="15" customHeight="1">
      <c r="A1100" s="3">
        <v>37389</v>
      </c>
      <c r="B1100" s="4">
        <v>75975</v>
      </c>
      <c r="D1100" s="5">
        <v>59325</v>
      </c>
      <c r="E1100" s="5">
        <f t="shared" si="24"/>
        <v>30250</v>
      </c>
      <c r="F1100" s="5">
        <v>165550</v>
      </c>
      <c r="K1100" s="24">
        <v>454</v>
      </c>
      <c r="L1100" s="6">
        <v>465</v>
      </c>
      <c r="M1100" s="270">
        <f t="shared" si="23"/>
        <v>11</v>
      </c>
      <c r="N1100" s="7"/>
      <c r="O1100" s="277"/>
      <c r="P1100" s="345"/>
      <c r="V1100" s="383"/>
    </row>
    <row r="1101" spans="1:22" ht="15" customHeight="1">
      <c r="A1101" s="3">
        <v>37390</v>
      </c>
      <c r="B1101" s="4">
        <v>76150</v>
      </c>
      <c r="D1101" s="5">
        <v>59450</v>
      </c>
      <c r="E1101" s="5">
        <f t="shared" si="24"/>
        <v>30175</v>
      </c>
      <c r="F1101" s="5">
        <v>165775</v>
      </c>
      <c r="K1101" s="24">
        <v>451</v>
      </c>
      <c r="L1101" s="6">
        <v>462</v>
      </c>
      <c r="M1101" s="270">
        <f t="shared" si="23"/>
        <v>11</v>
      </c>
      <c r="N1101" s="7"/>
      <c r="O1101" s="277"/>
      <c r="P1101" s="345"/>
      <c r="V1101" s="383"/>
    </row>
    <row r="1102" spans="1:22" ht="15" customHeight="1">
      <c r="A1102" s="3">
        <v>37391</v>
      </c>
      <c r="B1102" s="4">
        <v>75000</v>
      </c>
      <c r="D1102" s="5">
        <v>60250</v>
      </c>
      <c r="E1102" s="5">
        <f t="shared" si="24"/>
        <v>30575</v>
      </c>
      <c r="F1102" s="5">
        <v>165825</v>
      </c>
      <c r="K1102" s="24">
        <v>445.5</v>
      </c>
      <c r="L1102" s="6">
        <v>455.5</v>
      </c>
      <c r="M1102" s="270">
        <f t="shared" si="23"/>
        <v>10</v>
      </c>
      <c r="N1102" s="7"/>
      <c r="O1102" s="277"/>
      <c r="P1102" s="345"/>
      <c r="V1102" s="383"/>
    </row>
    <row r="1103" spans="1:22" ht="15" customHeight="1">
      <c r="A1103" s="3">
        <v>37392</v>
      </c>
      <c r="B1103" s="4">
        <v>75000</v>
      </c>
      <c r="D1103" s="5">
        <v>60375</v>
      </c>
      <c r="E1103" s="5">
        <f t="shared" si="24"/>
        <v>33425</v>
      </c>
      <c r="F1103" s="5">
        <v>168800</v>
      </c>
      <c r="K1103" s="24">
        <v>444.5</v>
      </c>
      <c r="L1103" s="6">
        <v>457</v>
      </c>
      <c r="M1103" s="270">
        <f t="shared" si="23"/>
        <v>12.5</v>
      </c>
      <c r="N1103" s="7"/>
      <c r="O1103" s="277"/>
      <c r="P1103" s="345"/>
      <c r="V1103" s="383"/>
    </row>
    <row r="1104" spans="1:22" ht="15" customHeight="1">
      <c r="A1104" s="3">
        <v>37393</v>
      </c>
      <c r="B1104" s="4">
        <v>74525</v>
      </c>
      <c r="D1104" s="5">
        <v>60375</v>
      </c>
      <c r="E1104" s="5">
        <f t="shared" si="24"/>
        <v>33425</v>
      </c>
      <c r="F1104" s="5">
        <v>168325</v>
      </c>
      <c r="K1104" s="24">
        <v>448</v>
      </c>
      <c r="L1104" s="6">
        <v>460</v>
      </c>
      <c r="M1104" s="270">
        <f t="shared" si="23"/>
        <v>12</v>
      </c>
      <c r="N1104" s="7"/>
      <c r="O1104" s="277"/>
      <c r="P1104" s="345"/>
      <c r="V1104" s="383"/>
    </row>
    <row r="1105" spans="1:22" ht="15" customHeight="1">
      <c r="A1105" s="3">
        <v>37396</v>
      </c>
      <c r="B1105" s="4">
        <v>74425</v>
      </c>
      <c r="D1105" s="5">
        <v>61423</v>
      </c>
      <c r="E1105" s="5">
        <f t="shared" si="24"/>
        <v>36752</v>
      </c>
      <c r="F1105" s="5">
        <v>172600</v>
      </c>
      <c r="K1105" s="24">
        <v>446</v>
      </c>
      <c r="L1105" s="6">
        <v>458</v>
      </c>
      <c r="M1105" s="270">
        <f t="shared" si="23"/>
        <v>12</v>
      </c>
      <c r="N1105" s="7"/>
      <c r="O1105" s="277"/>
      <c r="P1105" s="345"/>
      <c r="V1105" s="383"/>
    </row>
    <row r="1106" spans="1:22" ht="15" customHeight="1">
      <c r="A1106" s="3">
        <v>37397</v>
      </c>
      <c r="B1106" s="4">
        <v>74500</v>
      </c>
      <c r="D1106" s="5">
        <v>61500</v>
      </c>
      <c r="E1106" s="5">
        <f t="shared" si="24"/>
        <v>36750</v>
      </c>
      <c r="F1106" s="5">
        <v>172750</v>
      </c>
      <c r="K1106" s="24">
        <v>448.5</v>
      </c>
      <c r="L1106" s="6">
        <v>460.5</v>
      </c>
      <c r="M1106" s="270">
        <f t="shared" si="23"/>
        <v>12</v>
      </c>
      <c r="N1106" s="7"/>
      <c r="O1106" s="277"/>
      <c r="P1106" s="345"/>
      <c r="V1106" s="383"/>
    </row>
    <row r="1107" spans="1:22" ht="15" customHeight="1">
      <c r="A1107" s="3">
        <v>37398</v>
      </c>
      <c r="B1107" s="4">
        <v>74200</v>
      </c>
      <c r="D1107" s="5">
        <v>61500</v>
      </c>
      <c r="E1107" s="5">
        <f t="shared" si="24"/>
        <v>36625</v>
      </c>
      <c r="F1107" s="5">
        <v>172325</v>
      </c>
      <c r="K1107" s="24">
        <v>451</v>
      </c>
      <c r="L1107" s="6">
        <v>462.5</v>
      </c>
      <c r="M1107" s="270">
        <f t="shared" si="23"/>
        <v>11.5</v>
      </c>
      <c r="N1107" s="7"/>
      <c r="O1107" s="277"/>
      <c r="P1107" s="345"/>
      <c r="V1107" s="383"/>
    </row>
    <row r="1108" spans="1:22" ht="15" customHeight="1">
      <c r="A1108" s="3">
        <v>37399</v>
      </c>
      <c r="B1108" s="4">
        <v>73600</v>
      </c>
      <c r="D1108" s="5">
        <v>62700</v>
      </c>
      <c r="E1108" s="5">
        <f t="shared" si="24"/>
        <v>38950</v>
      </c>
      <c r="F1108" s="5">
        <v>175250</v>
      </c>
      <c r="K1108" s="24">
        <v>447.5</v>
      </c>
      <c r="L1108" s="6">
        <v>459.5</v>
      </c>
      <c r="M1108" s="270">
        <f t="shared" si="23"/>
        <v>12</v>
      </c>
      <c r="N1108" s="7"/>
      <c r="O1108" s="277"/>
      <c r="P1108" s="345"/>
      <c r="V1108" s="383"/>
    </row>
    <row r="1109" spans="1:22" ht="15" customHeight="1">
      <c r="A1109" s="3">
        <v>37402</v>
      </c>
      <c r="B1109" s="4">
        <v>73500</v>
      </c>
      <c r="D1109" s="5">
        <v>62700</v>
      </c>
      <c r="E1109" s="5">
        <f t="shared" si="24"/>
        <v>38925</v>
      </c>
      <c r="F1109" s="5">
        <v>175125</v>
      </c>
      <c r="K1109" s="24">
        <v>451</v>
      </c>
      <c r="L1109" s="6">
        <v>465</v>
      </c>
      <c r="M1109" s="270">
        <f t="shared" si="23"/>
        <v>14</v>
      </c>
      <c r="N1109" s="7"/>
      <c r="O1109" s="277"/>
      <c r="P1109" s="345"/>
      <c r="V1109" s="383"/>
    </row>
    <row r="1110" spans="1:22" ht="15" customHeight="1">
      <c r="A1110" s="3">
        <v>37403</v>
      </c>
      <c r="B1110" s="4">
        <v>73400</v>
      </c>
      <c r="D1110" s="5">
        <v>63675</v>
      </c>
      <c r="E1110" s="5">
        <f t="shared" si="24"/>
        <v>38900</v>
      </c>
      <c r="F1110" s="5">
        <v>175975</v>
      </c>
      <c r="K1110" s="24">
        <v>442</v>
      </c>
      <c r="L1110" s="6">
        <v>455.5</v>
      </c>
      <c r="M1110" s="270">
        <f t="shared" si="23"/>
        <v>13.5</v>
      </c>
      <c r="N1110" s="7"/>
      <c r="O1110" s="277"/>
      <c r="P1110" s="345"/>
      <c r="V1110" s="383"/>
    </row>
    <row r="1111" spans="1:22" ht="15" customHeight="1">
      <c r="A1111" s="3">
        <v>37404</v>
      </c>
      <c r="B1111" s="4">
        <v>73400</v>
      </c>
      <c r="D1111" s="5">
        <v>63725</v>
      </c>
      <c r="E1111" s="5">
        <f t="shared" si="24"/>
        <v>38850</v>
      </c>
      <c r="F1111" s="5">
        <v>175975</v>
      </c>
      <c r="K1111" s="24">
        <v>445</v>
      </c>
      <c r="L1111" s="6">
        <v>457</v>
      </c>
      <c r="M1111" s="270">
        <f t="shared" si="23"/>
        <v>12</v>
      </c>
      <c r="N1111" s="7"/>
      <c r="O1111" s="277"/>
      <c r="P1111" s="345"/>
      <c r="V1111" s="383"/>
    </row>
    <row r="1112" spans="1:22" ht="15" customHeight="1">
      <c r="A1112" s="3">
        <v>37405</v>
      </c>
      <c r="B1112" s="4">
        <v>73400</v>
      </c>
      <c r="D1112" s="5">
        <v>63725</v>
      </c>
      <c r="E1112" s="5">
        <f t="shared" si="24"/>
        <v>38800</v>
      </c>
      <c r="F1112" s="5">
        <v>175925</v>
      </c>
      <c r="K1112" s="24">
        <v>453</v>
      </c>
      <c r="L1112" s="6">
        <v>464</v>
      </c>
      <c r="M1112" s="270">
        <f t="shared" si="23"/>
        <v>11</v>
      </c>
      <c r="N1112" s="7"/>
      <c r="O1112" s="277"/>
      <c r="P1112" s="345"/>
      <c r="V1112" s="383"/>
    </row>
    <row r="1113" spans="1:22" ht="15" customHeight="1">
      <c r="A1113" s="3">
        <v>37406</v>
      </c>
      <c r="B1113" s="4">
        <v>73200</v>
      </c>
      <c r="D1113" s="5">
        <v>63650</v>
      </c>
      <c r="E1113" s="5">
        <f t="shared" si="24"/>
        <v>38775</v>
      </c>
      <c r="F1113" s="5">
        <v>175625</v>
      </c>
      <c r="K1113" s="24">
        <v>447</v>
      </c>
      <c r="L1113" s="6">
        <v>460.5</v>
      </c>
      <c r="M1113" s="270">
        <f t="shared" si="23"/>
        <v>13.5</v>
      </c>
      <c r="N1113" s="7"/>
      <c r="O1113" s="277"/>
      <c r="P1113" s="345"/>
      <c r="V1113" s="383"/>
    </row>
    <row r="1114" spans="1:22" ht="15" customHeight="1">
      <c r="A1114" s="3">
        <v>37407</v>
      </c>
      <c r="B1114" s="4">
        <v>72750</v>
      </c>
      <c r="D1114" s="5">
        <v>63575</v>
      </c>
      <c r="E1114" s="5">
        <f t="shared" si="24"/>
        <v>38775</v>
      </c>
      <c r="F1114" s="5">
        <v>175100</v>
      </c>
      <c r="K1114" s="24">
        <v>444.5</v>
      </c>
      <c r="L1114" s="6">
        <v>458.5</v>
      </c>
      <c r="M1114" s="270">
        <f t="shared" si="23"/>
        <v>14</v>
      </c>
      <c r="N1114" s="7"/>
      <c r="O1114" s="277"/>
      <c r="P1114" s="345"/>
      <c r="V1114" s="383"/>
    </row>
    <row r="1115" spans="1:22" ht="15" customHeight="1">
      <c r="A1115" s="3">
        <v>37412</v>
      </c>
      <c r="B1115" s="4">
        <v>72375</v>
      </c>
      <c r="D1115" s="5">
        <v>63575</v>
      </c>
      <c r="E1115" s="5">
        <f t="shared" si="24"/>
        <v>38750</v>
      </c>
      <c r="F1115" s="5">
        <v>174700</v>
      </c>
      <c r="K1115" s="24">
        <v>440</v>
      </c>
      <c r="L1115" s="6">
        <v>452.5</v>
      </c>
      <c r="M1115" s="270">
        <f t="shared" si="23"/>
        <v>12.5</v>
      </c>
      <c r="N1115" s="7"/>
      <c r="O1115" s="277"/>
      <c r="P1115" s="345"/>
      <c r="V1115" s="383"/>
    </row>
    <row r="1116" spans="1:22" ht="15" customHeight="1">
      <c r="A1116" s="3">
        <v>37413</v>
      </c>
      <c r="B1116" s="4">
        <v>70525</v>
      </c>
      <c r="D1116" s="5">
        <v>65250</v>
      </c>
      <c r="E1116" s="5">
        <f t="shared" si="24"/>
        <v>38525</v>
      </c>
      <c r="F1116" s="5">
        <v>174300</v>
      </c>
      <c r="K1116" s="24">
        <v>446</v>
      </c>
      <c r="L1116" s="6">
        <v>457.5</v>
      </c>
      <c r="M1116" s="270">
        <f t="shared" si="23"/>
        <v>11.5</v>
      </c>
      <c r="N1116" s="7"/>
      <c r="O1116" s="277"/>
      <c r="P1116" s="345"/>
      <c r="V1116" s="383"/>
    </row>
    <row r="1117" spans="1:22" ht="15" customHeight="1">
      <c r="A1117" s="3">
        <v>37417</v>
      </c>
      <c r="B1117" s="4">
        <v>71275</v>
      </c>
      <c r="D1117" s="5">
        <v>66250</v>
      </c>
      <c r="E1117" s="5">
        <f t="shared" si="24"/>
        <v>38450</v>
      </c>
      <c r="F1117" s="5">
        <v>175975</v>
      </c>
      <c r="K1117" s="24">
        <v>442.5</v>
      </c>
      <c r="L1117" s="6">
        <v>456</v>
      </c>
      <c r="M1117" s="270">
        <f t="shared" si="23"/>
        <v>13.5</v>
      </c>
      <c r="N1117" s="7"/>
      <c r="O1117" s="277"/>
      <c r="P1117" s="345"/>
      <c r="V1117" s="383"/>
    </row>
    <row r="1118" spans="1:22" ht="15" customHeight="1">
      <c r="A1118" s="3">
        <v>37418</v>
      </c>
      <c r="B1118" s="4">
        <v>71725</v>
      </c>
      <c r="D1118" s="5">
        <v>67700</v>
      </c>
      <c r="E1118" s="5">
        <f t="shared" si="24"/>
        <v>38425</v>
      </c>
      <c r="F1118" s="5">
        <v>177850</v>
      </c>
      <c r="K1118" s="24">
        <v>441</v>
      </c>
      <c r="L1118" s="6">
        <v>452</v>
      </c>
      <c r="M1118" s="270">
        <f t="shared" si="23"/>
        <v>11</v>
      </c>
      <c r="N1118" s="7"/>
      <c r="O1118" s="277"/>
      <c r="P1118" s="345"/>
      <c r="V1118" s="383"/>
    </row>
    <row r="1119" spans="1:22" ht="15" customHeight="1">
      <c r="A1119" s="3">
        <v>37419</v>
      </c>
      <c r="B1119" s="4">
        <v>71675</v>
      </c>
      <c r="D1119" s="5">
        <v>68350</v>
      </c>
      <c r="E1119" s="5">
        <f t="shared" si="24"/>
        <v>38350</v>
      </c>
      <c r="F1119" s="5">
        <v>178375</v>
      </c>
      <c r="K1119" s="24">
        <v>439.5</v>
      </c>
      <c r="L1119" s="6">
        <v>454</v>
      </c>
      <c r="M1119" s="270">
        <f t="shared" si="23"/>
        <v>14.5</v>
      </c>
      <c r="N1119" s="7"/>
      <c r="O1119" s="277"/>
      <c r="P1119" s="345"/>
      <c r="V1119" s="383"/>
    </row>
    <row r="1120" spans="1:22" ht="15" customHeight="1">
      <c r="A1120" s="3">
        <v>37420</v>
      </c>
      <c r="B1120" s="4">
        <v>71300</v>
      </c>
      <c r="D1120" s="5">
        <v>68850</v>
      </c>
      <c r="E1120" s="5">
        <f t="shared" si="24"/>
        <v>38350</v>
      </c>
      <c r="F1120" s="5">
        <v>178500</v>
      </c>
      <c r="K1120" s="24">
        <v>441</v>
      </c>
      <c r="L1120" s="6">
        <v>452.5</v>
      </c>
      <c r="M1120" s="270">
        <f t="shared" si="23"/>
        <v>11.5</v>
      </c>
      <c r="N1120" s="7"/>
      <c r="O1120" s="277"/>
      <c r="P1120" s="345"/>
      <c r="V1120" s="383"/>
    </row>
    <row r="1121" spans="1:22" ht="15" customHeight="1">
      <c r="A1121" s="3">
        <v>37421</v>
      </c>
      <c r="B1121" s="4">
        <v>71575</v>
      </c>
      <c r="D1121" s="5">
        <v>69000</v>
      </c>
      <c r="E1121" s="5">
        <f t="shared" si="24"/>
        <v>38525</v>
      </c>
      <c r="F1121" s="5">
        <v>179100</v>
      </c>
      <c r="K1121" s="24">
        <v>439</v>
      </c>
      <c r="L1121" s="6">
        <v>451</v>
      </c>
      <c r="M1121" s="270">
        <f t="shared" si="23"/>
        <v>12</v>
      </c>
      <c r="N1121" s="7"/>
      <c r="O1121" s="277"/>
      <c r="P1121" s="345"/>
      <c r="V1121" s="383"/>
    </row>
    <row r="1122" spans="1:22" ht="15" customHeight="1">
      <c r="A1122" s="3">
        <v>37424</v>
      </c>
      <c r="B1122" s="4">
        <v>70925</v>
      </c>
      <c r="D1122" s="5">
        <v>69000</v>
      </c>
      <c r="E1122" s="5">
        <f t="shared" si="24"/>
        <v>38500</v>
      </c>
      <c r="F1122" s="5">
        <v>178425</v>
      </c>
      <c r="K1122" s="24">
        <v>440</v>
      </c>
      <c r="L1122" s="6">
        <v>451.5</v>
      </c>
      <c r="M1122" s="270">
        <f t="shared" si="23"/>
        <v>11.5</v>
      </c>
      <c r="N1122" s="7"/>
      <c r="O1122" s="277"/>
      <c r="P1122" s="345"/>
      <c r="V1122" s="383"/>
    </row>
    <row r="1123" spans="1:22" ht="15" customHeight="1">
      <c r="A1123" s="3">
        <v>37425</v>
      </c>
      <c r="B1123" s="4">
        <v>70375</v>
      </c>
      <c r="D1123" s="5">
        <v>69500</v>
      </c>
      <c r="E1123" s="5">
        <f t="shared" si="24"/>
        <v>38650</v>
      </c>
      <c r="F1123" s="5">
        <v>178525</v>
      </c>
      <c r="K1123" s="24">
        <v>435.5</v>
      </c>
      <c r="L1123" s="6">
        <v>447.5</v>
      </c>
      <c r="M1123" s="270">
        <f t="shared" si="23"/>
        <v>12</v>
      </c>
      <c r="N1123" s="7"/>
      <c r="O1123" s="277"/>
      <c r="P1123" s="345"/>
      <c r="V1123" s="383"/>
    </row>
    <row r="1124" spans="1:22" ht="15" customHeight="1">
      <c r="A1124" s="3">
        <v>37426</v>
      </c>
      <c r="B1124" s="4">
        <v>69800</v>
      </c>
      <c r="D1124" s="5">
        <v>69625</v>
      </c>
      <c r="E1124" s="5">
        <f t="shared" si="24"/>
        <v>38875</v>
      </c>
      <c r="F1124" s="5">
        <v>178300</v>
      </c>
      <c r="K1124" s="24">
        <v>435</v>
      </c>
      <c r="L1124" s="6">
        <v>447</v>
      </c>
      <c r="M1124" s="270">
        <f t="shared" si="23"/>
        <v>12</v>
      </c>
      <c r="N1124" s="7"/>
      <c r="O1124" s="277"/>
      <c r="P1124" s="345"/>
      <c r="V1124" s="383"/>
    </row>
    <row r="1125" spans="1:22" ht="15" customHeight="1">
      <c r="A1125" s="3">
        <v>37427</v>
      </c>
      <c r="B1125" s="4">
        <v>69775</v>
      </c>
      <c r="D1125" s="5">
        <v>69700</v>
      </c>
      <c r="E1125" s="5">
        <f t="shared" si="24"/>
        <v>38725</v>
      </c>
      <c r="F1125" s="5">
        <v>178200</v>
      </c>
      <c r="K1125" s="24">
        <v>434</v>
      </c>
      <c r="L1125" s="6">
        <v>446.5</v>
      </c>
      <c r="M1125" s="270">
        <f t="shared" si="23"/>
        <v>12.5</v>
      </c>
      <c r="N1125" s="7"/>
      <c r="O1125" s="277"/>
      <c r="P1125" s="345"/>
      <c r="V1125" s="383"/>
    </row>
    <row r="1126" spans="1:22" ht="15" customHeight="1">
      <c r="A1126" s="3">
        <v>37428</v>
      </c>
      <c r="B1126" s="4">
        <v>69500</v>
      </c>
      <c r="D1126" s="5">
        <v>69875</v>
      </c>
      <c r="E1126" s="5">
        <f t="shared" si="24"/>
        <v>38875</v>
      </c>
      <c r="F1126" s="5">
        <v>178250</v>
      </c>
      <c r="K1126" s="24">
        <v>440</v>
      </c>
      <c r="L1126" s="6">
        <v>450.5</v>
      </c>
      <c r="M1126" s="270">
        <f t="shared" si="23"/>
        <v>10.5</v>
      </c>
      <c r="N1126" s="7"/>
      <c r="O1126" s="277"/>
      <c r="P1126" s="345"/>
      <c r="V1126" s="383"/>
    </row>
    <row r="1127" spans="1:22" ht="15" customHeight="1">
      <c r="A1127" s="3">
        <v>37431</v>
      </c>
      <c r="B1127" s="4">
        <v>68525</v>
      </c>
      <c r="D1127" s="5">
        <v>70000</v>
      </c>
      <c r="E1127" s="5">
        <f t="shared" si="24"/>
        <v>38875</v>
      </c>
      <c r="F1127" s="5">
        <v>177400</v>
      </c>
      <c r="K1127" s="24">
        <v>440</v>
      </c>
      <c r="L1127" s="6">
        <v>451.5</v>
      </c>
      <c r="M1127" s="270">
        <f t="shared" si="23"/>
        <v>11.5</v>
      </c>
      <c r="N1127" s="7"/>
      <c r="O1127" s="277"/>
      <c r="P1127" s="345"/>
      <c r="V1127" s="383"/>
    </row>
    <row r="1128" spans="1:22" ht="15" customHeight="1">
      <c r="A1128" s="3">
        <v>37432</v>
      </c>
      <c r="B1128" s="4">
        <v>68525</v>
      </c>
      <c r="D1128" s="5">
        <v>70000</v>
      </c>
      <c r="E1128" s="5">
        <f t="shared" ref="E1128:E1191" si="25">F1128-(B1128+D1128)</f>
        <v>38876</v>
      </c>
      <c r="F1128" s="5">
        <v>177401</v>
      </c>
      <c r="K1128" s="24">
        <v>440</v>
      </c>
      <c r="L1128" s="6">
        <v>451.5</v>
      </c>
      <c r="M1128" s="270">
        <f t="shared" si="23"/>
        <v>11.5</v>
      </c>
      <c r="N1128" s="7"/>
      <c r="O1128" s="277"/>
      <c r="P1128" s="345"/>
      <c r="V1128" s="383"/>
    </row>
    <row r="1129" spans="1:22" ht="15" customHeight="1">
      <c r="A1129" s="3">
        <v>37433</v>
      </c>
      <c r="B1129" s="4">
        <v>68925</v>
      </c>
      <c r="D1129" s="5">
        <v>70025</v>
      </c>
      <c r="E1129" s="5">
        <f t="shared" si="25"/>
        <v>39150</v>
      </c>
      <c r="F1129" s="5">
        <v>178100</v>
      </c>
      <c r="K1129" s="24">
        <v>437.5</v>
      </c>
      <c r="L1129" s="6">
        <v>450</v>
      </c>
      <c r="M1129" s="270">
        <f t="shared" si="23"/>
        <v>12.5</v>
      </c>
      <c r="N1129" s="7"/>
      <c r="O1129" s="277"/>
      <c r="P1129" s="345"/>
      <c r="V1129" s="383"/>
    </row>
    <row r="1130" spans="1:22" ht="15" customHeight="1">
      <c r="A1130" s="3">
        <v>37434</v>
      </c>
      <c r="B1130" s="4">
        <v>68925</v>
      </c>
      <c r="D1130" s="5">
        <v>70100</v>
      </c>
      <c r="E1130" s="5">
        <f t="shared" si="25"/>
        <v>39300</v>
      </c>
      <c r="F1130" s="5">
        <v>178325</v>
      </c>
      <c r="K1130" s="24">
        <v>444</v>
      </c>
      <c r="L1130" s="6">
        <v>456</v>
      </c>
      <c r="M1130" s="270">
        <f t="shared" si="23"/>
        <v>12</v>
      </c>
      <c r="N1130" s="7"/>
      <c r="O1130" s="277"/>
      <c r="P1130" s="345"/>
      <c r="V1130" s="383"/>
    </row>
    <row r="1131" spans="1:22" ht="15" customHeight="1">
      <c r="A1131" s="3">
        <v>37435</v>
      </c>
      <c r="B1131" s="4">
        <v>68925</v>
      </c>
      <c r="D1131" s="5">
        <v>70100</v>
      </c>
      <c r="E1131" s="5">
        <f t="shared" si="25"/>
        <v>39250</v>
      </c>
      <c r="F1131" s="5">
        <v>178275</v>
      </c>
      <c r="K1131" s="24">
        <v>446</v>
      </c>
      <c r="L1131" s="6">
        <v>455</v>
      </c>
      <c r="M1131" s="270">
        <f t="shared" si="23"/>
        <v>9</v>
      </c>
      <c r="N1131" s="7"/>
      <c r="O1131" s="277"/>
      <c r="P1131" s="345"/>
      <c r="V1131" s="383"/>
    </row>
    <row r="1132" spans="1:22" ht="15" customHeight="1">
      <c r="A1132" s="3">
        <v>37438</v>
      </c>
      <c r="B1132" s="4">
        <v>68700</v>
      </c>
      <c r="D1132" s="5">
        <v>70500</v>
      </c>
      <c r="E1132" s="5">
        <f t="shared" si="25"/>
        <v>39250</v>
      </c>
      <c r="F1132" s="5">
        <v>178450</v>
      </c>
      <c r="K1132" s="24">
        <v>447</v>
      </c>
      <c r="L1132" s="6">
        <v>457.5</v>
      </c>
      <c r="M1132" s="270">
        <f t="shared" si="23"/>
        <v>10.5</v>
      </c>
      <c r="N1132" s="7"/>
      <c r="O1132" s="277"/>
      <c r="P1132" s="345"/>
      <c r="V1132" s="383"/>
    </row>
    <row r="1133" spans="1:22" ht="15" customHeight="1">
      <c r="A1133" s="3">
        <v>37439</v>
      </c>
      <c r="B1133" s="4">
        <v>68575</v>
      </c>
      <c r="D1133" s="5">
        <v>70500</v>
      </c>
      <c r="E1133" s="5">
        <f t="shared" si="25"/>
        <v>39450</v>
      </c>
      <c r="F1133" s="5">
        <v>178525</v>
      </c>
      <c r="K1133" s="24">
        <v>446</v>
      </c>
      <c r="L1133" s="6">
        <v>457</v>
      </c>
      <c r="M1133" s="270">
        <f t="shared" si="23"/>
        <v>11</v>
      </c>
      <c r="N1133" s="7"/>
      <c r="O1133" s="277"/>
      <c r="P1133" s="345"/>
      <c r="V1133" s="383"/>
    </row>
    <row r="1134" spans="1:22" ht="15" customHeight="1">
      <c r="A1134" s="3">
        <v>37440</v>
      </c>
      <c r="B1134" s="4">
        <v>70925</v>
      </c>
      <c r="D1134" s="5">
        <v>70500</v>
      </c>
      <c r="E1134" s="5">
        <f t="shared" si="25"/>
        <v>39450</v>
      </c>
      <c r="F1134" s="5">
        <v>180875</v>
      </c>
      <c r="K1134" s="24">
        <v>446</v>
      </c>
      <c r="L1134" s="6">
        <v>456.5</v>
      </c>
      <c r="M1134" s="270">
        <f t="shared" si="23"/>
        <v>10.5</v>
      </c>
      <c r="N1134" s="7"/>
      <c r="O1134" s="277"/>
      <c r="P1134" s="345"/>
      <c r="V1134" s="383"/>
    </row>
    <row r="1135" spans="1:22" ht="15" customHeight="1">
      <c r="A1135" s="3">
        <v>37441</v>
      </c>
      <c r="B1135" s="4">
        <v>73750</v>
      </c>
      <c r="D1135" s="5">
        <v>72525</v>
      </c>
      <c r="E1135" s="5">
        <f t="shared" si="25"/>
        <v>39425</v>
      </c>
      <c r="F1135" s="5">
        <v>185700</v>
      </c>
      <c r="K1135" s="24">
        <v>446</v>
      </c>
      <c r="L1135" s="6">
        <v>456.5</v>
      </c>
      <c r="M1135" s="270">
        <f t="shared" si="23"/>
        <v>10.5</v>
      </c>
      <c r="N1135" s="7"/>
      <c r="O1135" s="277"/>
      <c r="P1135" s="345"/>
      <c r="V1135" s="383"/>
    </row>
    <row r="1136" spans="1:22" ht="15" customHeight="1">
      <c r="A1136" s="3">
        <v>37442</v>
      </c>
      <c r="B1136" s="4">
        <v>76625</v>
      </c>
      <c r="D1136" s="5">
        <v>72875</v>
      </c>
      <c r="E1136" s="5">
        <f t="shared" si="25"/>
        <v>39425</v>
      </c>
      <c r="F1136" s="5">
        <v>188925</v>
      </c>
      <c r="K1136" s="24">
        <v>448.5</v>
      </c>
      <c r="L1136" s="6">
        <v>458.5</v>
      </c>
      <c r="M1136" s="270">
        <f t="shared" si="23"/>
        <v>10</v>
      </c>
      <c r="N1136" s="7"/>
      <c r="O1136" s="277"/>
      <c r="P1136" s="345"/>
      <c r="V1136" s="383"/>
    </row>
    <row r="1137" spans="1:22" ht="15" customHeight="1">
      <c r="A1137" s="3">
        <v>37445</v>
      </c>
      <c r="B1137" s="4">
        <v>76200</v>
      </c>
      <c r="D1137" s="5">
        <v>72975</v>
      </c>
      <c r="E1137" s="5">
        <f t="shared" si="25"/>
        <v>39275</v>
      </c>
      <c r="F1137" s="5">
        <v>188450</v>
      </c>
      <c r="K1137" s="24">
        <v>454</v>
      </c>
      <c r="L1137" s="6">
        <v>461</v>
      </c>
      <c r="M1137" s="270">
        <f t="shared" si="23"/>
        <v>7</v>
      </c>
      <c r="N1137" s="7"/>
      <c r="O1137" s="277"/>
      <c r="P1137" s="345"/>
      <c r="V1137" s="383"/>
    </row>
    <row r="1138" spans="1:22" ht="15" customHeight="1">
      <c r="A1138" s="3">
        <v>37446</v>
      </c>
      <c r="B1138" s="4">
        <v>76000</v>
      </c>
      <c r="D1138" s="5">
        <v>72975</v>
      </c>
      <c r="E1138" s="5">
        <f t="shared" si="25"/>
        <v>39225</v>
      </c>
      <c r="F1138" s="5">
        <v>188200</v>
      </c>
      <c r="K1138" s="24">
        <v>450.5</v>
      </c>
      <c r="L1138" s="6">
        <v>461</v>
      </c>
      <c r="M1138" s="270">
        <f t="shared" si="23"/>
        <v>10.5</v>
      </c>
      <c r="N1138" s="7"/>
      <c r="O1138" s="277"/>
      <c r="P1138" s="345"/>
      <c r="V1138" s="383"/>
    </row>
    <row r="1139" spans="1:22" ht="15" customHeight="1">
      <c r="A1139" s="3">
        <v>37447</v>
      </c>
      <c r="B1139" s="4">
        <v>75550</v>
      </c>
      <c r="D1139" s="5">
        <v>72975</v>
      </c>
      <c r="E1139" s="5">
        <f t="shared" si="25"/>
        <v>39225</v>
      </c>
      <c r="F1139" s="5">
        <v>187750</v>
      </c>
      <c r="K1139" s="24">
        <v>458</v>
      </c>
      <c r="L1139" s="6">
        <v>468</v>
      </c>
      <c r="M1139" s="270">
        <f t="shared" si="23"/>
        <v>10</v>
      </c>
      <c r="N1139" s="7"/>
      <c r="O1139" s="277"/>
      <c r="P1139" s="345"/>
      <c r="V1139" s="383"/>
    </row>
    <row r="1140" spans="1:22" ht="15" customHeight="1">
      <c r="A1140" s="3">
        <v>37448</v>
      </c>
      <c r="B1140" s="4">
        <v>75350</v>
      </c>
      <c r="D1140" s="5">
        <v>74025</v>
      </c>
      <c r="E1140" s="5">
        <f t="shared" si="25"/>
        <v>39150</v>
      </c>
      <c r="F1140" s="5">
        <v>188525</v>
      </c>
      <c r="K1140" s="24">
        <v>454.5</v>
      </c>
      <c r="L1140" s="6">
        <v>465</v>
      </c>
      <c r="M1140" s="270">
        <f t="shared" si="23"/>
        <v>10.5</v>
      </c>
      <c r="N1140" s="7"/>
      <c r="O1140" s="277"/>
      <c r="P1140" s="345"/>
      <c r="V1140" s="383"/>
    </row>
    <row r="1141" spans="1:22" ht="15" customHeight="1">
      <c r="A1141" s="3">
        <v>37449</v>
      </c>
      <c r="B1141" s="4">
        <v>74425</v>
      </c>
      <c r="D1141" s="5">
        <v>74200</v>
      </c>
      <c r="E1141" s="5">
        <f t="shared" si="25"/>
        <v>39100</v>
      </c>
      <c r="F1141" s="5">
        <v>187725</v>
      </c>
      <c r="K1141" s="24">
        <v>455</v>
      </c>
      <c r="L1141" s="6">
        <v>467</v>
      </c>
      <c r="M1141" s="270">
        <f t="shared" si="23"/>
        <v>12</v>
      </c>
      <c r="N1141" s="7"/>
      <c r="O1141" s="277"/>
      <c r="P1141" s="345"/>
      <c r="V1141" s="383"/>
    </row>
    <row r="1142" spans="1:22" ht="15" customHeight="1">
      <c r="A1142" s="3">
        <v>37452</v>
      </c>
      <c r="B1142" s="4">
        <v>74300</v>
      </c>
      <c r="D1142" s="5">
        <v>74600</v>
      </c>
      <c r="E1142" s="5">
        <f t="shared" si="25"/>
        <v>39025</v>
      </c>
      <c r="F1142" s="5">
        <v>187925</v>
      </c>
      <c r="K1142" s="24">
        <v>453</v>
      </c>
      <c r="L1142" s="6">
        <v>465</v>
      </c>
      <c r="M1142" s="270">
        <f t="shared" si="23"/>
        <v>12</v>
      </c>
      <c r="N1142" s="7"/>
      <c r="O1142" s="277"/>
      <c r="P1142" s="345"/>
      <c r="V1142" s="383"/>
    </row>
    <row r="1143" spans="1:22" ht="15" customHeight="1">
      <c r="A1143" s="3">
        <v>37453</v>
      </c>
      <c r="B1143" s="4">
        <v>74075</v>
      </c>
      <c r="D1143" s="5">
        <v>74600</v>
      </c>
      <c r="E1143" s="5">
        <f t="shared" si="25"/>
        <v>38975</v>
      </c>
      <c r="F1143" s="5">
        <v>187650</v>
      </c>
      <c r="K1143" s="24">
        <v>454</v>
      </c>
      <c r="L1143" s="6">
        <v>465.5</v>
      </c>
      <c r="M1143" s="270">
        <f t="shared" ref="M1143:M1206" si="26">L1143-K1143</f>
        <v>11.5</v>
      </c>
      <c r="N1143" s="7"/>
      <c r="O1143" s="277"/>
      <c r="P1143" s="345"/>
      <c r="V1143" s="383"/>
    </row>
    <row r="1144" spans="1:22" ht="15" customHeight="1">
      <c r="A1144" s="3">
        <v>37454</v>
      </c>
      <c r="B1144" s="4">
        <v>74075</v>
      </c>
      <c r="D1144" s="5">
        <v>74600</v>
      </c>
      <c r="E1144" s="5">
        <f t="shared" si="25"/>
        <v>38975</v>
      </c>
      <c r="F1144" s="5">
        <v>187650</v>
      </c>
      <c r="K1144" s="24">
        <v>451</v>
      </c>
      <c r="L1144" s="6">
        <v>462</v>
      </c>
      <c r="M1144" s="270">
        <f t="shared" si="26"/>
        <v>11</v>
      </c>
      <c r="N1144" s="7"/>
      <c r="O1144" s="277"/>
      <c r="P1144" s="345"/>
      <c r="V1144" s="383"/>
    </row>
    <row r="1145" spans="1:22" ht="15" customHeight="1">
      <c r="A1145" s="3">
        <v>37455</v>
      </c>
      <c r="B1145" s="4">
        <v>73675</v>
      </c>
      <c r="D1145" s="5">
        <v>76025</v>
      </c>
      <c r="E1145" s="5">
        <f t="shared" si="25"/>
        <v>38975</v>
      </c>
      <c r="F1145" s="5">
        <v>188675</v>
      </c>
      <c r="K1145" s="24">
        <v>444</v>
      </c>
      <c r="L1145" s="6">
        <v>456</v>
      </c>
      <c r="M1145" s="270">
        <f t="shared" si="26"/>
        <v>12</v>
      </c>
      <c r="N1145" s="7"/>
      <c r="O1145" s="277"/>
      <c r="P1145" s="345"/>
      <c r="V1145" s="383"/>
    </row>
    <row r="1146" spans="1:22" ht="15" customHeight="1">
      <c r="A1146" s="3">
        <v>37456</v>
      </c>
      <c r="B1146" s="4">
        <v>73250</v>
      </c>
      <c r="D1146" s="5">
        <v>68525</v>
      </c>
      <c r="E1146" s="5">
        <f t="shared" si="25"/>
        <v>48950</v>
      </c>
      <c r="F1146" s="5">
        <v>190725</v>
      </c>
      <c r="K1146" s="24">
        <v>447</v>
      </c>
      <c r="L1146" s="6">
        <v>456.5</v>
      </c>
      <c r="M1146" s="270">
        <f t="shared" si="26"/>
        <v>9.5</v>
      </c>
      <c r="N1146" s="7"/>
      <c r="O1146" s="277"/>
      <c r="P1146" s="345"/>
      <c r="V1146" s="383"/>
    </row>
    <row r="1147" spans="1:22" ht="15" customHeight="1">
      <c r="A1147" s="3">
        <v>37459</v>
      </c>
      <c r="B1147" s="4">
        <v>71825</v>
      </c>
      <c r="D1147" s="5">
        <v>80850</v>
      </c>
      <c r="E1147" s="5">
        <f t="shared" si="25"/>
        <v>38825</v>
      </c>
      <c r="F1147" s="5">
        <v>191500</v>
      </c>
      <c r="K1147" s="24">
        <v>445</v>
      </c>
      <c r="L1147" s="6">
        <v>454</v>
      </c>
      <c r="M1147" s="270">
        <f t="shared" si="26"/>
        <v>9</v>
      </c>
      <c r="N1147" s="7"/>
      <c r="O1147" s="277"/>
      <c r="P1147" s="345"/>
      <c r="V1147" s="383"/>
    </row>
    <row r="1148" spans="1:22" ht="15" customHeight="1">
      <c r="A1148" s="3">
        <v>37460</v>
      </c>
      <c r="B1148" s="4">
        <v>71375</v>
      </c>
      <c r="D1148" s="5">
        <v>83450</v>
      </c>
      <c r="E1148" s="5">
        <f t="shared" si="25"/>
        <v>38650</v>
      </c>
      <c r="F1148" s="5">
        <v>193475</v>
      </c>
      <c r="K1148" s="24">
        <v>444</v>
      </c>
      <c r="L1148" s="6">
        <v>455</v>
      </c>
      <c r="M1148" s="270">
        <f t="shared" si="26"/>
        <v>11</v>
      </c>
      <c r="N1148" s="7"/>
      <c r="O1148" s="277"/>
      <c r="P1148" s="345"/>
      <c r="V1148" s="383"/>
    </row>
    <row r="1149" spans="1:22" ht="15" customHeight="1">
      <c r="A1149" s="3">
        <v>37461</v>
      </c>
      <c r="B1149" s="4">
        <v>71025</v>
      </c>
      <c r="D1149" s="5">
        <v>85550</v>
      </c>
      <c r="E1149" s="5">
        <f t="shared" si="25"/>
        <v>38550</v>
      </c>
      <c r="F1149" s="5">
        <v>195125</v>
      </c>
      <c r="K1149" s="24">
        <v>433.5</v>
      </c>
      <c r="L1149" s="6">
        <v>444</v>
      </c>
      <c r="M1149" s="270">
        <f t="shared" si="26"/>
        <v>10.5</v>
      </c>
      <c r="N1149" s="7"/>
      <c r="O1149" s="277"/>
      <c r="P1149" s="345"/>
      <c r="V1149" s="383"/>
    </row>
    <row r="1150" spans="1:22" ht="15" customHeight="1">
      <c r="A1150" s="3">
        <v>37462</v>
      </c>
      <c r="B1150" s="4">
        <v>71150</v>
      </c>
      <c r="D1150" s="5">
        <v>86800</v>
      </c>
      <c r="E1150" s="5">
        <f t="shared" si="25"/>
        <v>38500</v>
      </c>
      <c r="F1150" s="5">
        <v>196450</v>
      </c>
      <c r="K1150" s="24">
        <v>439.5</v>
      </c>
      <c r="L1150" s="6">
        <v>446</v>
      </c>
      <c r="M1150" s="270">
        <f t="shared" si="26"/>
        <v>6.5</v>
      </c>
      <c r="N1150" s="7"/>
      <c r="O1150" s="277"/>
      <c r="P1150" s="345"/>
      <c r="V1150" s="383"/>
    </row>
    <row r="1151" spans="1:22" ht="15" customHeight="1">
      <c r="A1151" s="3">
        <v>37465</v>
      </c>
      <c r="B1151" s="4">
        <v>70650</v>
      </c>
      <c r="D1151" s="5">
        <v>86800</v>
      </c>
      <c r="E1151" s="5">
        <f t="shared" si="25"/>
        <v>38275</v>
      </c>
      <c r="F1151" s="5">
        <v>195725</v>
      </c>
      <c r="K1151" s="24">
        <v>440.5</v>
      </c>
      <c r="L1151" s="6">
        <v>451</v>
      </c>
      <c r="M1151" s="270">
        <f t="shared" si="26"/>
        <v>10.5</v>
      </c>
      <c r="N1151" s="7"/>
      <c r="O1151" s="277"/>
      <c r="P1151" s="345"/>
      <c r="V1151" s="383"/>
    </row>
    <row r="1152" spans="1:22" ht="15" customHeight="1">
      <c r="A1152" s="3">
        <v>37466</v>
      </c>
      <c r="B1152" s="4">
        <v>70475</v>
      </c>
      <c r="D1152" s="5">
        <v>86900</v>
      </c>
      <c r="E1152" s="5">
        <f t="shared" si="25"/>
        <v>38075</v>
      </c>
      <c r="F1152" s="5">
        <v>195450</v>
      </c>
      <c r="K1152" s="24">
        <v>439</v>
      </c>
      <c r="L1152" s="6">
        <v>450</v>
      </c>
      <c r="M1152" s="270">
        <f t="shared" si="26"/>
        <v>11</v>
      </c>
      <c r="N1152" s="7"/>
      <c r="O1152" s="277"/>
      <c r="P1152" s="345"/>
      <c r="V1152" s="383"/>
    </row>
    <row r="1153" spans="1:22" ht="15" customHeight="1">
      <c r="A1153" s="3">
        <v>37467</v>
      </c>
      <c r="B1153" s="4">
        <v>71200</v>
      </c>
      <c r="D1153" s="5">
        <v>87025</v>
      </c>
      <c r="E1153" s="5">
        <f t="shared" si="25"/>
        <v>37925</v>
      </c>
      <c r="F1153" s="5">
        <v>196150</v>
      </c>
      <c r="K1153" s="24">
        <v>435</v>
      </c>
      <c r="L1153" s="6">
        <v>446</v>
      </c>
      <c r="M1153" s="270">
        <f t="shared" si="26"/>
        <v>11</v>
      </c>
      <c r="N1153" s="7"/>
      <c r="O1153" s="277"/>
      <c r="P1153" s="345"/>
      <c r="V1153" s="383"/>
    </row>
    <row r="1154" spans="1:22" ht="15" customHeight="1">
      <c r="A1154" s="3">
        <v>37468</v>
      </c>
      <c r="B1154" s="4">
        <v>70900</v>
      </c>
      <c r="D1154" s="5">
        <v>87100</v>
      </c>
      <c r="E1154" s="5">
        <f t="shared" si="25"/>
        <v>37900</v>
      </c>
      <c r="F1154" s="5">
        <v>195900</v>
      </c>
      <c r="K1154" s="24">
        <v>430</v>
      </c>
      <c r="L1154" s="6">
        <v>441</v>
      </c>
      <c r="M1154" s="270">
        <f t="shared" si="26"/>
        <v>11</v>
      </c>
      <c r="N1154" s="7"/>
      <c r="O1154" s="277"/>
      <c r="P1154" s="345"/>
      <c r="V1154" s="383"/>
    </row>
    <row r="1155" spans="1:22" ht="15" customHeight="1">
      <c r="A1155" s="3">
        <v>37469</v>
      </c>
      <c r="B1155" s="4">
        <v>70275</v>
      </c>
      <c r="D1155" s="5">
        <v>87250</v>
      </c>
      <c r="E1155" s="5">
        <f t="shared" si="25"/>
        <v>37900</v>
      </c>
      <c r="F1155" s="5">
        <v>195425</v>
      </c>
      <c r="K1155" s="24">
        <v>418</v>
      </c>
      <c r="L1155" s="6">
        <v>429</v>
      </c>
      <c r="M1155" s="270">
        <f t="shared" si="26"/>
        <v>11</v>
      </c>
      <c r="N1155" s="7"/>
      <c r="O1155" s="277"/>
      <c r="P1155" s="345"/>
      <c r="V1155" s="383"/>
    </row>
    <row r="1156" spans="1:22" ht="15" customHeight="1">
      <c r="A1156" s="3">
        <v>37470</v>
      </c>
      <c r="B1156" s="4">
        <v>70025</v>
      </c>
      <c r="D1156" s="5">
        <v>88175</v>
      </c>
      <c r="E1156" s="5">
        <f t="shared" si="25"/>
        <v>37900</v>
      </c>
      <c r="F1156" s="5">
        <v>196100</v>
      </c>
      <c r="K1156" s="24">
        <v>427</v>
      </c>
      <c r="L1156" s="6">
        <v>436</v>
      </c>
      <c r="M1156" s="270">
        <f t="shared" si="26"/>
        <v>9</v>
      </c>
      <c r="N1156" s="7"/>
      <c r="O1156" s="277"/>
      <c r="P1156" s="345"/>
      <c r="V1156" s="383"/>
    </row>
    <row r="1157" spans="1:22" ht="15" customHeight="1">
      <c r="A1157" s="3">
        <v>37473</v>
      </c>
      <c r="B1157" s="4">
        <v>70025</v>
      </c>
      <c r="D1157" s="5">
        <v>88275</v>
      </c>
      <c r="E1157" s="5">
        <f t="shared" si="25"/>
        <v>37900</v>
      </c>
      <c r="F1157" s="5">
        <v>196200</v>
      </c>
      <c r="K1157" s="24">
        <v>414</v>
      </c>
      <c r="L1157" s="6">
        <v>425</v>
      </c>
      <c r="M1157" s="270">
        <f t="shared" si="26"/>
        <v>11</v>
      </c>
      <c r="N1157" s="7"/>
      <c r="O1157" s="277"/>
      <c r="P1157" s="345"/>
      <c r="V1157" s="383"/>
    </row>
    <row r="1158" spans="1:22" ht="15" customHeight="1">
      <c r="A1158" s="3">
        <v>37474</v>
      </c>
      <c r="B1158" s="4">
        <v>69900</v>
      </c>
      <c r="D1158" s="5">
        <v>88275</v>
      </c>
      <c r="E1158" s="5">
        <f t="shared" si="25"/>
        <v>37900</v>
      </c>
      <c r="F1158" s="5">
        <v>196075</v>
      </c>
      <c r="K1158" s="24">
        <v>420</v>
      </c>
      <c r="L1158" s="6">
        <v>430</v>
      </c>
      <c r="M1158" s="270">
        <f t="shared" si="26"/>
        <v>10</v>
      </c>
      <c r="N1158" s="7"/>
      <c r="O1158" s="277"/>
      <c r="P1158" s="345"/>
      <c r="V1158" s="383"/>
    </row>
    <row r="1159" spans="1:22" ht="15" customHeight="1">
      <c r="A1159" s="3">
        <v>37475</v>
      </c>
      <c r="B1159" s="4">
        <v>70725</v>
      </c>
      <c r="D1159" s="5">
        <v>88275</v>
      </c>
      <c r="E1159" s="5">
        <f t="shared" si="25"/>
        <v>38400</v>
      </c>
      <c r="F1159" s="5">
        <v>197400</v>
      </c>
      <c r="K1159" s="24">
        <v>417.5</v>
      </c>
      <c r="L1159" s="6">
        <v>429</v>
      </c>
      <c r="M1159" s="270">
        <f t="shared" si="26"/>
        <v>11.5</v>
      </c>
      <c r="N1159" s="7"/>
      <c r="O1159" s="277"/>
      <c r="P1159" s="345"/>
      <c r="V1159" s="383"/>
    </row>
    <row r="1160" spans="1:22" ht="15" customHeight="1">
      <c r="A1160" s="3">
        <v>37476</v>
      </c>
      <c r="B1160" s="4">
        <v>70350</v>
      </c>
      <c r="D1160" s="5">
        <v>88275</v>
      </c>
      <c r="E1160" s="5">
        <f t="shared" si="25"/>
        <v>38400</v>
      </c>
      <c r="F1160" s="5">
        <v>197025</v>
      </c>
      <c r="K1160" s="24">
        <v>417</v>
      </c>
      <c r="L1160" s="6">
        <v>427</v>
      </c>
      <c r="M1160" s="270">
        <f t="shared" si="26"/>
        <v>10</v>
      </c>
      <c r="N1160" s="7"/>
      <c r="O1160" s="277"/>
      <c r="P1160" s="345"/>
      <c r="V1160" s="383"/>
    </row>
    <row r="1161" spans="1:22" ht="15" customHeight="1">
      <c r="A1161" s="3">
        <v>37477</v>
      </c>
      <c r="B1161" s="4">
        <v>70200</v>
      </c>
      <c r="D1161" s="5">
        <v>88425</v>
      </c>
      <c r="E1161" s="5">
        <f t="shared" si="25"/>
        <v>38200</v>
      </c>
      <c r="F1161" s="5">
        <v>196825</v>
      </c>
      <c r="K1161" s="24">
        <v>417</v>
      </c>
      <c r="L1161" s="6">
        <v>427.5</v>
      </c>
      <c r="M1161" s="270">
        <f t="shared" si="26"/>
        <v>10.5</v>
      </c>
      <c r="N1161" s="7"/>
      <c r="O1161" s="277"/>
      <c r="P1161" s="345"/>
      <c r="V1161" s="383"/>
    </row>
    <row r="1162" spans="1:22" ht="15" customHeight="1">
      <c r="A1162" s="3">
        <v>37480</v>
      </c>
      <c r="B1162" s="4">
        <v>70200</v>
      </c>
      <c r="D1162" s="5">
        <v>88425</v>
      </c>
      <c r="E1162" s="5">
        <f t="shared" si="25"/>
        <v>38050</v>
      </c>
      <c r="F1162" s="5">
        <v>196675</v>
      </c>
      <c r="K1162" s="24">
        <v>413</v>
      </c>
      <c r="L1162" s="6">
        <v>424</v>
      </c>
      <c r="M1162" s="270">
        <f t="shared" si="26"/>
        <v>11</v>
      </c>
      <c r="N1162" s="7"/>
      <c r="O1162" s="277"/>
      <c r="P1162" s="345"/>
      <c r="V1162" s="383"/>
    </row>
    <row r="1163" spans="1:22" ht="15" customHeight="1">
      <c r="A1163" s="3">
        <v>37481</v>
      </c>
      <c r="B1163" s="4">
        <v>69950</v>
      </c>
      <c r="D1163" s="5">
        <v>88425</v>
      </c>
      <c r="E1163" s="5">
        <f t="shared" si="25"/>
        <v>37950</v>
      </c>
      <c r="F1163" s="5">
        <v>196325</v>
      </c>
      <c r="K1163" s="24">
        <v>411</v>
      </c>
      <c r="L1163" s="6">
        <v>423.5</v>
      </c>
      <c r="M1163" s="270">
        <f t="shared" si="26"/>
        <v>12.5</v>
      </c>
      <c r="N1163" s="7"/>
      <c r="O1163" s="277"/>
      <c r="P1163" s="345"/>
      <c r="V1163" s="383"/>
    </row>
    <row r="1164" spans="1:22" ht="15" customHeight="1">
      <c r="A1164" s="3">
        <v>37482</v>
      </c>
      <c r="B1164" s="4">
        <v>68975</v>
      </c>
      <c r="D1164" s="5">
        <v>88425</v>
      </c>
      <c r="E1164" s="5">
        <f t="shared" si="25"/>
        <v>37900</v>
      </c>
      <c r="F1164" s="5">
        <v>195300</v>
      </c>
      <c r="K1164" s="24">
        <v>418</v>
      </c>
      <c r="L1164" s="6">
        <v>433</v>
      </c>
      <c r="M1164" s="270">
        <f t="shared" si="26"/>
        <v>15</v>
      </c>
      <c r="N1164" s="7"/>
      <c r="O1164" s="277"/>
      <c r="P1164" s="345"/>
      <c r="V1164" s="383"/>
    </row>
    <row r="1165" spans="1:22" ht="15" customHeight="1">
      <c r="A1165" s="3">
        <v>37483</v>
      </c>
      <c r="B1165" s="4">
        <v>68975</v>
      </c>
      <c r="D1165" s="5">
        <v>88425</v>
      </c>
      <c r="E1165" s="5">
        <f t="shared" si="25"/>
        <v>37900</v>
      </c>
      <c r="F1165" s="5">
        <v>195300</v>
      </c>
      <c r="K1165" s="24">
        <v>421.5</v>
      </c>
      <c r="L1165" s="6">
        <v>430.5</v>
      </c>
      <c r="M1165" s="270">
        <f t="shared" si="26"/>
        <v>9</v>
      </c>
      <c r="N1165" s="7"/>
      <c r="O1165" s="277"/>
      <c r="P1165" s="345"/>
      <c r="V1165" s="383"/>
    </row>
    <row r="1166" spans="1:22" ht="15" customHeight="1">
      <c r="A1166" s="3">
        <v>37484</v>
      </c>
      <c r="B1166" s="4">
        <v>68725</v>
      </c>
      <c r="D1166" s="5">
        <v>88675</v>
      </c>
      <c r="E1166" s="5">
        <f t="shared" si="25"/>
        <v>37900</v>
      </c>
      <c r="F1166" s="5">
        <v>195300</v>
      </c>
      <c r="K1166" s="24">
        <v>421.5</v>
      </c>
      <c r="L1166" s="6">
        <v>431</v>
      </c>
      <c r="M1166" s="270">
        <f t="shared" si="26"/>
        <v>9.5</v>
      </c>
      <c r="N1166" s="7"/>
      <c r="O1166" s="277"/>
      <c r="P1166" s="345"/>
      <c r="V1166" s="383"/>
    </row>
    <row r="1167" spans="1:22" ht="15" customHeight="1">
      <c r="A1167" s="3">
        <v>37487</v>
      </c>
      <c r="B1167" s="4">
        <v>68100</v>
      </c>
      <c r="D1167" s="5">
        <v>88750</v>
      </c>
      <c r="E1167" s="5">
        <f t="shared" si="25"/>
        <v>37900</v>
      </c>
      <c r="F1167" s="5">
        <v>194750</v>
      </c>
      <c r="K1167" s="24">
        <v>413.5</v>
      </c>
      <c r="L1167" s="6">
        <v>424.5</v>
      </c>
      <c r="M1167" s="270">
        <f t="shared" si="26"/>
        <v>11</v>
      </c>
      <c r="N1167" s="7"/>
      <c r="O1167" s="277"/>
      <c r="P1167" s="345"/>
      <c r="V1167" s="383"/>
    </row>
    <row r="1168" spans="1:22" ht="15" customHeight="1">
      <c r="A1168" s="3">
        <v>37488</v>
      </c>
      <c r="B1168" s="4">
        <v>67850</v>
      </c>
      <c r="D1168" s="5">
        <v>88825</v>
      </c>
      <c r="E1168" s="5">
        <f t="shared" si="25"/>
        <v>37725</v>
      </c>
      <c r="F1168" s="5">
        <v>194400</v>
      </c>
      <c r="K1168" s="24">
        <v>419.5</v>
      </c>
      <c r="L1168" s="6">
        <v>430</v>
      </c>
      <c r="M1168" s="270">
        <f t="shared" si="26"/>
        <v>10.5</v>
      </c>
      <c r="N1168" s="7"/>
      <c r="O1168" s="277"/>
      <c r="P1168" s="345"/>
      <c r="V1168" s="383"/>
    </row>
    <row r="1169" spans="1:22" ht="15" customHeight="1">
      <c r="A1169" s="3">
        <v>37489</v>
      </c>
      <c r="B1169" s="4">
        <v>67375</v>
      </c>
      <c r="D1169" s="5">
        <v>88950</v>
      </c>
      <c r="E1169" s="5">
        <f t="shared" si="25"/>
        <v>37650</v>
      </c>
      <c r="F1169" s="5">
        <v>193975</v>
      </c>
      <c r="K1169" s="24">
        <v>419</v>
      </c>
      <c r="L1169" s="6">
        <v>427.5</v>
      </c>
      <c r="M1169" s="270">
        <f t="shared" si="26"/>
        <v>8.5</v>
      </c>
      <c r="N1169" s="7"/>
      <c r="O1169" s="277"/>
      <c r="P1169" s="345"/>
      <c r="V1169" s="383"/>
    </row>
    <row r="1170" spans="1:22" ht="15" customHeight="1">
      <c r="A1170" s="3">
        <v>37490</v>
      </c>
      <c r="B1170" s="4">
        <v>66925</v>
      </c>
      <c r="D1170" s="5">
        <v>89025</v>
      </c>
      <c r="E1170" s="5">
        <f t="shared" si="25"/>
        <v>37575</v>
      </c>
      <c r="F1170" s="5">
        <v>193525</v>
      </c>
      <c r="K1170" s="24">
        <v>421</v>
      </c>
      <c r="L1170" s="6">
        <v>430</v>
      </c>
      <c r="M1170" s="270">
        <f t="shared" si="26"/>
        <v>9</v>
      </c>
      <c r="N1170" s="7"/>
      <c r="O1170" s="277"/>
      <c r="P1170" s="345"/>
      <c r="V1170" s="383"/>
    </row>
    <row r="1171" spans="1:22" ht="15" customHeight="1">
      <c r="A1171" s="3">
        <v>37491</v>
      </c>
      <c r="B1171" s="4">
        <v>66625</v>
      </c>
      <c r="D1171" s="5">
        <v>89150</v>
      </c>
      <c r="E1171" s="5">
        <f t="shared" si="25"/>
        <v>37575</v>
      </c>
      <c r="F1171" s="5">
        <v>193350</v>
      </c>
      <c r="K1171" s="24">
        <v>430.5</v>
      </c>
      <c r="L1171" s="6">
        <v>437</v>
      </c>
      <c r="M1171" s="270">
        <f t="shared" si="26"/>
        <v>6.5</v>
      </c>
      <c r="N1171" s="7"/>
      <c r="O1171" s="277"/>
      <c r="P1171" s="345"/>
      <c r="V1171" s="383"/>
    </row>
    <row r="1172" spans="1:22" ht="15" customHeight="1">
      <c r="A1172" s="3">
        <v>37495</v>
      </c>
      <c r="B1172" s="4">
        <v>66525</v>
      </c>
      <c r="D1172" s="5">
        <v>89225</v>
      </c>
      <c r="E1172" s="5">
        <f t="shared" si="25"/>
        <v>37500</v>
      </c>
      <c r="F1172" s="5">
        <v>193250</v>
      </c>
      <c r="K1172" s="24">
        <v>444</v>
      </c>
      <c r="L1172" s="6">
        <v>447.5</v>
      </c>
      <c r="M1172" s="270">
        <f t="shared" si="26"/>
        <v>3.5</v>
      </c>
      <c r="N1172" s="7"/>
      <c r="O1172" s="277"/>
      <c r="P1172" s="345"/>
      <c r="V1172" s="383"/>
    </row>
    <row r="1173" spans="1:22" ht="15" customHeight="1">
      <c r="A1173" s="3">
        <v>37496</v>
      </c>
      <c r="B1173" s="4">
        <v>65625</v>
      </c>
      <c r="D1173" s="5">
        <v>89425</v>
      </c>
      <c r="E1173" s="5">
        <f t="shared" si="25"/>
        <v>37375</v>
      </c>
      <c r="F1173" s="5">
        <v>192425</v>
      </c>
      <c r="K1173" s="24">
        <v>444.5</v>
      </c>
      <c r="L1173" s="6">
        <v>449</v>
      </c>
      <c r="M1173" s="270">
        <f t="shared" si="26"/>
        <v>4.5</v>
      </c>
      <c r="N1173" s="7"/>
      <c r="O1173" s="277"/>
      <c r="P1173" s="345"/>
      <c r="V1173" s="383"/>
    </row>
    <row r="1174" spans="1:22" ht="15" customHeight="1">
      <c r="A1174" s="3">
        <v>37497</v>
      </c>
      <c r="B1174" s="4">
        <v>66550</v>
      </c>
      <c r="D1174" s="5">
        <v>89425</v>
      </c>
      <c r="E1174" s="5">
        <f t="shared" si="25"/>
        <v>37275</v>
      </c>
      <c r="F1174" s="5">
        <v>193250</v>
      </c>
      <c r="K1174" s="24">
        <v>440.5</v>
      </c>
      <c r="L1174" s="6">
        <v>446.5</v>
      </c>
      <c r="M1174" s="270">
        <f t="shared" si="26"/>
        <v>6</v>
      </c>
      <c r="N1174" s="7"/>
      <c r="O1174" s="277"/>
      <c r="P1174" s="345"/>
      <c r="V1174" s="383"/>
    </row>
    <row r="1175" spans="1:22" ht="15" customHeight="1">
      <c r="A1175" s="3">
        <v>37498</v>
      </c>
      <c r="B1175" s="4">
        <v>66325</v>
      </c>
      <c r="D1175" s="5">
        <v>89500</v>
      </c>
      <c r="E1175" s="5">
        <f t="shared" si="25"/>
        <v>37225</v>
      </c>
      <c r="F1175" s="5">
        <v>193050</v>
      </c>
      <c r="K1175" s="24">
        <v>440</v>
      </c>
      <c r="L1175" s="6">
        <v>448</v>
      </c>
      <c r="M1175" s="270">
        <f t="shared" si="26"/>
        <v>8</v>
      </c>
      <c r="N1175" s="7"/>
      <c r="O1175" s="277"/>
      <c r="P1175" s="345"/>
      <c r="V1175" s="383"/>
    </row>
    <row r="1176" spans="1:22" ht="15" customHeight="1">
      <c r="A1176" s="3">
        <v>37501</v>
      </c>
      <c r="B1176" s="4">
        <v>66200</v>
      </c>
      <c r="D1176" s="5">
        <v>89500</v>
      </c>
      <c r="E1176" s="5">
        <f t="shared" si="25"/>
        <v>37150</v>
      </c>
      <c r="F1176" s="5">
        <v>192850</v>
      </c>
      <c r="K1176" s="24">
        <v>430</v>
      </c>
      <c r="L1176" s="6">
        <v>437</v>
      </c>
      <c r="M1176" s="270">
        <f t="shared" si="26"/>
        <v>7</v>
      </c>
      <c r="N1176" s="7"/>
      <c r="O1176" s="277"/>
      <c r="P1176" s="345"/>
      <c r="V1176" s="383"/>
    </row>
    <row r="1177" spans="1:22" ht="15" customHeight="1">
      <c r="A1177" s="3">
        <v>37502</v>
      </c>
      <c r="B1177" s="4">
        <v>65975</v>
      </c>
      <c r="D1177" s="5">
        <v>89575</v>
      </c>
      <c r="E1177" s="5">
        <f t="shared" si="25"/>
        <v>37125</v>
      </c>
      <c r="F1177" s="5">
        <v>192675</v>
      </c>
      <c r="K1177" s="24">
        <v>427.5</v>
      </c>
      <c r="L1177" s="6">
        <v>435</v>
      </c>
      <c r="M1177" s="270">
        <f t="shared" si="26"/>
        <v>7.5</v>
      </c>
      <c r="N1177" s="7"/>
      <c r="O1177" s="277"/>
      <c r="P1177" s="345"/>
      <c r="V1177" s="383"/>
    </row>
    <row r="1178" spans="1:22" ht="15" customHeight="1">
      <c r="A1178" s="3">
        <v>37503</v>
      </c>
      <c r="B1178" s="4">
        <v>64725</v>
      </c>
      <c r="D1178" s="5">
        <v>89575</v>
      </c>
      <c r="E1178" s="5">
        <f t="shared" si="25"/>
        <v>37075</v>
      </c>
      <c r="F1178" s="5">
        <v>191375</v>
      </c>
      <c r="K1178" s="24">
        <v>427</v>
      </c>
      <c r="L1178" s="6">
        <v>434</v>
      </c>
      <c r="M1178" s="270">
        <f t="shared" si="26"/>
        <v>7</v>
      </c>
      <c r="N1178" s="7"/>
      <c r="O1178" s="277"/>
      <c r="P1178" s="345"/>
      <c r="V1178" s="383"/>
    </row>
    <row r="1179" spans="1:22" ht="15" customHeight="1">
      <c r="A1179" s="3">
        <v>37504</v>
      </c>
      <c r="B1179" s="4">
        <v>64575</v>
      </c>
      <c r="D1179" s="5">
        <v>89850</v>
      </c>
      <c r="E1179" s="5">
        <f t="shared" si="25"/>
        <v>36950</v>
      </c>
      <c r="F1179" s="5">
        <v>191375</v>
      </c>
      <c r="K1179" s="24">
        <v>430</v>
      </c>
      <c r="L1179" s="6">
        <v>442</v>
      </c>
      <c r="M1179" s="270">
        <f t="shared" si="26"/>
        <v>12</v>
      </c>
      <c r="N1179" s="7"/>
      <c r="O1179" s="277"/>
      <c r="P1179" s="345"/>
      <c r="V1179" s="383"/>
    </row>
    <row r="1180" spans="1:22" ht="15" customHeight="1">
      <c r="A1180" s="3">
        <v>37505</v>
      </c>
      <c r="B1180" s="4">
        <v>64575</v>
      </c>
      <c r="D1180" s="5">
        <v>89975</v>
      </c>
      <c r="E1180" s="5">
        <f t="shared" si="25"/>
        <v>36900</v>
      </c>
      <c r="F1180" s="5">
        <v>191450</v>
      </c>
      <c r="K1180" s="24">
        <v>431</v>
      </c>
      <c r="L1180" s="6">
        <v>437</v>
      </c>
      <c r="M1180" s="270">
        <f t="shared" si="26"/>
        <v>6</v>
      </c>
      <c r="N1180" s="7"/>
      <c r="O1180" s="277"/>
      <c r="P1180" s="345"/>
      <c r="V1180" s="383"/>
    </row>
    <row r="1181" spans="1:22" ht="15" customHeight="1">
      <c r="A1181" s="3">
        <v>37508</v>
      </c>
      <c r="B1181" s="4">
        <v>64025</v>
      </c>
      <c r="D1181" s="5">
        <v>90150</v>
      </c>
      <c r="E1181" s="5">
        <f t="shared" si="25"/>
        <v>36850</v>
      </c>
      <c r="F1181" s="5">
        <v>191025</v>
      </c>
      <c r="K1181" s="24">
        <v>431</v>
      </c>
      <c r="L1181" s="6">
        <v>439</v>
      </c>
      <c r="M1181" s="270">
        <f t="shared" si="26"/>
        <v>8</v>
      </c>
      <c r="N1181" s="7"/>
      <c r="O1181" s="277"/>
      <c r="P1181" s="345"/>
      <c r="V1181" s="383"/>
    </row>
    <row r="1182" spans="1:22" ht="15" customHeight="1">
      <c r="A1182" s="3">
        <v>37509</v>
      </c>
      <c r="B1182" s="4">
        <v>64000</v>
      </c>
      <c r="D1182" s="5">
        <v>90225</v>
      </c>
      <c r="E1182" s="5">
        <f t="shared" si="25"/>
        <v>36725</v>
      </c>
      <c r="F1182" s="5">
        <v>190950</v>
      </c>
      <c r="K1182" s="24">
        <v>432.5</v>
      </c>
      <c r="L1182" s="6">
        <v>439</v>
      </c>
      <c r="M1182" s="270">
        <f t="shared" si="26"/>
        <v>6.5</v>
      </c>
      <c r="N1182" s="7"/>
      <c r="O1182" s="277"/>
      <c r="P1182" s="345"/>
      <c r="V1182" s="383"/>
    </row>
    <row r="1183" spans="1:22" ht="15" customHeight="1">
      <c r="A1183" s="3">
        <v>37510</v>
      </c>
      <c r="B1183" s="4">
        <v>63975</v>
      </c>
      <c r="D1183" s="5">
        <v>90225</v>
      </c>
      <c r="E1183" s="5">
        <f t="shared" si="25"/>
        <v>36650</v>
      </c>
      <c r="F1183" s="5">
        <v>190850</v>
      </c>
      <c r="K1183" s="24">
        <v>440.5</v>
      </c>
      <c r="L1183" s="6">
        <v>445</v>
      </c>
      <c r="M1183" s="270">
        <f t="shared" si="26"/>
        <v>4.5</v>
      </c>
      <c r="N1183" s="7"/>
      <c r="O1183" s="277"/>
      <c r="P1183" s="345"/>
      <c r="V1183" s="383"/>
    </row>
    <row r="1184" spans="1:22" ht="15" customHeight="1">
      <c r="A1184" s="3">
        <v>37511</v>
      </c>
      <c r="B1184" s="4">
        <v>63925</v>
      </c>
      <c r="D1184" s="5">
        <v>90350</v>
      </c>
      <c r="E1184" s="5">
        <f t="shared" si="25"/>
        <v>36450</v>
      </c>
      <c r="F1184" s="5">
        <v>190725</v>
      </c>
      <c r="K1184" s="24">
        <v>432</v>
      </c>
      <c r="L1184" s="6">
        <v>438.5</v>
      </c>
      <c r="M1184" s="270">
        <f t="shared" si="26"/>
        <v>6.5</v>
      </c>
      <c r="N1184" s="7"/>
      <c r="O1184" s="277"/>
      <c r="P1184" s="345"/>
      <c r="V1184" s="383"/>
    </row>
    <row r="1185" spans="1:22" ht="15" customHeight="1">
      <c r="A1185" s="3">
        <v>37514</v>
      </c>
      <c r="B1185" s="4">
        <v>63925</v>
      </c>
      <c r="D1185" s="5">
        <v>90525</v>
      </c>
      <c r="E1185" s="5">
        <f t="shared" si="25"/>
        <v>36425</v>
      </c>
      <c r="F1185" s="5">
        <v>190875</v>
      </c>
      <c r="K1185" s="24">
        <v>427.5</v>
      </c>
      <c r="L1185" s="6">
        <v>433</v>
      </c>
      <c r="M1185" s="270">
        <f t="shared" si="26"/>
        <v>5.5</v>
      </c>
      <c r="N1185" s="7"/>
      <c r="O1185" s="277"/>
      <c r="P1185" s="345"/>
      <c r="V1185" s="383"/>
    </row>
    <row r="1186" spans="1:22" ht="15" customHeight="1">
      <c r="A1186" s="3">
        <v>37515</v>
      </c>
      <c r="B1186" s="4">
        <v>63875</v>
      </c>
      <c r="D1186" s="5">
        <v>90675</v>
      </c>
      <c r="E1186" s="5">
        <f t="shared" si="25"/>
        <v>36425</v>
      </c>
      <c r="F1186" s="5">
        <v>190975</v>
      </c>
      <c r="K1186" s="24">
        <v>422.5</v>
      </c>
      <c r="L1186" s="6">
        <v>433</v>
      </c>
      <c r="M1186" s="270">
        <f t="shared" si="26"/>
        <v>10.5</v>
      </c>
      <c r="N1186" s="7"/>
      <c r="O1186" s="277"/>
      <c r="P1186" s="345"/>
      <c r="V1186" s="383"/>
    </row>
    <row r="1187" spans="1:22" ht="15" customHeight="1">
      <c r="A1187" s="3">
        <v>37516</v>
      </c>
      <c r="B1187" s="4">
        <v>63550</v>
      </c>
      <c r="D1187" s="5">
        <v>90850</v>
      </c>
      <c r="E1187" s="5">
        <f t="shared" si="25"/>
        <v>36425</v>
      </c>
      <c r="F1187" s="5">
        <v>190825</v>
      </c>
      <c r="K1187" s="24">
        <v>417.5</v>
      </c>
      <c r="L1187" s="6">
        <v>427</v>
      </c>
      <c r="M1187" s="270">
        <f t="shared" si="26"/>
        <v>9.5</v>
      </c>
      <c r="N1187" s="7"/>
      <c r="O1187" s="277"/>
      <c r="P1187" s="345"/>
      <c r="V1187" s="383"/>
    </row>
    <row r="1188" spans="1:22" ht="15" customHeight="1">
      <c r="A1188" s="3">
        <v>37517</v>
      </c>
      <c r="B1188" s="4">
        <v>62525</v>
      </c>
      <c r="D1188" s="5">
        <v>90925</v>
      </c>
      <c r="E1188" s="5">
        <f t="shared" si="25"/>
        <v>37425</v>
      </c>
      <c r="F1188" s="5">
        <v>190875</v>
      </c>
      <c r="K1188" s="24">
        <v>416</v>
      </c>
      <c r="L1188" s="6">
        <v>427</v>
      </c>
      <c r="M1188" s="270">
        <f t="shared" si="26"/>
        <v>11</v>
      </c>
      <c r="N1188" s="7"/>
      <c r="O1188" s="277"/>
      <c r="P1188" s="345"/>
      <c r="V1188" s="383"/>
    </row>
    <row r="1189" spans="1:22" ht="15" customHeight="1">
      <c r="A1189" s="3">
        <v>37518</v>
      </c>
      <c r="B1189" s="4">
        <v>63100</v>
      </c>
      <c r="D1189" s="5">
        <v>90925</v>
      </c>
      <c r="E1189" s="5">
        <f t="shared" si="25"/>
        <v>35925</v>
      </c>
      <c r="F1189" s="5">
        <v>189950</v>
      </c>
      <c r="K1189" s="24">
        <v>416</v>
      </c>
      <c r="L1189" s="6">
        <v>426</v>
      </c>
      <c r="M1189" s="270">
        <f t="shared" si="26"/>
        <v>10</v>
      </c>
      <c r="N1189" s="7"/>
      <c r="O1189" s="277"/>
      <c r="P1189" s="345"/>
      <c r="V1189" s="383"/>
    </row>
    <row r="1190" spans="1:22" ht="15" customHeight="1">
      <c r="A1190" s="3">
        <v>37519</v>
      </c>
      <c r="B1190" s="4">
        <v>62475</v>
      </c>
      <c r="D1190" s="5">
        <v>91000</v>
      </c>
      <c r="E1190" s="5">
        <f t="shared" si="25"/>
        <v>35050</v>
      </c>
      <c r="F1190" s="5">
        <v>188525</v>
      </c>
      <c r="K1190" s="24">
        <v>413.5</v>
      </c>
      <c r="L1190" s="6">
        <v>423</v>
      </c>
      <c r="M1190" s="270">
        <f t="shared" si="26"/>
        <v>9.5</v>
      </c>
      <c r="N1190" s="7"/>
      <c r="O1190" s="277"/>
      <c r="P1190" s="345"/>
      <c r="V1190" s="383"/>
    </row>
    <row r="1191" spans="1:22" ht="15" customHeight="1">
      <c r="A1191" s="3">
        <v>37522</v>
      </c>
      <c r="B1191" s="4">
        <v>62275</v>
      </c>
      <c r="D1191" s="5">
        <v>91100</v>
      </c>
      <c r="E1191" s="5">
        <f t="shared" si="25"/>
        <v>34500</v>
      </c>
      <c r="F1191" s="5">
        <v>187875</v>
      </c>
      <c r="K1191" s="24">
        <v>410</v>
      </c>
      <c r="L1191" s="6">
        <v>423</v>
      </c>
      <c r="M1191" s="270">
        <f t="shared" si="26"/>
        <v>13</v>
      </c>
      <c r="N1191" s="7"/>
      <c r="O1191" s="277"/>
      <c r="P1191" s="345"/>
      <c r="V1191" s="383"/>
    </row>
    <row r="1192" spans="1:22" ht="15" customHeight="1">
      <c r="A1192" s="3">
        <v>37523</v>
      </c>
      <c r="B1192" s="4">
        <v>62050</v>
      </c>
      <c r="D1192" s="5">
        <v>91200</v>
      </c>
      <c r="E1192" s="5">
        <f t="shared" ref="E1192:E1197" si="27">F1192-(B1192+D1192)</f>
        <v>34325</v>
      </c>
      <c r="F1192" s="5">
        <v>187575</v>
      </c>
      <c r="K1192" s="24">
        <v>404.5</v>
      </c>
      <c r="L1192" s="6">
        <v>416</v>
      </c>
      <c r="M1192" s="270">
        <f t="shared" si="26"/>
        <v>11.5</v>
      </c>
      <c r="N1192" s="7"/>
      <c r="O1192" s="277"/>
      <c r="P1192" s="345"/>
      <c r="V1192" s="383"/>
    </row>
    <row r="1193" spans="1:22" ht="15" customHeight="1">
      <c r="A1193" s="3">
        <v>37524</v>
      </c>
      <c r="B1193" s="4">
        <v>60750</v>
      </c>
      <c r="D1193" s="5">
        <v>91200</v>
      </c>
      <c r="E1193" s="5">
        <f t="shared" si="27"/>
        <v>34275</v>
      </c>
      <c r="F1193" s="5">
        <v>186225</v>
      </c>
      <c r="K1193" s="24">
        <v>408</v>
      </c>
      <c r="L1193" s="6">
        <v>418</v>
      </c>
      <c r="M1193" s="270">
        <f t="shared" si="26"/>
        <v>10</v>
      </c>
      <c r="N1193" s="7"/>
      <c r="O1193" s="277"/>
      <c r="P1193" s="345"/>
      <c r="V1193" s="383"/>
    </row>
    <row r="1194" spans="1:22" ht="15" customHeight="1">
      <c r="A1194" s="3">
        <v>37525</v>
      </c>
      <c r="B1194" s="4">
        <v>60650</v>
      </c>
      <c r="D1194" s="5">
        <v>91400</v>
      </c>
      <c r="E1194" s="5">
        <f t="shared" si="27"/>
        <v>34250</v>
      </c>
      <c r="F1194" s="5">
        <v>186300</v>
      </c>
      <c r="K1194" s="24">
        <v>411.5</v>
      </c>
      <c r="L1194" s="6">
        <v>424</v>
      </c>
      <c r="M1194" s="270">
        <f t="shared" si="26"/>
        <v>12.5</v>
      </c>
      <c r="N1194" s="7"/>
      <c r="O1194" s="277"/>
      <c r="P1194" s="345"/>
      <c r="V1194" s="383"/>
    </row>
    <row r="1195" spans="1:22" ht="15" customHeight="1">
      <c r="A1195" s="3">
        <v>37526</v>
      </c>
      <c r="B1195" s="4">
        <v>59550</v>
      </c>
      <c r="D1195" s="5">
        <v>91425</v>
      </c>
      <c r="E1195" s="5">
        <f t="shared" si="27"/>
        <v>34225</v>
      </c>
      <c r="F1195" s="5">
        <v>185200</v>
      </c>
      <c r="K1195" s="24">
        <v>411.58</v>
      </c>
      <c r="L1195" s="6">
        <v>423</v>
      </c>
      <c r="M1195" s="270">
        <f t="shared" si="26"/>
        <v>11.420000000000016</v>
      </c>
      <c r="N1195" s="7"/>
      <c r="O1195" s="277"/>
      <c r="P1195" s="345"/>
      <c r="V1195" s="383"/>
    </row>
    <row r="1196" spans="1:22" ht="15" customHeight="1">
      <c r="A1196" s="3">
        <v>37529</v>
      </c>
      <c r="B1196" s="4">
        <v>59325</v>
      </c>
      <c r="D1196" s="5">
        <v>91525</v>
      </c>
      <c r="E1196" s="5">
        <f t="shared" si="27"/>
        <v>34200</v>
      </c>
      <c r="F1196" s="5">
        <v>185050</v>
      </c>
      <c r="K1196" s="24">
        <v>405</v>
      </c>
      <c r="L1196" s="6">
        <v>419.5</v>
      </c>
      <c r="M1196" s="270">
        <f t="shared" si="26"/>
        <v>14.5</v>
      </c>
      <c r="N1196" s="7"/>
      <c r="O1196" s="277"/>
      <c r="P1196" s="345"/>
      <c r="V1196" s="383"/>
    </row>
    <row r="1197" spans="1:22" ht="15" customHeight="1">
      <c r="A1197" s="3">
        <v>37530</v>
      </c>
      <c r="B1197" s="4">
        <v>58250</v>
      </c>
      <c r="D1197" s="5">
        <v>91525</v>
      </c>
      <c r="E1197" s="5">
        <f t="shared" si="27"/>
        <v>34175</v>
      </c>
      <c r="F1197" s="5">
        <v>183950</v>
      </c>
      <c r="K1197" s="24">
        <v>402.5</v>
      </c>
      <c r="L1197" s="6">
        <v>414</v>
      </c>
      <c r="M1197" s="270">
        <f t="shared" si="26"/>
        <v>11.5</v>
      </c>
      <c r="N1197" s="7"/>
      <c r="O1197" s="277"/>
      <c r="P1197" s="345"/>
      <c r="V1197" s="383"/>
    </row>
    <row r="1198" spans="1:22" ht="15" customHeight="1">
      <c r="A1198" s="3">
        <v>37531</v>
      </c>
      <c r="B1198" s="4">
        <v>57625</v>
      </c>
      <c r="D1198" s="5">
        <v>91650</v>
      </c>
      <c r="E1198" s="5">
        <f t="shared" ref="E1198:E1261" si="28">F1198-(B1198+D1198)</f>
        <v>33325</v>
      </c>
      <c r="F1198" s="5">
        <v>182600</v>
      </c>
      <c r="K1198" s="24">
        <v>411.5</v>
      </c>
      <c r="L1198" s="6">
        <v>423.5</v>
      </c>
      <c r="M1198" s="270">
        <f t="shared" si="26"/>
        <v>12</v>
      </c>
      <c r="N1198" s="7"/>
      <c r="O1198" s="277"/>
      <c r="P1198" s="345"/>
      <c r="V1198" s="383"/>
    </row>
    <row r="1199" spans="1:22" ht="15" customHeight="1">
      <c r="A1199" s="3">
        <v>37532</v>
      </c>
      <c r="B1199" s="4">
        <v>56700</v>
      </c>
      <c r="D1199" s="5">
        <v>91650</v>
      </c>
      <c r="E1199" s="5">
        <f t="shared" si="28"/>
        <v>32650</v>
      </c>
      <c r="F1199" s="5">
        <v>181000</v>
      </c>
      <c r="K1199" s="24">
        <v>411</v>
      </c>
      <c r="L1199" s="6">
        <v>422</v>
      </c>
      <c r="M1199" s="270">
        <f t="shared" si="26"/>
        <v>11</v>
      </c>
      <c r="N1199" s="7"/>
      <c r="O1199" s="277"/>
      <c r="P1199" s="345"/>
      <c r="V1199" s="383"/>
    </row>
    <row r="1200" spans="1:22" ht="15" customHeight="1">
      <c r="A1200" s="3">
        <v>37533</v>
      </c>
      <c r="B1200" s="4">
        <v>56175</v>
      </c>
      <c r="D1200" s="5">
        <v>91650</v>
      </c>
      <c r="E1200" s="5">
        <f t="shared" si="28"/>
        <v>32375</v>
      </c>
      <c r="F1200" s="5">
        <v>180200</v>
      </c>
      <c r="K1200" s="24">
        <v>414.5</v>
      </c>
      <c r="L1200" s="6">
        <v>424</v>
      </c>
      <c r="M1200" s="270">
        <f t="shared" si="26"/>
        <v>9.5</v>
      </c>
      <c r="N1200" s="7"/>
      <c r="O1200" s="277"/>
      <c r="P1200" s="345"/>
      <c r="V1200" s="383"/>
    </row>
    <row r="1201" spans="1:22" ht="15" customHeight="1">
      <c r="A1201" s="3">
        <v>37536</v>
      </c>
      <c r="B1201" s="4">
        <v>56075</v>
      </c>
      <c r="D1201" s="5">
        <v>91825</v>
      </c>
      <c r="E1201" s="5">
        <f t="shared" si="28"/>
        <v>31975</v>
      </c>
      <c r="F1201" s="5">
        <v>179875</v>
      </c>
      <c r="K1201" s="24">
        <v>408.5</v>
      </c>
      <c r="L1201" s="6">
        <v>421</v>
      </c>
      <c r="M1201" s="270">
        <f t="shared" si="26"/>
        <v>12.5</v>
      </c>
      <c r="N1201" s="7"/>
      <c r="O1201" s="277"/>
      <c r="P1201" s="345"/>
      <c r="V1201" s="383"/>
    </row>
    <row r="1202" spans="1:22" ht="15" customHeight="1">
      <c r="A1202" s="3">
        <v>37537</v>
      </c>
      <c r="B1202" s="4">
        <v>55700</v>
      </c>
      <c r="D1202" s="5">
        <v>91925</v>
      </c>
      <c r="E1202" s="5">
        <f t="shared" si="28"/>
        <v>31925</v>
      </c>
      <c r="F1202" s="5">
        <v>179550</v>
      </c>
      <c r="K1202" s="24">
        <v>414</v>
      </c>
      <c r="L1202" s="6">
        <v>424.5</v>
      </c>
      <c r="M1202" s="270">
        <f t="shared" si="26"/>
        <v>10.5</v>
      </c>
      <c r="N1202" s="7"/>
      <c r="O1202" s="277"/>
      <c r="P1202" s="345"/>
      <c r="V1202" s="383"/>
    </row>
    <row r="1203" spans="1:22" ht="15" customHeight="1">
      <c r="A1203" s="3">
        <v>37538</v>
      </c>
      <c r="B1203" s="4">
        <v>55250</v>
      </c>
      <c r="D1203" s="5">
        <v>92025</v>
      </c>
      <c r="E1203" s="5">
        <f t="shared" si="28"/>
        <v>31825</v>
      </c>
      <c r="F1203" s="5">
        <v>179100</v>
      </c>
      <c r="K1203" s="24">
        <v>422</v>
      </c>
      <c r="L1203" s="6">
        <v>434</v>
      </c>
      <c r="M1203" s="270">
        <f t="shared" si="26"/>
        <v>12</v>
      </c>
      <c r="N1203" s="7"/>
      <c r="O1203" s="277"/>
      <c r="P1203" s="345"/>
      <c r="V1203" s="383"/>
    </row>
    <row r="1204" spans="1:22" ht="15" customHeight="1">
      <c r="A1204" s="3">
        <v>37539</v>
      </c>
      <c r="B1204" s="4">
        <v>55400</v>
      </c>
      <c r="D1204" s="5">
        <v>92625</v>
      </c>
      <c r="E1204" s="5">
        <f t="shared" si="28"/>
        <v>31750</v>
      </c>
      <c r="F1204" s="5">
        <v>179775</v>
      </c>
      <c r="K1204" s="24">
        <v>416</v>
      </c>
      <c r="L1204" s="6">
        <v>426</v>
      </c>
      <c r="M1204" s="270">
        <f t="shared" si="26"/>
        <v>10</v>
      </c>
      <c r="N1204" s="7"/>
      <c r="O1204" s="277"/>
      <c r="P1204" s="345"/>
      <c r="V1204" s="383"/>
    </row>
    <row r="1205" spans="1:22" ht="15" customHeight="1">
      <c r="A1205" s="3">
        <v>37540</v>
      </c>
      <c r="B1205" s="4">
        <v>57375</v>
      </c>
      <c r="D1205" s="5">
        <v>92875</v>
      </c>
      <c r="E1205" s="5">
        <f t="shared" si="28"/>
        <v>31625</v>
      </c>
      <c r="F1205" s="5">
        <v>181875</v>
      </c>
      <c r="K1205" s="24">
        <v>423</v>
      </c>
      <c r="L1205" s="6">
        <v>435</v>
      </c>
      <c r="M1205" s="270">
        <f t="shared" si="26"/>
        <v>12</v>
      </c>
      <c r="N1205" s="7"/>
      <c r="O1205" s="277"/>
      <c r="P1205" s="345"/>
      <c r="V1205" s="383"/>
    </row>
    <row r="1206" spans="1:22" ht="15" customHeight="1">
      <c r="A1206" s="3">
        <v>37543</v>
      </c>
      <c r="B1206" s="4">
        <v>57075</v>
      </c>
      <c r="D1206" s="5">
        <v>94550</v>
      </c>
      <c r="E1206" s="5">
        <f t="shared" si="28"/>
        <v>31575</v>
      </c>
      <c r="F1206" s="5">
        <v>183200</v>
      </c>
      <c r="K1206" s="24">
        <v>417</v>
      </c>
      <c r="L1206" s="6">
        <v>429</v>
      </c>
      <c r="M1206" s="270">
        <f t="shared" si="26"/>
        <v>12</v>
      </c>
      <c r="N1206" s="7"/>
      <c r="O1206" s="277"/>
      <c r="P1206" s="345"/>
      <c r="V1206" s="383"/>
    </row>
    <row r="1207" spans="1:22" ht="15" customHeight="1">
      <c r="A1207" s="3">
        <v>37544</v>
      </c>
      <c r="B1207" s="4">
        <v>56275</v>
      </c>
      <c r="D1207" s="5">
        <v>96275</v>
      </c>
      <c r="E1207" s="5">
        <f t="shared" si="28"/>
        <v>31500</v>
      </c>
      <c r="F1207" s="5">
        <v>184050</v>
      </c>
      <c r="K1207" s="24">
        <v>418.5</v>
      </c>
      <c r="L1207" s="6">
        <v>430</v>
      </c>
      <c r="M1207" s="270">
        <f t="shared" ref="M1207:M1270" si="29">L1207-K1207</f>
        <v>11.5</v>
      </c>
      <c r="N1207" s="7"/>
      <c r="O1207" s="277"/>
      <c r="P1207" s="345"/>
      <c r="V1207" s="383"/>
    </row>
    <row r="1208" spans="1:22" ht="15" customHeight="1">
      <c r="A1208" s="3">
        <v>37545</v>
      </c>
      <c r="B1208" s="4">
        <v>54925</v>
      </c>
      <c r="D1208" s="5">
        <v>98925</v>
      </c>
      <c r="E1208" s="5">
        <f t="shared" si="28"/>
        <v>31425</v>
      </c>
      <c r="F1208" s="5">
        <v>185275</v>
      </c>
      <c r="K1208" s="24">
        <v>420</v>
      </c>
      <c r="L1208" s="6">
        <v>429</v>
      </c>
      <c r="M1208" s="270">
        <f t="shared" si="29"/>
        <v>9</v>
      </c>
      <c r="N1208" s="7"/>
      <c r="O1208" s="277"/>
      <c r="P1208" s="345"/>
      <c r="V1208" s="383"/>
    </row>
    <row r="1209" spans="1:22" ht="15" customHeight="1">
      <c r="A1209" s="3">
        <v>37546</v>
      </c>
      <c r="B1209" s="4">
        <v>57725</v>
      </c>
      <c r="D1209" s="5">
        <v>105575</v>
      </c>
      <c r="E1209" s="5">
        <f t="shared" si="28"/>
        <v>31325</v>
      </c>
      <c r="F1209" s="5">
        <v>194625</v>
      </c>
      <c r="K1209" s="24">
        <v>422.5</v>
      </c>
      <c r="L1209" s="6">
        <v>432.5</v>
      </c>
      <c r="M1209" s="270">
        <f t="shared" si="29"/>
        <v>10</v>
      </c>
      <c r="N1209" s="7"/>
      <c r="O1209" s="277"/>
      <c r="P1209" s="345"/>
      <c r="V1209" s="383"/>
    </row>
    <row r="1210" spans="1:22" ht="15" customHeight="1">
      <c r="A1210" s="3">
        <v>37547</v>
      </c>
      <c r="B1210" s="4">
        <v>57675</v>
      </c>
      <c r="D1210" s="5">
        <v>105625</v>
      </c>
      <c r="E1210" s="5">
        <f t="shared" si="28"/>
        <v>30275</v>
      </c>
      <c r="F1210" s="5">
        <v>193575</v>
      </c>
      <c r="K1210" s="24">
        <v>423</v>
      </c>
      <c r="L1210" s="6">
        <v>431</v>
      </c>
      <c r="M1210" s="270">
        <f t="shared" si="29"/>
        <v>8</v>
      </c>
      <c r="N1210" s="7"/>
      <c r="O1210" s="277"/>
      <c r="P1210" s="345"/>
      <c r="V1210" s="383"/>
    </row>
    <row r="1211" spans="1:22" ht="15" customHeight="1">
      <c r="A1211" s="3">
        <v>37550</v>
      </c>
      <c r="B1211" s="4">
        <v>56275</v>
      </c>
      <c r="D1211" s="5">
        <v>105625</v>
      </c>
      <c r="E1211" s="5">
        <f t="shared" si="28"/>
        <v>28850</v>
      </c>
      <c r="F1211" s="5">
        <v>190750</v>
      </c>
      <c r="K1211" s="24">
        <v>415</v>
      </c>
      <c r="L1211" s="6">
        <v>424</v>
      </c>
      <c r="M1211" s="270">
        <f t="shared" si="29"/>
        <v>9</v>
      </c>
      <c r="N1211" s="7"/>
      <c r="O1211" s="277"/>
      <c r="P1211" s="345"/>
      <c r="V1211" s="383"/>
    </row>
    <row r="1212" spans="1:22" ht="15" customHeight="1">
      <c r="A1212" s="3">
        <v>37551</v>
      </c>
      <c r="B1212" s="4">
        <v>55250</v>
      </c>
      <c r="D1212" s="5">
        <v>105700</v>
      </c>
      <c r="E1212" s="5">
        <f t="shared" si="28"/>
        <v>28150</v>
      </c>
      <c r="F1212" s="5">
        <v>189100</v>
      </c>
      <c r="K1212" s="24">
        <v>416</v>
      </c>
      <c r="L1212" s="6">
        <v>428</v>
      </c>
      <c r="M1212" s="270">
        <f t="shared" si="29"/>
        <v>12</v>
      </c>
      <c r="N1212" s="7"/>
      <c r="O1212" s="277"/>
      <c r="P1212" s="345"/>
      <c r="V1212" s="383"/>
    </row>
    <row r="1213" spans="1:22" ht="15" customHeight="1">
      <c r="A1213" s="3">
        <v>37552</v>
      </c>
      <c r="B1213" s="4">
        <v>55225</v>
      </c>
      <c r="D1213" s="5">
        <v>105875</v>
      </c>
      <c r="E1213" s="5">
        <f t="shared" si="28"/>
        <v>27575</v>
      </c>
      <c r="F1213" s="5">
        <v>188675</v>
      </c>
      <c r="K1213" s="24">
        <v>419.5</v>
      </c>
      <c r="L1213" s="6">
        <v>430.5</v>
      </c>
      <c r="M1213" s="270">
        <f t="shared" si="29"/>
        <v>11</v>
      </c>
      <c r="N1213" s="7"/>
      <c r="O1213" s="277"/>
      <c r="P1213" s="345"/>
      <c r="V1213" s="383"/>
    </row>
    <row r="1214" spans="1:22" ht="15" customHeight="1">
      <c r="A1214" s="3">
        <v>37553</v>
      </c>
      <c r="B1214" s="4">
        <v>55075</v>
      </c>
      <c r="D1214" s="5">
        <v>105875</v>
      </c>
      <c r="E1214" s="5">
        <f t="shared" si="28"/>
        <v>26750</v>
      </c>
      <c r="F1214" s="5">
        <v>187700</v>
      </c>
      <c r="K1214" s="24">
        <v>410.5</v>
      </c>
      <c r="L1214" s="6">
        <v>424</v>
      </c>
      <c r="M1214" s="270">
        <f t="shared" si="29"/>
        <v>13.5</v>
      </c>
      <c r="N1214" s="7"/>
      <c r="O1214" s="277"/>
      <c r="P1214" s="345"/>
      <c r="V1214" s="383"/>
    </row>
    <row r="1215" spans="1:22" ht="15" customHeight="1">
      <c r="A1215" s="3">
        <v>37556</v>
      </c>
      <c r="B1215" s="4">
        <v>55000</v>
      </c>
      <c r="D1215" s="5">
        <v>105875</v>
      </c>
      <c r="E1215" s="5">
        <f t="shared" si="28"/>
        <v>25900</v>
      </c>
      <c r="F1215" s="5">
        <v>186775</v>
      </c>
      <c r="K1215" s="24">
        <v>420</v>
      </c>
      <c r="L1215" s="6">
        <v>428.5</v>
      </c>
      <c r="M1215" s="270">
        <f t="shared" si="29"/>
        <v>8.5</v>
      </c>
      <c r="N1215" s="7"/>
      <c r="O1215" s="277"/>
      <c r="P1215" s="345"/>
      <c r="V1215" s="383"/>
    </row>
    <row r="1216" spans="1:22" ht="15" customHeight="1">
      <c r="A1216" s="3">
        <v>37557</v>
      </c>
      <c r="B1216" s="4">
        <v>54775</v>
      </c>
      <c r="D1216" s="5">
        <v>105900</v>
      </c>
      <c r="E1216" s="5">
        <f t="shared" si="28"/>
        <v>25350</v>
      </c>
      <c r="F1216" s="5">
        <v>186025</v>
      </c>
      <c r="K1216" s="24">
        <v>425</v>
      </c>
      <c r="L1216" s="6">
        <v>435</v>
      </c>
      <c r="M1216" s="270">
        <f t="shared" si="29"/>
        <v>10</v>
      </c>
      <c r="N1216" s="7"/>
      <c r="O1216" s="277"/>
      <c r="P1216" s="345"/>
      <c r="V1216" s="383"/>
    </row>
    <row r="1217" spans="1:22" ht="15" customHeight="1">
      <c r="A1217" s="3">
        <v>37558</v>
      </c>
      <c r="B1217" s="4">
        <v>56050</v>
      </c>
      <c r="D1217" s="5">
        <v>105900</v>
      </c>
      <c r="E1217" s="5">
        <f t="shared" si="28"/>
        <v>24075</v>
      </c>
      <c r="F1217" s="5">
        <v>186025</v>
      </c>
      <c r="K1217" s="24">
        <v>422.5</v>
      </c>
      <c r="L1217" s="6">
        <v>433</v>
      </c>
      <c r="M1217" s="270">
        <f t="shared" si="29"/>
        <v>10.5</v>
      </c>
      <c r="N1217" s="7"/>
      <c r="O1217" s="277"/>
      <c r="P1217" s="345"/>
      <c r="V1217" s="383"/>
    </row>
    <row r="1218" spans="1:22" ht="15" customHeight="1">
      <c r="A1218" s="3">
        <v>37559</v>
      </c>
      <c r="B1218" s="4">
        <v>55425</v>
      </c>
      <c r="D1218" s="5">
        <v>106000</v>
      </c>
      <c r="E1218" s="5">
        <f t="shared" si="28"/>
        <v>23350</v>
      </c>
      <c r="F1218" s="5">
        <v>184775</v>
      </c>
      <c r="K1218" s="24">
        <v>429</v>
      </c>
      <c r="L1218" s="6">
        <v>437</v>
      </c>
      <c r="M1218" s="270">
        <f t="shared" si="29"/>
        <v>8</v>
      </c>
      <c r="N1218" s="7"/>
      <c r="O1218" s="277"/>
      <c r="P1218" s="345"/>
      <c r="V1218" s="383"/>
    </row>
    <row r="1219" spans="1:22" ht="15" customHeight="1">
      <c r="A1219" s="3">
        <v>37560</v>
      </c>
      <c r="B1219" s="4">
        <v>55425</v>
      </c>
      <c r="D1219" s="5">
        <v>106000</v>
      </c>
      <c r="E1219" s="5">
        <f t="shared" si="28"/>
        <v>22875</v>
      </c>
      <c r="F1219" s="5">
        <v>184300</v>
      </c>
      <c r="K1219" s="24">
        <v>436</v>
      </c>
      <c r="L1219" s="6">
        <v>447</v>
      </c>
      <c r="M1219" s="270">
        <f t="shared" si="29"/>
        <v>11</v>
      </c>
      <c r="N1219" s="7"/>
      <c r="O1219" s="277"/>
      <c r="P1219" s="345"/>
      <c r="V1219" s="383"/>
    </row>
    <row r="1220" spans="1:22" ht="15" customHeight="1">
      <c r="A1220" s="3">
        <v>37561</v>
      </c>
      <c r="B1220" s="4">
        <v>55375</v>
      </c>
      <c r="D1220" s="5">
        <v>106000</v>
      </c>
      <c r="E1220" s="5">
        <f t="shared" si="28"/>
        <v>22650</v>
      </c>
      <c r="F1220" s="5">
        <v>184025</v>
      </c>
      <c r="K1220" s="24">
        <v>430.5</v>
      </c>
      <c r="L1220" s="6">
        <v>440</v>
      </c>
      <c r="M1220" s="270">
        <f t="shared" si="29"/>
        <v>9.5</v>
      </c>
      <c r="N1220" s="7"/>
      <c r="O1220" s="277"/>
      <c r="P1220" s="345"/>
      <c r="V1220" s="383"/>
    </row>
    <row r="1221" spans="1:22" ht="15" customHeight="1">
      <c r="A1221" s="3">
        <v>37564</v>
      </c>
      <c r="B1221" s="4">
        <v>54200</v>
      </c>
      <c r="D1221" s="5">
        <v>107475</v>
      </c>
      <c r="E1221" s="5">
        <f t="shared" si="28"/>
        <v>22625</v>
      </c>
      <c r="F1221" s="5">
        <v>184300</v>
      </c>
      <c r="K1221" s="24">
        <v>443</v>
      </c>
      <c r="L1221" s="6">
        <v>450.5</v>
      </c>
      <c r="M1221" s="270">
        <f t="shared" si="29"/>
        <v>7.5</v>
      </c>
      <c r="N1221" s="7"/>
      <c r="O1221" s="277"/>
      <c r="P1221" s="345"/>
      <c r="V1221" s="383"/>
    </row>
    <row r="1222" spans="1:22" ht="15" customHeight="1">
      <c r="A1222" s="3">
        <v>37565</v>
      </c>
      <c r="B1222" s="4">
        <v>55250</v>
      </c>
      <c r="D1222" s="5">
        <v>111675</v>
      </c>
      <c r="E1222" s="5">
        <f t="shared" si="28"/>
        <v>22550</v>
      </c>
      <c r="F1222" s="5">
        <v>189475</v>
      </c>
      <c r="K1222" s="24">
        <v>437</v>
      </c>
      <c r="L1222" s="6">
        <v>447</v>
      </c>
      <c r="M1222" s="270">
        <f t="shared" si="29"/>
        <v>10</v>
      </c>
      <c r="N1222" s="7"/>
      <c r="O1222" s="277"/>
      <c r="P1222" s="345"/>
      <c r="V1222" s="383"/>
    </row>
    <row r="1223" spans="1:22" ht="15" customHeight="1">
      <c r="A1223" s="3">
        <v>37566</v>
      </c>
      <c r="B1223" s="4">
        <v>55250</v>
      </c>
      <c r="D1223" s="5">
        <v>111675</v>
      </c>
      <c r="E1223" s="5">
        <f t="shared" si="28"/>
        <v>22275</v>
      </c>
      <c r="F1223" s="5">
        <v>189200</v>
      </c>
      <c r="K1223" s="24">
        <v>439.5</v>
      </c>
      <c r="L1223" s="6">
        <v>449</v>
      </c>
      <c r="M1223" s="270">
        <f t="shared" si="29"/>
        <v>9.5</v>
      </c>
      <c r="N1223" s="7"/>
      <c r="O1223" s="277"/>
      <c r="P1223" s="345"/>
      <c r="V1223" s="383"/>
    </row>
    <row r="1224" spans="1:22" ht="15" customHeight="1">
      <c r="A1224" s="3">
        <v>37567</v>
      </c>
      <c r="B1224" s="4">
        <v>55250</v>
      </c>
      <c r="D1224" s="5">
        <v>111675</v>
      </c>
      <c r="E1224" s="5">
        <f t="shared" si="28"/>
        <v>22025</v>
      </c>
      <c r="F1224" s="5">
        <v>188950</v>
      </c>
      <c r="K1224" s="24">
        <v>432</v>
      </c>
      <c r="L1224" s="6">
        <v>441.5</v>
      </c>
      <c r="M1224" s="270">
        <f t="shared" si="29"/>
        <v>9.5</v>
      </c>
      <c r="N1224" s="7"/>
      <c r="O1224" s="277"/>
      <c r="P1224" s="345"/>
      <c r="V1224" s="383"/>
    </row>
    <row r="1225" spans="1:22" ht="15" customHeight="1">
      <c r="A1225" s="3">
        <v>37568</v>
      </c>
      <c r="B1225" s="4">
        <v>55225</v>
      </c>
      <c r="D1225" s="5">
        <v>111675</v>
      </c>
      <c r="E1225" s="5">
        <f t="shared" si="28"/>
        <v>21925</v>
      </c>
      <c r="F1225" s="5">
        <v>188825</v>
      </c>
      <c r="K1225" s="24">
        <v>431</v>
      </c>
      <c r="L1225" s="6">
        <v>440</v>
      </c>
      <c r="M1225" s="270">
        <f t="shared" si="29"/>
        <v>9</v>
      </c>
      <c r="N1225" s="7"/>
      <c r="O1225" s="277"/>
      <c r="P1225" s="345"/>
      <c r="V1225" s="383"/>
    </row>
    <row r="1226" spans="1:22" ht="15" customHeight="1">
      <c r="A1226" s="3">
        <v>37571</v>
      </c>
      <c r="B1226" s="4">
        <v>55175</v>
      </c>
      <c r="D1226" s="5">
        <v>111675</v>
      </c>
      <c r="E1226" s="5">
        <f t="shared" si="28"/>
        <v>21750</v>
      </c>
      <c r="F1226" s="5">
        <v>188600</v>
      </c>
      <c r="K1226" s="24">
        <v>435</v>
      </c>
      <c r="L1226" s="6">
        <v>443</v>
      </c>
      <c r="M1226" s="270">
        <f t="shared" si="29"/>
        <v>8</v>
      </c>
      <c r="N1226" s="7"/>
      <c r="O1226" s="277"/>
      <c r="P1226" s="345"/>
      <c r="V1226" s="383"/>
    </row>
    <row r="1227" spans="1:22" ht="15" customHeight="1">
      <c r="A1227" s="3">
        <v>37572</v>
      </c>
      <c r="B1227" s="4">
        <v>55075</v>
      </c>
      <c r="D1227" s="5">
        <v>111675</v>
      </c>
      <c r="E1227" s="5">
        <f t="shared" si="28"/>
        <v>21678</v>
      </c>
      <c r="F1227" s="5">
        <v>188428</v>
      </c>
      <c r="K1227" s="24">
        <v>426</v>
      </c>
      <c r="L1227" s="6">
        <v>436</v>
      </c>
      <c r="M1227" s="270">
        <f t="shared" si="29"/>
        <v>10</v>
      </c>
      <c r="N1227" s="7"/>
      <c r="O1227" s="277"/>
      <c r="P1227" s="345"/>
      <c r="V1227" s="383"/>
    </row>
    <row r="1228" spans="1:22" ht="15" customHeight="1">
      <c r="A1228" s="3">
        <v>37573</v>
      </c>
      <c r="B1228" s="4">
        <v>54900</v>
      </c>
      <c r="D1228" s="5">
        <v>111675</v>
      </c>
      <c r="E1228" s="5">
        <f t="shared" si="28"/>
        <v>21225</v>
      </c>
      <c r="F1228" s="5">
        <v>187800</v>
      </c>
      <c r="K1228" s="24">
        <v>423.5</v>
      </c>
      <c r="L1228" s="6">
        <v>436</v>
      </c>
      <c r="M1228" s="270">
        <f t="shared" si="29"/>
        <v>12.5</v>
      </c>
      <c r="N1228" s="7"/>
      <c r="O1228" s="277"/>
      <c r="P1228" s="345"/>
      <c r="V1228" s="383"/>
    </row>
    <row r="1229" spans="1:22" ht="15" customHeight="1">
      <c r="A1229" s="3">
        <v>37574</v>
      </c>
      <c r="B1229" s="4">
        <v>54350</v>
      </c>
      <c r="D1229" s="5">
        <v>111675</v>
      </c>
      <c r="E1229" s="5">
        <f t="shared" si="28"/>
        <v>20800</v>
      </c>
      <c r="F1229" s="5">
        <v>186825</v>
      </c>
      <c r="K1229" s="24">
        <v>427</v>
      </c>
      <c r="L1229" s="6">
        <v>434.5</v>
      </c>
      <c r="M1229" s="270">
        <f t="shared" si="29"/>
        <v>7.5</v>
      </c>
      <c r="N1229" s="7"/>
      <c r="O1229" s="277"/>
      <c r="P1229" s="345"/>
      <c r="V1229" s="383"/>
    </row>
    <row r="1230" spans="1:22" ht="15" customHeight="1">
      <c r="A1230" s="3">
        <v>37575</v>
      </c>
      <c r="B1230" s="4">
        <v>53675</v>
      </c>
      <c r="D1230" s="5">
        <v>111750</v>
      </c>
      <c r="E1230" s="5">
        <f t="shared" si="28"/>
        <v>20275</v>
      </c>
      <c r="F1230" s="5">
        <v>185700</v>
      </c>
      <c r="K1230" s="24">
        <v>434.5</v>
      </c>
      <c r="L1230" s="6">
        <v>442</v>
      </c>
      <c r="M1230" s="270">
        <f t="shared" si="29"/>
        <v>7.5</v>
      </c>
      <c r="N1230" s="7"/>
      <c r="O1230" s="277"/>
      <c r="P1230" s="345"/>
      <c r="V1230" s="383"/>
    </row>
    <row r="1231" spans="1:22" ht="15" customHeight="1">
      <c r="A1231" s="3">
        <v>37578</v>
      </c>
      <c r="B1231" s="4">
        <v>53225</v>
      </c>
      <c r="D1231" s="5">
        <v>111750</v>
      </c>
      <c r="E1231" s="5">
        <f t="shared" si="28"/>
        <v>19675</v>
      </c>
      <c r="F1231" s="5">
        <v>184650</v>
      </c>
      <c r="K1231" s="24">
        <v>436</v>
      </c>
      <c r="L1231" s="6">
        <v>444.5</v>
      </c>
      <c r="M1231" s="270">
        <f t="shared" si="29"/>
        <v>8.5</v>
      </c>
      <c r="N1231" s="7"/>
      <c r="O1231" s="277"/>
      <c r="P1231" s="345"/>
      <c r="V1231" s="383"/>
    </row>
    <row r="1232" spans="1:22" ht="15" customHeight="1">
      <c r="A1232" s="3">
        <v>37579</v>
      </c>
      <c r="B1232" s="4">
        <v>51400</v>
      </c>
      <c r="D1232" s="5">
        <v>111825</v>
      </c>
      <c r="E1232" s="5">
        <f t="shared" si="28"/>
        <v>19475</v>
      </c>
      <c r="F1232" s="5">
        <v>182700</v>
      </c>
      <c r="K1232" s="24">
        <v>443</v>
      </c>
      <c r="L1232" s="6">
        <v>449</v>
      </c>
      <c r="M1232" s="270">
        <f t="shared" si="29"/>
        <v>6</v>
      </c>
      <c r="N1232" s="7"/>
      <c r="O1232" s="277"/>
      <c r="P1232" s="345"/>
      <c r="V1232" s="383"/>
    </row>
    <row r="1233" spans="1:22" ht="15" customHeight="1">
      <c r="A1233" s="3">
        <v>37580</v>
      </c>
      <c r="B1233" s="4">
        <v>51100</v>
      </c>
      <c r="D1233" s="5">
        <v>111825</v>
      </c>
      <c r="E1233" s="5">
        <f t="shared" si="28"/>
        <v>19425</v>
      </c>
      <c r="F1233" s="5">
        <v>182350</v>
      </c>
      <c r="K1233" s="24">
        <v>450.5</v>
      </c>
      <c r="L1233" s="6">
        <v>455.5</v>
      </c>
      <c r="M1233" s="270">
        <f t="shared" si="29"/>
        <v>5</v>
      </c>
      <c r="N1233" s="7"/>
      <c r="O1233" s="277"/>
      <c r="P1233" s="345"/>
      <c r="V1233" s="383"/>
    </row>
    <row r="1234" spans="1:22" ht="15" customHeight="1">
      <c r="A1234" s="3">
        <v>37581</v>
      </c>
      <c r="B1234" s="4">
        <v>50700</v>
      </c>
      <c r="D1234" s="5">
        <v>111950</v>
      </c>
      <c r="E1234" s="5">
        <f t="shared" si="28"/>
        <v>19350</v>
      </c>
      <c r="F1234" s="5">
        <v>182000</v>
      </c>
      <c r="K1234" s="24">
        <v>455.5</v>
      </c>
      <c r="L1234" s="6">
        <v>457.5</v>
      </c>
      <c r="M1234" s="270">
        <f t="shared" si="29"/>
        <v>2</v>
      </c>
      <c r="N1234" s="7"/>
      <c r="O1234" s="277"/>
      <c r="P1234" s="345"/>
      <c r="V1234" s="383"/>
    </row>
    <row r="1235" spans="1:22" ht="15" customHeight="1">
      <c r="A1235" s="3">
        <v>37582</v>
      </c>
      <c r="B1235" s="4">
        <v>50700</v>
      </c>
      <c r="D1235" s="5">
        <v>112050</v>
      </c>
      <c r="E1235" s="5">
        <f t="shared" si="28"/>
        <v>19300</v>
      </c>
      <c r="F1235" s="5">
        <v>182050</v>
      </c>
      <c r="K1235" s="24">
        <v>451.5</v>
      </c>
      <c r="L1235" s="6">
        <v>456</v>
      </c>
      <c r="M1235" s="270">
        <f t="shared" si="29"/>
        <v>4.5</v>
      </c>
      <c r="N1235" s="7"/>
      <c r="O1235" s="277"/>
      <c r="P1235" s="345"/>
      <c r="V1235" s="383"/>
    </row>
    <row r="1236" spans="1:22" ht="15" customHeight="1">
      <c r="A1236" s="3">
        <v>37585</v>
      </c>
      <c r="B1236" s="4">
        <v>50275</v>
      </c>
      <c r="D1236" s="5">
        <v>112275</v>
      </c>
      <c r="E1236" s="5">
        <f t="shared" si="28"/>
        <v>19300</v>
      </c>
      <c r="F1236" s="5">
        <v>181850</v>
      </c>
      <c r="K1236" s="24">
        <v>455</v>
      </c>
      <c r="L1236" s="6">
        <v>459</v>
      </c>
      <c r="M1236" s="270">
        <f t="shared" si="29"/>
        <v>4</v>
      </c>
      <c r="N1236" s="7"/>
      <c r="O1236" s="277"/>
      <c r="P1236" s="345"/>
      <c r="V1236" s="383"/>
    </row>
    <row r="1237" spans="1:22" ht="15" customHeight="1">
      <c r="A1237" s="3">
        <v>37586</v>
      </c>
      <c r="B1237" s="4">
        <v>50025</v>
      </c>
      <c r="D1237" s="5">
        <v>112275</v>
      </c>
      <c r="E1237" s="5">
        <f t="shared" si="28"/>
        <v>19225</v>
      </c>
      <c r="F1237" s="5">
        <v>181525</v>
      </c>
      <c r="K1237" s="24">
        <v>458.5</v>
      </c>
      <c r="L1237" s="6">
        <v>462</v>
      </c>
      <c r="M1237" s="270">
        <f t="shared" si="29"/>
        <v>3.5</v>
      </c>
      <c r="N1237" s="7"/>
      <c r="O1237" s="277"/>
      <c r="P1237" s="345"/>
      <c r="V1237" s="383"/>
    </row>
    <row r="1238" spans="1:22" ht="15" customHeight="1">
      <c r="A1238" s="3">
        <v>37587</v>
      </c>
      <c r="B1238" s="4">
        <v>50325</v>
      </c>
      <c r="D1238" s="5">
        <v>112275</v>
      </c>
      <c r="E1238" s="5">
        <f t="shared" si="28"/>
        <v>18975</v>
      </c>
      <c r="F1238" s="5">
        <v>181575</v>
      </c>
      <c r="K1238" s="24">
        <v>452.5</v>
      </c>
      <c r="L1238" s="6">
        <v>456.5</v>
      </c>
      <c r="M1238" s="270">
        <f t="shared" si="29"/>
        <v>4</v>
      </c>
      <c r="N1238" s="7"/>
      <c r="O1238" s="277"/>
      <c r="P1238" s="345"/>
      <c r="V1238" s="383"/>
    </row>
    <row r="1239" spans="1:22" ht="15" customHeight="1">
      <c r="A1239" s="3">
        <v>37588</v>
      </c>
      <c r="B1239" s="4">
        <v>50300</v>
      </c>
      <c r="D1239" s="5">
        <v>112275</v>
      </c>
      <c r="E1239" s="5">
        <f t="shared" si="28"/>
        <v>18700</v>
      </c>
      <c r="F1239" s="5">
        <v>181275</v>
      </c>
      <c r="K1239" s="24">
        <v>459</v>
      </c>
      <c r="L1239" s="6">
        <v>463</v>
      </c>
      <c r="M1239" s="270">
        <f t="shared" si="29"/>
        <v>4</v>
      </c>
      <c r="N1239" s="7"/>
      <c r="O1239" s="277"/>
      <c r="P1239" s="345"/>
      <c r="V1239" s="383"/>
    </row>
    <row r="1240" spans="1:22" ht="15" customHeight="1">
      <c r="A1240" s="3">
        <v>37589</v>
      </c>
      <c r="B1240" s="4">
        <v>50175</v>
      </c>
      <c r="D1240" s="5">
        <v>112275</v>
      </c>
      <c r="E1240" s="5">
        <f t="shared" si="28"/>
        <v>18225</v>
      </c>
      <c r="F1240" s="5">
        <v>180675</v>
      </c>
      <c r="K1240" s="24">
        <v>465</v>
      </c>
      <c r="L1240" s="6">
        <v>467.5</v>
      </c>
      <c r="M1240" s="270">
        <f t="shared" si="29"/>
        <v>2.5</v>
      </c>
      <c r="N1240" s="7"/>
      <c r="O1240" s="277"/>
      <c r="P1240" s="345"/>
      <c r="V1240" s="383"/>
    </row>
    <row r="1241" spans="1:22" ht="15" customHeight="1">
      <c r="A1241" s="3">
        <v>37592</v>
      </c>
      <c r="B1241" s="4">
        <v>50050</v>
      </c>
      <c r="D1241" s="5">
        <v>112275</v>
      </c>
      <c r="E1241" s="5">
        <f t="shared" si="28"/>
        <v>17850</v>
      </c>
      <c r="F1241" s="5">
        <v>180175</v>
      </c>
      <c r="K1241" s="24">
        <v>476</v>
      </c>
      <c r="L1241" s="6">
        <v>477</v>
      </c>
      <c r="M1241" s="270">
        <f t="shared" si="29"/>
        <v>1</v>
      </c>
      <c r="N1241" s="7"/>
      <c r="O1241" s="277"/>
      <c r="P1241" s="345"/>
      <c r="V1241" s="383"/>
    </row>
    <row r="1242" spans="1:22" ht="15" customHeight="1">
      <c r="A1242" s="3">
        <v>37593</v>
      </c>
      <c r="B1242" s="4">
        <v>50000</v>
      </c>
      <c r="D1242" s="5">
        <v>112275</v>
      </c>
      <c r="E1242" s="5">
        <f t="shared" si="28"/>
        <v>17600</v>
      </c>
      <c r="F1242" s="5">
        <v>179875</v>
      </c>
      <c r="K1242" s="24">
        <v>465</v>
      </c>
      <c r="L1242" s="6">
        <v>468</v>
      </c>
      <c r="M1242" s="270">
        <f t="shared" si="29"/>
        <v>3</v>
      </c>
      <c r="N1242" s="7"/>
      <c r="O1242" s="277"/>
      <c r="P1242" s="345"/>
      <c r="V1242" s="383"/>
    </row>
    <row r="1243" spans="1:22" ht="15" customHeight="1">
      <c r="A1243" s="3">
        <v>37594</v>
      </c>
      <c r="B1243" s="4">
        <v>49975</v>
      </c>
      <c r="D1243" s="5">
        <v>112275</v>
      </c>
      <c r="E1243" s="5">
        <f t="shared" si="28"/>
        <v>17325</v>
      </c>
      <c r="F1243" s="5">
        <v>179575</v>
      </c>
      <c r="K1243" s="24">
        <v>453</v>
      </c>
      <c r="L1243" s="6">
        <v>458</v>
      </c>
      <c r="M1243" s="270">
        <f t="shared" si="29"/>
        <v>5</v>
      </c>
      <c r="N1243" s="7"/>
      <c r="O1243" s="277"/>
      <c r="P1243" s="345"/>
      <c r="V1243" s="383"/>
    </row>
    <row r="1244" spans="1:22" ht="15" customHeight="1">
      <c r="A1244" s="3">
        <v>37595</v>
      </c>
      <c r="B1244" s="4">
        <v>49975</v>
      </c>
      <c r="D1244" s="5">
        <v>112125</v>
      </c>
      <c r="E1244" s="5">
        <f t="shared" si="28"/>
        <v>17000</v>
      </c>
      <c r="F1244" s="5">
        <v>179100</v>
      </c>
      <c r="K1244" s="24">
        <v>468</v>
      </c>
      <c r="L1244" s="6">
        <v>473</v>
      </c>
      <c r="M1244" s="270">
        <f t="shared" si="29"/>
        <v>5</v>
      </c>
      <c r="N1244" s="7"/>
      <c r="O1244" s="277"/>
      <c r="P1244" s="345"/>
      <c r="V1244" s="383"/>
    </row>
    <row r="1245" spans="1:22" ht="15" customHeight="1">
      <c r="A1245" s="3">
        <v>37596</v>
      </c>
      <c r="B1245" s="4">
        <v>49975</v>
      </c>
      <c r="D1245" s="5">
        <v>111875</v>
      </c>
      <c r="E1245" s="5">
        <f t="shared" si="28"/>
        <v>16775</v>
      </c>
      <c r="F1245" s="5">
        <v>178625</v>
      </c>
      <c r="K1245" s="24">
        <v>453.5</v>
      </c>
      <c r="L1245" s="6">
        <v>463</v>
      </c>
      <c r="M1245" s="270">
        <f t="shared" si="29"/>
        <v>9.5</v>
      </c>
      <c r="N1245" s="7"/>
      <c r="O1245" s="277"/>
      <c r="P1245" s="345"/>
      <c r="V1245" s="383"/>
    </row>
    <row r="1246" spans="1:22" ht="15" customHeight="1">
      <c r="A1246" s="3">
        <v>37599</v>
      </c>
      <c r="B1246" s="4">
        <v>49975</v>
      </c>
      <c r="D1246" s="5">
        <v>111875</v>
      </c>
      <c r="E1246" s="5">
        <f t="shared" si="28"/>
        <v>16550</v>
      </c>
      <c r="F1246" s="5">
        <v>178400</v>
      </c>
      <c r="K1246" s="24">
        <v>438</v>
      </c>
      <c r="L1246" s="6">
        <v>449</v>
      </c>
      <c r="M1246" s="270">
        <f t="shared" si="29"/>
        <v>11</v>
      </c>
      <c r="N1246" s="7"/>
      <c r="O1246" s="277"/>
      <c r="P1246" s="345"/>
      <c r="V1246" s="383"/>
    </row>
    <row r="1247" spans="1:22" ht="15" customHeight="1">
      <c r="A1247" s="3">
        <v>37600</v>
      </c>
      <c r="B1247" s="4">
        <v>49975</v>
      </c>
      <c r="D1247" s="5">
        <v>111875</v>
      </c>
      <c r="E1247" s="5">
        <f t="shared" si="28"/>
        <v>16325</v>
      </c>
      <c r="F1247" s="5">
        <v>178175</v>
      </c>
      <c r="K1247" s="24">
        <v>443</v>
      </c>
      <c r="L1247" s="6">
        <v>451</v>
      </c>
      <c r="M1247" s="270">
        <f t="shared" si="29"/>
        <v>8</v>
      </c>
      <c r="N1247" s="7"/>
      <c r="O1247" s="277"/>
      <c r="P1247" s="345"/>
      <c r="V1247" s="383"/>
    </row>
    <row r="1248" spans="1:22" ht="15" customHeight="1">
      <c r="A1248" s="3">
        <v>37601</v>
      </c>
      <c r="B1248" s="4">
        <v>49975</v>
      </c>
      <c r="D1248" s="5">
        <v>112900</v>
      </c>
      <c r="E1248" s="5">
        <f t="shared" si="28"/>
        <v>16150</v>
      </c>
      <c r="F1248" s="5">
        <v>179025</v>
      </c>
      <c r="K1248" s="24">
        <v>440.5</v>
      </c>
      <c r="L1248" s="6">
        <v>449.5</v>
      </c>
      <c r="M1248" s="270">
        <f t="shared" si="29"/>
        <v>9</v>
      </c>
      <c r="N1248" s="7"/>
      <c r="O1248" s="277"/>
      <c r="P1248" s="345"/>
      <c r="V1248" s="383"/>
    </row>
    <row r="1249" spans="1:22" ht="15" customHeight="1">
      <c r="A1249" s="3">
        <v>37602</v>
      </c>
      <c r="B1249" s="4">
        <v>49875</v>
      </c>
      <c r="D1249" s="5">
        <v>112900</v>
      </c>
      <c r="E1249" s="5">
        <f t="shared" si="28"/>
        <v>16075</v>
      </c>
      <c r="F1249" s="5">
        <v>178850</v>
      </c>
      <c r="K1249" s="24">
        <v>445.5</v>
      </c>
      <c r="L1249" s="6">
        <v>455</v>
      </c>
      <c r="M1249" s="270">
        <f t="shared" si="29"/>
        <v>9.5</v>
      </c>
      <c r="N1249" s="7"/>
      <c r="O1249" s="277"/>
      <c r="P1249" s="345"/>
      <c r="V1249" s="383"/>
    </row>
    <row r="1250" spans="1:22" ht="15" customHeight="1">
      <c r="A1250" s="3">
        <v>37603</v>
      </c>
      <c r="B1250" s="4">
        <v>49850</v>
      </c>
      <c r="D1250" s="5">
        <v>113350</v>
      </c>
      <c r="E1250" s="5">
        <f t="shared" si="28"/>
        <v>15775</v>
      </c>
      <c r="F1250" s="5">
        <v>178975</v>
      </c>
      <c r="K1250" s="24">
        <v>446</v>
      </c>
      <c r="L1250" s="6">
        <v>454.6</v>
      </c>
      <c r="M1250" s="270">
        <f t="shared" si="29"/>
        <v>8.6000000000000227</v>
      </c>
      <c r="N1250" s="7"/>
      <c r="O1250" s="277"/>
      <c r="P1250" s="345"/>
      <c r="V1250" s="383"/>
    </row>
    <row r="1251" spans="1:22" ht="15" customHeight="1">
      <c r="A1251" s="3">
        <v>37606</v>
      </c>
      <c r="B1251" s="4">
        <v>49775</v>
      </c>
      <c r="D1251" s="5">
        <v>115900</v>
      </c>
      <c r="E1251" s="5">
        <f t="shared" si="28"/>
        <v>15675</v>
      </c>
      <c r="F1251" s="5">
        <v>181350</v>
      </c>
      <c r="K1251" s="24">
        <v>435.5</v>
      </c>
      <c r="L1251" s="6">
        <v>443.5</v>
      </c>
      <c r="M1251" s="270">
        <f t="shared" si="29"/>
        <v>8</v>
      </c>
      <c r="N1251" s="7"/>
      <c r="O1251" s="277"/>
      <c r="P1251" s="345"/>
      <c r="V1251" s="383"/>
    </row>
    <row r="1252" spans="1:22" ht="15" customHeight="1">
      <c r="A1252" s="3">
        <v>37607</v>
      </c>
      <c r="B1252" s="4">
        <v>49325</v>
      </c>
      <c r="D1252" s="5">
        <v>116100</v>
      </c>
      <c r="E1252" s="5">
        <f t="shared" si="28"/>
        <v>15550</v>
      </c>
      <c r="F1252" s="5">
        <v>180975</v>
      </c>
      <c r="K1252" s="24">
        <v>442.5</v>
      </c>
      <c r="L1252" s="6">
        <v>452.5</v>
      </c>
      <c r="M1252" s="270">
        <f t="shared" si="29"/>
        <v>10</v>
      </c>
      <c r="N1252" s="7"/>
      <c r="O1252" s="277"/>
      <c r="P1252" s="345"/>
      <c r="V1252" s="383"/>
    </row>
    <row r="1253" spans="1:22" ht="15" customHeight="1">
      <c r="A1253" s="3">
        <v>37608</v>
      </c>
      <c r="B1253" s="4">
        <v>49325</v>
      </c>
      <c r="D1253" s="5">
        <v>116600</v>
      </c>
      <c r="E1253" s="5">
        <f t="shared" si="28"/>
        <v>15475</v>
      </c>
      <c r="F1253" s="5">
        <v>181400</v>
      </c>
      <c r="K1253" s="24">
        <v>439</v>
      </c>
      <c r="L1253" s="6">
        <v>453</v>
      </c>
      <c r="M1253" s="270">
        <f t="shared" si="29"/>
        <v>14</v>
      </c>
      <c r="N1253" s="7"/>
      <c r="O1253" s="277"/>
      <c r="P1253" s="345"/>
      <c r="V1253" s="383"/>
    </row>
    <row r="1254" spans="1:22" ht="15" customHeight="1">
      <c r="A1254" s="3">
        <v>37609</v>
      </c>
      <c r="B1254" s="4">
        <v>49325</v>
      </c>
      <c r="D1254" s="5">
        <v>117500</v>
      </c>
      <c r="E1254" s="5">
        <f t="shared" si="28"/>
        <v>15450</v>
      </c>
      <c r="F1254" s="5">
        <v>182275</v>
      </c>
      <c r="K1254" s="24">
        <v>436</v>
      </c>
      <c r="L1254" s="6">
        <v>446.5</v>
      </c>
      <c r="M1254" s="270">
        <f t="shared" si="29"/>
        <v>10.5</v>
      </c>
      <c r="N1254" s="7"/>
      <c r="O1254" s="277"/>
      <c r="P1254" s="345"/>
      <c r="V1254" s="383"/>
    </row>
    <row r="1255" spans="1:22" ht="15" customHeight="1">
      <c r="A1255" s="3">
        <v>37610</v>
      </c>
      <c r="B1255" s="4">
        <v>49325</v>
      </c>
      <c r="D1255" s="5">
        <v>117500</v>
      </c>
      <c r="E1255" s="5">
        <f t="shared" si="28"/>
        <v>15275</v>
      </c>
      <c r="F1255" s="5">
        <v>182100</v>
      </c>
      <c r="K1255" s="24">
        <v>432</v>
      </c>
      <c r="L1255" s="6">
        <v>442</v>
      </c>
      <c r="M1255" s="270">
        <f t="shared" si="29"/>
        <v>10</v>
      </c>
      <c r="N1255" s="7"/>
      <c r="O1255" s="277"/>
      <c r="P1255" s="345"/>
      <c r="V1255" s="383"/>
    </row>
    <row r="1256" spans="1:22" ht="15" customHeight="1">
      <c r="A1256" s="3">
        <v>37613</v>
      </c>
      <c r="B1256" s="4">
        <v>49325</v>
      </c>
      <c r="D1256" s="5">
        <v>119050</v>
      </c>
      <c r="E1256" s="5">
        <f t="shared" si="28"/>
        <v>15075</v>
      </c>
      <c r="F1256" s="5">
        <v>183450</v>
      </c>
      <c r="K1256" s="24">
        <v>435.5</v>
      </c>
      <c r="L1256" s="6">
        <v>442</v>
      </c>
      <c r="M1256" s="270">
        <f t="shared" si="29"/>
        <v>6.5</v>
      </c>
      <c r="N1256" s="7"/>
      <c r="O1256" s="277"/>
      <c r="P1256" s="345"/>
      <c r="V1256" s="383"/>
    </row>
    <row r="1257" spans="1:22" ht="15" customHeight="1">
      <c r="A1257" s="3">
        <v>37614</v>
      </c>
      <c r="B1257" s="4">
        <v>48525</v>
      </c>
      <c r="D1257" s="5">
        <v>120300</v>
      </c>
      <c r="E1257" s="5">
        <f t="shared" si="28"/>
        <v>14925</v>
      </c>
      <c r="F1257" s="5">
        <v>183750</v>
      </c>
      <c r="K1257" s="24">
        <v>429</v>
      </c>
      <c r="L1257" s="6">
        <v>440.5</v>
      </c>
      <c r="M1257" s="270">
        <f t="shared" si="29"/>
        <v>11.5</v>
      </c>
      <c r="N1257" s="7"/>
      <c r="O1257" s="277"/>
      <c r="P1257" s="345"/>
      <c r="V1257" s="383"/>
    </row>
    <row r="1258" spans="1:22" ht="15" customHeight="1">
      <c r="A1258" s="3">
        <v>37620</v>
      </c>
      <c r="B1258" s="4">
        <v>48325</v>
      </c>
      <c r="D1258" s="5">
        <v>120425</v>
      </c>
      <c r="E1258" s="5">
        <f t="shared" si="28"/>
        <v>14925</v>
      </c>
      <c r="F1258" s="5">
        <v>183675</v>
      </c>
      <c r="K1258" s="24">
        <v>432</v>
      </c>
      <c r="L1258" s="6">
        <v>442</v>
      </c>
      <c r="M1258" s="270">
        <f t="shared" si="29"/>
        <v>10</v>
      </c>
      <c r="N1258" s="7"/>
      <c r="O1258" s="277"/>
      <c r="P1258" s="345"/>
      <c r="V1258" s="383"/>
    </row>
    <row r="1259" spans="1:22" ht="15" customHeight="1" thickBot="1">
      <c r="A1259" s="12">
        <v>37621</v>
      </c>
      <c r="B1259" s="13">
        <v>48525</v>
      </c>
      <c r="C1259" s="13"/>
      <c r="D1259" s="14">
        <v>120575</v>
      </c>
      <c r="E1259" s="14">
        <f t="shared" si="28"/>
        <v>14925</v>
      </c>
      <c r="F1259" s="14">
        <v>184025</v>
      </c>
      <c r="G1259" s="14"/>
      <c r="H1259" s="14"/>
      <c r="I1259" s="14"/>
      <c r="J1259" s="264"/>
      <c r="K1259" s="25">
        <v>421.5</v>
      </c>
      <c r="L1259" s="15">
        <v>433</v>
      </c>
      <c r="M1259" s="270">
        <f t="shared" si="29"/>
        <v>11.5</v>
      </c>
      <c r="N1259" s="7"/>
      <c r="O1259" s="277"/>
      <c r="P1259" s="345"/>
      <c r="V1259" s="383"/>
    </row>
    <row r="1260" spans="1:22" ht="15" customHeight="1">
      <c r="A1260" s="3">
        <v>37623</v>
      </c>
      <c r="B1260" s="4">
        <v>48275</v>
      </c>
      <c r="D1260" s="5">
        <v>120700</v>
      </c>
      <c r="E1260" s="5">
        <f t="shared" si="28"/>
        <v>14925</v>
      </c>
      <c r="F1260" s="5">
        <v>183900</v>
      </c>
      <c r="K1260" s="24">
        <v>428</v>
      </c>
      <c r="L1260" s="6">
        <v>439</v>
      </c>
      <c r="M1260" s="270">
        <f t="shared" si="29"/>
        <v>11</v>
      </c>
      <c r="N1260" s="7"/>
      <c r="O1260" s="277"/>
      <c r="P1260" s="345"/>
      <c r="V1260" s="383"/>
    </row>
    <row r="1261" spans="1:22" ht="15" customHeight="1">
      <c r="A1261" s="3">
        <v>37624</v>
      </c>
      <c r="B1261" s="4">
        <v>48100</v>
      </c>
      <c r="D1261" s="5">
        <v>120700</v>
      </c>
      <c r="E1261" s="5">
        <f t="shared" si="28"/>
        <v>14925</v>
      </c>
      <c r="F1261" s="5">
        <v>183725</v>
      </c>
      <c r="K1261" s="24">
        <v>435.5</v>
      </c>
      <c r="L1261" s="6">
        <v>445</v>
      </c>
      <c r="M1261" s="270">
        <f t="shared" si="29"/>
        <v>9.5</v>
      </c>
      <c r="N1261" s="7"/>
      <c r="O1261" s="277"/>
      <c r="P1261" s="345"/>
      <c r="V1261" s="383"/>
    </row>
    <row r="1262" spans="1:22" ht="15" customHeight="1">
      <c r="A1262" s="3">
        <v>37627</v>
      </c>
      <c r="B1262" s="4">
        <v>47925</v>
      </c>
      <c r="D1262" s="5">
        <v>120750</v>
      </c>
      <c r="E1262" s="5">
        <f t="shared" ref="E1262:E1321" si="30">F1262-(B1262+D1262)</f>
        <v>14925</v>
      </c>
      <c r="F1262" s="5">
        <v>183600</v>
      </c>
      <c r="K1262" s="24">
        <v>431.5</v>
      </c>
      <c r="L1262" s="6">
        <v>441</v>
      </c>
      <c r="M1262" s="270">
        <f t="shared" si="29"/>
        <v>9.5</v>
      </c>
      <c r="N1262" s="7"/>
      <c r="O1262" s="277"/>
      <c r="P1262" s="345"/>
      <c r="V1262" s="383"/>
    </row>
    <row r="1263" spans="1:22" ht="15" customHeight="1">
      <c r="A1263" s="3">
        <v>37628</v>
      </c>
      <c r="B1263" s="4">
        <v>47775</v>
      </c>
      <c r="D1263" s="5">
        <v>120750</v>
      </c>
      <c r="E1263" s="5">
        <f t="shared" si="30"/>
        <v>14925</v>
      </c>
      <c r="F1263" s="5">
        <v>183450</v>
      </c>
      <c r="K1263" s="24">
        <v>431.5</v>
      </c>
      <c r="L1263" s="6">
        <v>444</v>
      </c>
      <c r="M1263" s="270">
        <f t="shared" si="29"/>
        <v>12.5</v>
      </c>
      <c r="N1263" s="7"/>
      <c r="O1263" s="277"/>
      <c r="P1263" s="345"/>
      <c r="V1263" s="383"/>
    </row>
    <row r="1264" spans="1:22" ht="15" customHeight="1">
      <c r="A1264" s="3">
        <v>37629</v>
      </c>
      <c r="B1264" s="4">
        <v>47425</v>
      </c>
      <c r="D1264" s="5">
        <v>120750</v>
      </c>
      <c r="E1264" s="5">
        <f t="shared" si="30"/>
        <v>14925</v>
      </c>
      <c r="F1264" s="5">
        <v>183100</v>
      </c>
      <c r="K1264" s="24">
        <v>431</v>
      </c>
      <c r="L1264" s="6">
        <v>444</v>
      </c>
      <c r="M1264" s="270">
        <f t="shared" si="29"/>
        <v>13</v>
      </c>
      <c r="N1264" s="7"/>
      <c r="O1264" s="277"/>
      <c r="P1264" s="345"/>
      <c r="V1264" s="383"/>
    </row>
    <row r="1265" spans="1:22" ht="15" customHeight="1">
      <c r="A1265" s="3">
        <v>37630</v>
      </c>
      <c r="B1265" s="4">
        <v>47375</v>
      </c>
      <c r="D1265" s="5">
        <v>121100</v>
      </c>
      <c r="E1265" s="5">
        <f t="shared" si="30"/>
        <v>14875</v>
      </c>
      <c r="F1265" s="5">
        <v>183350</v>
      </c>
      <c r="K1265" s="24">
        <v>434.5</v>
      </c>
      <c r="L1265" s="6">
        <v>446</v>
      </c>
      <c r="M1265" s="270">
        <f t="shared" si="29"/>
        <v>11.5</v>
      </c>
      <c r="N1265" s="7"/>
      <c r="O1265" s="277"/>
      <c r="P1265" s="345"/>
      <c r="V1265" s="383"/>
    </row>
    <row r="1266" spans="1:22" ht="15" customHeight="1">
      <c r="A1266" s="3">
        <v>37631</v>
      </c>
      <c r="B1266" s="4">
        <v>47300</v>
      </c>
      <c r="D1266" s="5">
        <v>121100</v>
      </c>
      <c r="E1266" s="5">
        <f t="shared" si="30"/>
        <v>14850</v>
      </c>
      <c r="F1266" s="5">
        <v>183250</v>
      </c>
      <c r="K1266" s="24">
        <v>438</v>
      </c>
      <c r="L1266" s="6">
        <v>448</v>
      </c>
      <c r="M1266" s="270">
        <f t="shared" si="29"/>
        <v>10</v>
      </c>
      <c r="N1266" s="7"/>
      <c r="O1266" s="277"/>
      <c r="P1266" s="345"/>
      <c r="V1266" s="383"/>
    </row>
    <row r="1267" spans="1:22" ht="15" customHeight="1">
      <c r="A1267" s="3">
        <v>37634</v>
      </c>
      <c r="B1267" s="4">
        <f>B1268+125</f>
        <v>43950</v>
      </c>
      <c r="D1267" s="5">
        <v>121100</v>
      </c>
      <c r="E1267" s="5">
        <f t="shared" si="30"/>
        <v>17850</v>
      </c>
      <c r="F1267" s="5">
        <f>F1268+125</f>
        <v>182900</v>
      </c>
      <c r="K1267" s="24">
        <v>431</v>
      </c>
      <c r="L1267" s="6">
        <v>440</v>
      </c>
      <c r="M1267" s="270">
        <f t="shared" si="29"/>
        <v>9</v>
      </c>
      <c r="N1267" s="7"/>
      <c r="O1267" s="277"/>
      <c r="P1267" s="345"/>
      <c r="V1267" s="383"/>
    </row>
    <row r="1268" spans="1:22" ht="15" customHeight="1">
      <c r="A1268" s="3">
        <v>37635</v>
      </c>
      <c r="B1268" s="4">
        <v>43825</v>
      </c>
      <c r="D1268" s="5">
        <v>121100</v>
      </c>
      <c r="E1268" s="5">
        <f t="shared" si="30"/>
        <v>17850</v>
      </c>
      <c r="F1268" s="5">
        <v>182775</v>
      </c>
      <c r="K1268" s="24">
        <v>433</v>
      </c>
      <c r="L1268" s="6">
        <v>444</v>
      </c>
      <c r="M1268" s="270">
        <f t="shared" si="29"/>
        <v>11</v>
      </c>
      <c r="N1268" s="7"/>
      <c r="O1268" s="277"/>
      <c r="P1268" s="345"/>
      <c r="V1268" s="383"/>
    </row>
    <row r="1269" spans="1:22" ht="15" customHeight="1">
      <c r="A1269" s="3">
        <v>37636</v>
      </c>
      <c r="B1269" s="4">
        <v>49325</v>
      </c>
      <c r="D1269" s="5">
        <v>121100</v>
      </c>
      <c r="E1269" s="5">
        <f t="shared" si="30"/>
        <v>14850</v>
      </c>
      <c r="F1269" s="5">
        <v>185275</v>
      </c>
      <c r="K1269" s="24">
        <v>435</v>
      </c>
      <c r="L1269" s="6">
        <v>449</v>
      </c>
      <c r="M1269" s="270">
        <f t="shared" si="29"/>
        <v>14</v>
      </c>
      <c r="N1269" s="7"/>
      <c r="O1269" s="277"/>
      <c r="P1269" s="345"/>
      <c r="V1269" s="383"/>
    </row>
    <row r="1270" spans="1:22" ht="15" customHeight="1">
      <c r="A1270" s="3">
        <v>37637</v>
      </c>
      <c r="B1270" s="4">
        <v>49075</v>
      </c>
      <c r="D1270" s="5">
        <v>121100</v>
      </c>
      <c r="E1270" s="5">
        <f t="shared" si="30"/>
        <v>14850</v>
      </c>
      <c r="F1270" s="5">
        <v>185025</v>
      </c>
      <c r="K1270" s="24">
        <v>443</v>
      </c>
      <c r="L1270" s="6">
        <v>456</v>
      </c>
      <c r="M1270" s="270">
        <f t="shared" si="29"/>
        <v>13</v>
      </c>
      <c r="N1270" s="7"/>
      <c r="O1270" s="277"/>
      <c r="P1270" s="345"/>
      <c r="V1270" s="383"/>
    </row>
    <row r="1271" spans="1:22" ht="15" customHeight="1">
      <c r="A1271" s="3">
        <v>37638</v>
      </c>
      <c r="B1271" s="4">
        <v>49025</v>
      </c>
      <c r="D1271" s="5">
        <v>121100</v>
      </c>
      <c r="E1271" s="5">
        <f t="shared" si="30"/>
        <v>14800</v>
      </c>
      <c r="F1271" s="5">
        <v>184925</v>
      </c>
      <c r="K1271" s="24">
        <v>447</v>
      </c>
      <c r="L1271" s="6">
        <v>457</v>
      </c>
      <c r="M1271" s="270">
        <f t="shared" ref="M1271:M1334" si="31">L1271-K1271</f>
        <v>10</v>
      </c>
      <c r="N1271" s="7"/>
      <c r="O1271" s="277"/>
      <c r="P1271" s="345"/>
      <c r="V1271" s="383"/>
    </row>
    <row r="1272" spans="1:22" ht="15" customHeight="1">
      <c r="A1272" s="3">
        <v>37641</v>
      </c>
      <c r="B1272" s="4">
        <v>48900</v>
      </c>
      <c r="D1272" s="5">
        <v>121100</v>
      </c>
      <c r="E1272" s="5">
        <f t="shared" si="30"/>
        <v>14750</v>
      </c>
      <c r="F1272" s="5">
        <v>184750</v>
      </c>
      <c r="K1272" s="24">
        <v>455.5</v>
      </c>
      <c r="L1272" s="6">
        <v>465</v>
      </c>
      <c r="M1272" s="270">
        <f t="shared" si="31"/>
        <v>9.5</v>
      </c>
      <c r="N1272" s="7"/>
      <c r="O1272" s="277"/>
      <c r="P1272" s="345"/>
      <c r="V1272" s="383"/>
    </row>
    <row r="1273" spans="1:22" ht="15" customHeight="1">
      <c r="A1273" s="3">
        <v>37642</v>
      </c>
      <c r="B1273" s="4">
        <v>48850</v>
      </c>
      <c r="D1273" s="5">
        <v>121100</v>
      </c>
      <c r="E1273" s="5">
        <f t="shared" si="30"/>
        <v>14700</v>
      </c>
      <c r="F1273" s="5">
        <v>184650</v>
      </c>
      <c r="K1273" s="24">
        <v>457.5</v>
      </c>
      <c r="L1273" s="6">
        <v>468.5</v>
      </c>
      <c r="M1273" s="270">
        <f t="shared" si="31"/>
        <v>11</v>
      </c>
      <c r="N1273" s="7"/>
      <c r="O1273" s="277"/>
      <c r="P1273" s="345"/>
      <c r="V1273" s="383"/>
    </row>
    <row r="1274" spans="1:22" ht="15" customHeight="1">
      <c r="A1274" s="3">
        <v>37643</v>
      </c>
      <c r="B1274" s="4">
        <v>48850</v>
      </c>
      <c r="D1274" s="5">
        <v>121100</v>
      </c>
      <c r="E1274" s="5">
        <f t="shared" si="30"/>
        <v>14700</v>
      </c>
      <c r="F1274" s="5">
        <v>184650</v>
      </c>
      <c r="K1274" s="24">
        <v>457</v>
      </c>
      <c r="L1274" s="6">
        <v>467.5</v>
      </c>
      <c r="M1274" s="270">
        <f t="shared" si="31"/>
        <v>10.5</v>
      </c>
      <c r="N1274" s="7"/>
      <c r="O1274" s="277"/>
      <c r="P1274" s="345"/>
      <c r="V1274" s="383"/>
    </row>
    <row r="1275" spans="1:22" ht="15" customHeight="1">
      <c r="A1275" s="3">
        <v>37644</v>
      </c>
      <c r="B1275" s="4">
        <v>48850</v>
      </c>
      <c r="D1275" s="5">
        <v>121125</v>
      </c>
      <c r="E1275" s="5">
        <f t="shared" si="30"/>
        <v>14675</v>
      </c>
      <c r="F1275" s="5">
        <v>184650</v>
      </c>
      <c r="K1275" s="24">
        <v>463</v>
      </c>
      <c r="L1275" s="6">
        <v>472</v>
      </c>
      <c r="M1275" s="270">
        <f t="shared" si="31"/>
        <v>9</v>
      </c>
      <c r="N1275" s="7"/>
      <c r="O1275" s="277"/>
      <c r="P1275" s="345"/>
      <c r="V1275" s="383"/>
    </row>
    <row r="1276" spans="1:22" ht="15" customHeight="1">
      <c r="A1276" s="3">
        <v>37645</v>
      </c>
      <c r="B1276" s="4">
        <v>48850</v>
      </c>
      <c r="D1276" s="5">
        <v>121125</v>
      </c>
      <c r="E1276" s="5">
        <f t="shared" si="30"/>
        <v>14675</v>
      </c>
      <c r="F1276" s="5">
        <v>184650</v>
      </c>
      <c r="K1276" s="24">
        <v>464</v>
      </c>
      <c r="L1276" s="6">
        <v>472</v>
      </c>
      <c r="M1276" s="270">
        <f t="shared" si="31"/>
        <v>8</v>
      </c>
      <c r="N1276" s="7"/>
      <c r="O1276" s="277"/>
      <c r="P1276" s="345"/>
      <c r="V1276" s="383"/>
    </row>
    <row r="1277" spans="1:22" ht="15" customHeight="1">
      <c r="A1277" s="3">
        <v>37655</v>
      </c>
      <c r="B1277" s="4">
        <v>45850</v>
      </c>
      <c r="D1277" s="5">
        <v>121700</v>
      </c>
      <c r="E1277" s="5">
        <f t="shared" si="30"/>
        <v>14475</v>
      </c>
      <c r="F1277" s="5">
        <v>182025</v>
      </c>
      <c r="K1277" s="24">
        <v>469</v>
      </c>
      <c r="L1277" s="6">
        <v>480</v>
      </c>
      <c r="M1277" s="270">
        <f t="shared" si="31"/>
        <v>11</v>
      </c>
      <c r="N1277" s="7"/>
      <c r="O1277" s="277"/>
      <c r="P1277" s="345"/>
      <c r="V1277" s="383"/>
    </row>
    <row r="1278" spans="1:22" ht="15" customHeight="1">
      <c r="A1278" s="3">
        <v>37656</v>
      </c>
      <c r="B1278" s="4">
        <v>46350</v>
      </c>
      <c r="D1278" s="5">
        <v>121700</v>
      </c>
      <c r="E1278" s="5">
        <f t="shared" si="30"/>
        <v>14250</v>
      </c>
      <c r="F1278" s="5">
        <v>182300</v>
      </c>
      <c r="K1278" s="24">
        <v>467</v>
      </c>
      <c r="L1278" s="6">
        <v>479</v>
      </c>
      <c r="M1278" s="270">
        <f t="shared" si="31"/>
        <v>12</v>
      </c>
      <c r="N1278" s="7"/>
      <c r="O1278" s="277"/>
      <c r="P1278" s="345"/>
      <c r="V1278" s="383"/>
    </row>
    <row r="1279" spans="1:22" ht="15" customHeight="1">
      <c r="A1279" s="3">
        <v>37657</v>
      </c>
      <c r="B1279" s="4">
        <v>46350</v>
      </c>
      <c r="D1279" s="5">
        <v>121975</v>
      </c>
      <c r="E1279" s="5">
        <f t="shared" si="30"/>
        <v>14050</v>
      </c>
      <c r="F1279" s="5">
        <v>182375</v>
      </c>
      <c r="K1279" s="24">
        <v>467</v>
      </c>
      <c r="L1279" s="6">
        <v>477.5</v>
      </c>
      <c r="M1279" s="270">
        <f t="shared" si="31"/>
        <v>10.5</v>
      </c>
      <c r="N1279" s="7"/>
      <c r="O1279" s="277"/>
      <c r="P1279" s="345"/>
      <c r="V1279" s="383"/>
    </row>
    <row r="1280" spans="1:22" ht="15" customHeight="1">
      <c r="A1280" s="3">
        <v>37658</v>
      </c>
      <c r="B1280" s="4">
        <v>46350</v>
      </c>
      <c r="D1280" s="5">
        <v>122025</v>
      </c>
      <c r="E1280" s="5">
        <f t="shared" si="30"/>
        <v>14050</v>
      </c>
      <c r="F1280" s="5">
        <v>182425</v>
      </c>
      <c r="K1280" s="24">
        <v>465.5</v>
      </c>
      <c r="L1280" s="6">
        <v>476</v>
      </c>
      <c r="M1280" s="270">
        <f t="shared" si="31"/>
        <v>10.5</v>
      </c>
      <c r="N1280" s="7"/>
      <c r="O1280" s="277"/>
      <c r="P1280" s="345"/>
      <c r="V1280" s="383"/>
    </row>
    <row r="1281" spans="1:22" ht="15" customHeight="1">
      <c r="A1281" s="3">
        <v>37659</v>
      </c>
      <c r="B1281" s="4">
        <v>46350</v>
      </c>
      <c r="D1281" s="5">
        <v>122025</v>
      </c>
      <c r="E1281" s="5">
        <f t="shared" si="30"/>
        <v>14050</v>
      </c>
      <c r="F1281" s="5">
        <v>182425</v>
      </c>
      <c r="K1281" s="24">
        <v>461</v>
      </c>
      <c r="L1281" s="6">
        <v>472</v>
      </c>
      <c r="M1281" s="270">
        <f t="shared" si="31"/>
        <v>11</v>
      </c>
      <c r="N1281" s="7"/>
      <c r="O1281" s="277"/>
      <c r="P1281" s="345"/>
      <c r="V1281" s="383"/>
    </row>
    <row r="1282" spans="1:22" ht="15" customHeight="1">
      <c r="A1282" s="3">
        <v>37662</v>
      </c>
      <c r="B1282" s="4">
        <v>45800</v>
      </c>
      <c r="D1282" s="5">
        <v>122025</v>
      </c>
      <c r="E1282" s="5">
        <f t="shared" si="30"/>
        <v>14050</v>
      </c>
      <c r="F1282" s="5">
        <v>181875</v>
      </c>
      <c r="K1282" s="24">
        <v>463</v>
      </c>
      <c r="L1282" s="6">
        <v>469.5</v>
      </c>
      <c r="M1282" s="270">
        <f t="shared" si="31"/>
        <v>6.5</v>
      </c>
      <c r="N1282" s="7"/>
      <c r="O1282" s="277"/>
      <c r="P1282" s="345"/>
      <c r="V1282" s="383"/>
    </row>
    <row r="1283" spans="1:22" ht="15" customHeight="1">
      <c r="A1283" s="3">
        <v>37663</v>
      </c>
      <c r="B1283" s="4">
        <v>42375</v>
      </c>
      <c r="D1283" s="5">
        <v>122275</v>
      </c>
      <c r="E1283" s="5">
        <f t="shared" si="30"/>
        <v>14050</v>
      </c>
      <c r="F1283" s="5">
        <v>178700</v>
      </c>
      <c r="K1283" s="24">
        <v>486</v>
      </c>
      <c r="L1283" s="6">
        <v>482</v>
      </c>
      <c r="M1283" s="270">
        <f t="shared" si="31"/>
        <v>-4</v>
      </c>
      <c r="N1283" s="7"/>
      <c r="O1283" s="277"/>
      <c r="P1283" s="345"/>
      <c r="V1283" s="383"/>
    </row>
    <row r="1284" spans="1:22" ht="15" customHeight="1">
      <c r="A1284" s="3">
        <v>37664</v>
      </c>
      <c r="B1284" s="4">
        <v>42650</v>
      </c>
      <c r="D1284" s="5">
        <v>122625</v>
      </c>
      <c r="E1284" s="5">
        <f t="shared" si="30"/>
        <v>14050</v>
      </c>
      <c r="F1284" s="5">
        <v>179325</v>
      </c>
      <c r="K1284" s="24">
        <v>479</v>
      </c>
      <c r="L1284" s="6">
        <v>483</v>
      </c>
      <c r="M1284" s="270">
        <f t="shared" si="31"/>
        <v>4</v>
      </c>
      <c r="N1284" s="7"/>
      <c r="O1284" s="277"/>
      <c r="P1284" s="345"/>
      <c r="V1284" s="383"/>
    </row>
    <row r="1285" spans="1:22" ht="15" customHeight="1">
      <c r="A1285" s="3">
        <v>37665</v>
      </c>
      <c r="B1285" s="4">
        <v>42650</v>
      </c>
      <c r="D1285" s="5">
        <v>122925</v>
      </c>
      <c r="E1285" s="5">
        <f t="shared" si="30"/>
        <v>14050</v>
      </c>
      <c r="F1285" s="5">
        <v>179625</v>
      </c>
      <c r="K1285" s="24">
        <v>475</v>
      </c>
      <c r="L1285" s="6">
        <v>478</v>
      </c>
      <c r="M1285" s="270">
        <f t="shared" si="31"/>
        <v>3</v>
      </c>
      <c r="N1285" s="7"/>
      <c r="O1285" s="277"/>
      <c r="P1285" s="345"/>
      <c r="V1285" s="383"/>
    </row>
    <row r="1286" spans="1:22" ht="15" customHeight="1">
      <c r="A1286" s="3">
        <v>37666</v>
      </c>
      <c r="B1286" s="4">
        <v>42550</v>
      </c>
      <c r="D1286" s="5">
        <v>122925</v>
      </c>
      <c r="E1286" s="5">
        <f t="shared" si="30"/>
        <v>14050</v>
      </c>
      <c r="F1286" s="5">
        <v>179525</v>
      </c>
      <c r="K1286" s="24">
        <v>481</v>
      </c>
      <c r="L1286" s="6">
        <v>483</v>
      </c>
      <c r="M1286" s="270">
        <f t="shared" si="31"/>
        <v>2</v>
      </c>
      <c r="N1286" s="7"/>
      <c r="O1286" s="277"/>
      <c r="P1286" s="345"/>
      <c r="V1286" s="383"/>
    </row>
    <row r="1287" spans="1:22" ht="15" customHeight="1">
      <c r="A1287" s="3">
        <v>37669</v>
      </c>
      <c r="B1287" s="4">
        <v>42550</v>
      </c>
      <c r="D1287" s="5">
        <v>123025</v>
      </c>
      <c r="E1287" s="5">
        <f t="shared" si="30"/>
        <v>14050</v>
      </c>
      <c r="F1287" s="5">
        <v>179625</v>
      </c>
      <c r="K1287" s="24">
        <v>485</v>
      </c>
      <c r="L1287" s="6">
        <v>483</v>
      </c>
      <c r="M1287" s="270">
        <f t="shared" si="31"/>
        <v>-2</v>
      </c>
      <c r="N1287" s="7"/>
      <c r="O1287" s="277"/>
      <c r="P1287" s="345"/>
      <c r="V1287" s="383"/>
    </row>
    <row r="1288" spans="1:22" ht="15" customHeight="1">
      <c r="A1288" s="3">
        <v>37668</v>
      </c>
      <c r="B1288" s="4">
        <v>42550</v>
      </c>
      <c r="D1288" s="5">
        <v>122925</v>
      </c>
      <c r="E1288" s="5">
        <f t="shared" si="30"/>
        <v>14150</v>
      </c>
      <c r="F1288" s="5">
        <v>179625</v>
      </c>
      <c r="K1288" s="24">
        <v>481</v>
      </c>
      <c r="L1288" s="6">
        <v>483</v>
      </c>
      <c r="M1288" s="270">
        <f t="shared" si="31"/>
        <v>2</v>
      </c>
      <c r="N1288" s="7"/>
      <c r="O1288" s="277"/>
      <c r="P1288" s="345"/>
      <c r="V1288" s="383"/>
    </row>
    <row r="1289" spans="1:22" ht="15" customHeight="1">
      <c r="A1289" s="3">
        <v>37669</v>
      </c>
      <c r="B1289" s="4">
        <v>42550</v>
      </c>
      <c r="D1289" s="5">
        <v>123025</v>
      </c>
      <c r="E1289" s="5">
        <f t="shared" si="30"/>
        <v>13950</v>
      </c>
      <c r="F1289" s="5">
        <v>179525</v>
      </c>
      <c r="K1289" s="24">
        <v>485</v>
      </c>
      <c r="L1289" s="6">
        <v>483.5</v>
      </c>
      <c r="M1289" s="270">
        <f t="shared" si="31"/>
        <v>-1.5</v>
      </c>
      <c r="N1289" s="7"/>
      <c r="O1289" s="277"/>
      <c r="P1289" s="345"/>
      <c r="V1289" s="383"/>
    </row>
    <row r="1290" spans="1:22" ht="15" customHeight="1">
      <c r="A1290" s="3">
        <v>37670</v>
      </c>
      <c r="B1290" s="4">
        <v>42425</v>
      </c>
      <c r="D1290" s="5">
        <v>123100</v>
      </c>
      <c r="E1290" s="5">
        <f t="shared" si="30"/>
        <v>14100</v>
      </c>
      <c r="F1290" s="5">
        <v>179625</v>
      </c>
      <c r="K1290" s="24">
        <v>474</v>
      </c>
      <c r="L1290" s="6">
        <v>474</v>
      </c>
      <c r="M1290" s="270">
        <f t="shared" si="31"/>
        <v>0</v>
      </c>
      <c r="N1290" s="7"/>
      <c r="O1290" s="277"/>
      <c r="P1290" s="345"/>
      <c r="V1290" s="383"/>
    </row>
    <row r="1291" spans="1:22" ht="15" customHeight="1">
      <c r="A1291" s="3">
        <v>37671</v>
      </c>
      <c r="B1291" s="4">
        <v>42300</v>
      </c>
      <c r="D1291" s="5">
        <v>123100</v>
      </c>
      <c r="E1291" s="5">
        <f t="shared" si="30"/>
        <v>14175</v>
      </c>
      <c r="F1291" s="5">
        <v>179575</v>
      </c>
      <c r="K1291" s="24">
        <v>479.5</v>
      </c>
      <c r="L1291" s="6">
        <v>481.5</v>
      </c>
      <c r="M1291" s="270">
        <f t="shared" si="31"/>
        <v>2</v>
      </c>
      <c r="N1291" s="7"/>
      <c r="O1291" s="277"/>
      <c r="P1291" s="345"/>
      <c r="V1291" s="383"/>
    </row>
    <row r="1292" spans="1:22" ht="15" customHeight="1">
      <c r="A1292" s="3">
        <v>37672</v>
      </c>
      <c r="B1292" s="4">
        <v>42200</v>
      </c>
      <c r="D1292" s="5">
        <v>123200</v>
      </c>
      <c r="E1292" s="5">
        <f t="shared" si="30"/>
        <v>14000</v>
      </c>
      <c r="F1292" s="5">
        <v>179400</v>
      </c>
      <c r="K1292" s="24">
        <v>481</v>
      </c>
      <c r="L1292" s="6">
        <v>484.5</v>
      </c>
      <c r="M1292" s="270">
        <f t="shared" si="31"/>
        <v>3.5</v>
      </c>
      <c r="N1292" s="7"/>
      <c r="O1292" s="277"/>
      <c r="P1292" s="345"/>
      <c r="V1292" s="383"/>
    </row>
    <row r="1293" spans="1:22" ht="15" customHeight="1">
      <c r="A1293" s="3">
        <v>37673</v>
      </c>
      <c r="B1293" s="4">
        <v>42150</v>
      </c>
      <c r="D1293" s="5">
        <v>123350</v>
      </c>
      <c r="E1293" s="5">
        <f t="shared" si="30"/>
        <v>13900</v>
      </c>
      <c r="F1293" s="5">
        <v>179400</v>
      </c>
      <c r="K1293" s="24">
        <v>484</v>
      </c>
      <c r="L1293" s="6">
        <v>483</v>
      </c>
      <c r="M1293" s="270">
        <f t="shared" si="31"/>
        <v>-1</v>
      </c>
      <c r="N1293" s="7"/>
      <c r="O1293" s="277"/>
      <c r="P1293" s="345"/>
      <c r="V1293" s="383"/>
    </row>
    <row r="1294" spans="1:22" ht="15" customHeight="1">
      <c r="A1294" s="3">
        <v>37676</v>
      </c>
      <c r="B1294" s="4">
        <v>42050</v>
      </c>
      <c r="D1294" s="5">
        <v>123350</v>
      </c>
      <c r="E1294" s="5">
        <f t="shared" si="30"/>
        <v>14100</v>
      </c>
      <c r="F1294" s="5">
        <v>179500</v>
      </c>
      <c r="K1294" s="24">
        <v>485</v>
      </c>
      <c r="L1294" s="6">
        <v>484</v>
      </c>
      <c r="M1294" s="270">
        <f t="shared" si="31"/>
        <v>-1</v>
      </c>
      <c r="N1294" s="7"/>
      <c r="O1294" s="277"/>
      <c r="P1294" s="345"/>
      <c r="V1294" s="383"/>
    </row>
    <row r="1295" spans="1:22" ht="15" customHeight="1">
      <c r="A1295" s="3">
        <v>37677</v>
      </c>
      <c r="B1295" s="4">
        <v>41375</v>
      </c>
      <c r="D1295" s="5">
        <v>123350</v>
      </c>
      <c r="E1295" s="5">
        <f t="shared" si="30"/>
        <v>14675</v>
      </c>
      <c r="F1295" s="5">
        <v>179400</v>
      </c>
      <c r="K1295" s="24">
        <v>483</v>
      </c>
      <c r="L1295" s="6">
        <v>484</v>
      </c>
      <c r="M1295" s="270">
        <f t="shared" si="31"/>
        <v>1</v>
      </c>
      <c r="N1295" s="7"/>
      <c r="O1295" s="277"/>
      <c r="P1295" s="345"/>
      <c r="V1295" s="383"/>
    </row>
    <row r="1296" spans="1:22" ht="15" customHeight="1">
      <c r="A1296" s="3">
        <v>37678</v>
      </c>
      <c r="B1296" s="4">
        <v>41200</v>
      </c>
      <c r="D1296" s="5">
        <v>122775</v>
      </c>
      <c r="E1296" s="5">
        <f t="shared" si="30"/>
        <v>14750</v>
      </c>
      <c r="F1296" s="5">
        <v>178725</v>
      </c>
      <c r="K1296" s="24">
        <v>485</v>
      </c>
      <c r="L1296" s="6">
        <v>487</v>
      </c>
      <c r="M1296" s="270">
        <f t="shared" si="31"/>
        <v>2</v>
      </c>
      <c r="N1296" s="7"/>
      <c r="O1296" s="277"/>
      <c r="P1296" s="345"/>
      <c r="V1296" s="383"/>
    </row>
    <row r="1297" spans="1:22" ht="15" customHeight="1">
      <c r="A1297" s="3">
        <v>37679</v>
      </c>
      <c r="B1297" s="4">
        <v>41100</v>
      </c>
      <c r="D1297" s="5">
        <v>123625</v>
      </c>
      <c r="E1297" s="5">
        <f t="shared" si="30"/>
        <v>13250</v>
      </c>
      <c r="F1297" s="5">
        <v>177975</v>
      </c>
      <c r="K1297" s="24">
        <v>480</v>
      </c>
      <c r="L1297" s="6">
        <v>483</v>
      </c>
      <c r="M1297" s="270">
        <f t="shared" si="31"/>
        <v>3</v>
      </c>
      <c r="N1297" s="7"/>
      <c r="O1297" s="277"/>
      <c r="P1297" s="345"/>
      <c r="V1297" s="383"/>
    </row>
    <row r="1298" spans="1:22" ht="15" customHeight="1">
      <c r="A1298" s="3">
        <v>37680</v>
      </c>
      <c r="B1298" s="4">
        <v>40900</v>
      </c>
      <c r="D1298" s="5">
        <v>123475</v>
      </c>
      <c r="E1298" s="5">
        <f t="shared" si="30"/>
        <v>14350</v>
      </c>
      <c r="F1298" s="5">
        <v>178725</v>
      </c>
      <c r="K1298" s="24">
        <v>466.5</v>
      </c>
      <c r="L1298" s="6">
        <v>471</v>
      </c>
      <c r="M1298" s="270">
        <f t="shared" si="31"/>
        <v>4.5</v>
      </c>
      <c r="N1298" s="7"/>
      <c r="O1298" s="277"/>
      <c r="P1298" s="345"/>
      <c r="V1298" s="383"/>
    </row>
    <row r="1299" spans="1:22" ht="15" customHeight="1">
      <c r="A1299" s="3">
        <v>37683</v>
      </c>
      <c r="B1299" s="4">
        <v>40625</v>
      </c>
      <c r="D1299" s="5">
        <v>122650</v>
      </c>
      <c r="E1299" s="5">
        <f t="shared" si="30"/>
        <v>14000</v>
      </c>
      <c r="F1299" s="5">
        <v>177275</v>
      </c>
      <c r="K1299" s="24">
        <v>462.5</v>
      </c>
      <c r="L1299" s="6">
        <v>467</v>
      </c>
      <c r="M1299" s="270">
        <f t="shared" si="31"/>
        <v>4.5</v>
      </c>
      <c r="N1299" s="7"/>
      <c r="O1299" s="277"/>
      <c r="P1299" s="345"/>
      <c r="V1299" s="383"/>
    </row>
    <row r="1300" spans="1:22" ht="15" customHeight="1">
      <c r="A1300" s="3">
        <v>37684</v>
      </c>
      <c r="B1300" s="4">
        <v>40525</v>
      </c>
      <c r="D1300" s="5">
        <v>122200</v>
      </c>
      <c r="E1300" s="5">
        <f t="shared" si="30"/>
        <v>14550</v>
      </c>
      <c r="F1300" s="5">
        <v>177275</v>
      </c>
      <c r="K1300" s="24">
        <v>464</v>
      </c>
      <c r="L1300" s="6">
        <v>473</v>
      </c>
      <c r="M1300" s="270">
        <f t="shared" si="31"/>
        <v>9</v>
      </c>
      <c r="N1300" s="7"/>
      <c r="O1300" s="277"/>
      <c r="P1300" s="345"/>
      <c r="V1300" s="383"/>
    </row>
    <row r="1301" spans="1:22" ht="15" customHeight="1">
      <c r="A1301" s="3">
        <v>37685</v>
      </c>
      <c r="B1301" s="4">
        <v>40500</v>
      </c>
      <c r="D1301" s="5">
        <v>122200</v>
      </c>
      <c r="E1301" s="5">
        <f t="shared" si="30"/>
        <v>13975</v>
      </c>
      <c r="F1301" s="5">
        <v>176675</v>
      </c>
      <c r="K1301" s="24">
        <v>458.5</v>
      </c>
      <c r="L1301" s="6">
        <v>465.5</v>
      </c>
      <c r="M1301" s="270">
        <f t="shared" si="31"/>
        <v>7</v>
      </c>
      <c r="N1301" s="7"/>
      <c r="O1301" s="277"/>
      <c r="P1301" s="345"/>
      <c r="V1301" s="383"/>
    </row>
    <row r="1302" spans="1:22" ht="15" customHeight="1">
      <c r="A1302" s="3">
        <v>37686</v>
      </c>
      <c r="B1302" s="4">
        <v>40500</v>
      </c>
      <c r="D1302" s="5">
        <v>122200</v>
      </c>
      <c r="E1302" s="5">
        <f t="shared" si="30"/>
        <v>13975</v>
      </c>
      <c r="F1302" s="5">
        <v>176675</v>
      </c>
      <c r="K1302" s="24">
        <v>459.5</v>
      </c>
      <c r="L1302" s="6">
        <v>467</v>
      </c>
      <c r="M1302" s="270">
        <f t="shared" si="31"/>
        <v>7.5</v>
      </c>
      <c r="N1302" s="7"/>
      <c r="O1302" s="277"/>
      <c r="P1302" s="345"/>
      <c r="V1302" s="383"/>
    </row>
    <row r="1303" spans="1:22" ht="15" customHeight="1">
      <c r="A1303" s="3">
        <v>37687</v>
      </c>
      <c r="B1303" s="4">
        <v>40650</v>
      </c>
      <c r="D1303" s="5">
        <v>121475</v>
      </c>
      <c r="E1303" s="5">
        <f t="shared" si="30"/>
        <v>14550</v>
      </c>
      <c r="F1303" s="5">
        <v>176675</v>
      </c>
      <c r="K1303" s="24">
        <v>457</v>
      </c>
      <c r="L1303" s="6">
        <v>466</v>
      </c>
      <c r="M1303" s="270">
        <f t="shared" si="31"/>
        <v>9</v>
      </c>
      <c r="N1303" s="7"/>
      <c r="O1303" s="277"/>
      <c r="P1303" s="345"/>
      <c r="V1303" s="383"/>
    </row>
    <row r="1304" spans="1:22" ht="15" customHeight="1">
      <c r="A1304" s="3">
        <v>37690</v>
      </c>
      <c r="B1304" s="4">
        <v>40475</v>
      </c>
      <c r="D1304" s="5">
        <v>120850</v>
      </c>
      <c r="E1304" s="5">
        <f t="shared" si="30"/>
        <v>14675</v>
      </c>
      <c r="F1304" s="5">
        <v>176000</v>
      </c>
      <c r="K1304" s="24">
        <v>460</v>
      </c>
      <c r="L1304" s="6">
        <v>470</v>
      </c>
      <c r="M1304" s="270">
        <f t="shared" si="31"/>
        <v>10</v>
      </c>
      <c r="N1304" s="7"/>
      <c r="O1304" s="277"/>
      <c r="P1304" s="345"/>
      <c r="V1304" s="383"/>
    </row>
    <row r="1305" spans="1:22" ht="15" customHeight="1">
      <c r="A1305" s="3">
        <v>37691</v>
      </c>
      <c r="B1305" s="4">
        <v>40525</v>
      </c>
      <c r="D1305" s="5">
        <v>120350</v>
      </c>
      <c r="E1305" s="5">
        <f t="shared" si="30"/>
        <v>13875</v>
      </c>
      <c r="F1305" s="5">
        <v>174750</v>
      </c>
      <c r="K1305" s="24">
        <v>467</v>
      </c>
      <c r="L1305" s="6">
        <v>475</v>
      </c>
      <c r="M1305" s="270">
        <f t="shared" si="31"/>
        <v>8</v>
      </c>
      <c r="N1305" s="7"/>
      <c r="O1305" s="277"/>
      <c r="P1305" s="345"/>
      <c r="V1305" s="383"/>
    </row>
    <row r="1306" spans="1:22" ht="15" customHeight="1">
      <c r="A1306" s="3">
        <v>37692</v>
      </c>
      <c r="B1306" s="4">
        <v>40525</v>
      </c>
      <c r="D1306" s="5">
        <v>119825</v>
      </c>
      <c r="E1306" s="5">
        <f t="shared" si="30"/>
        <v>14400</v>
      </c>
      <c r="F1306" s="5">
        <v>174750</v>
      </c>
      <c r="K1306" s="24">
        <v>470.5</v>
      </c>
      <c r="L1306" s="6">
        <v>478.5</v>
      </c>
      <c r="M1306" s="270">
        <f t="shared" si="31"/>
        <v>8</v>
      </c>
      <c r="N1306" s="7"/>
      <c r="O1306" s="277"/>
      <c r="P1306" s="345"/>
      <c r="V1306" s="383"/>
    </row>
    <row r="1307" spans="1:22" ht="15" customHeight="1">
      <c r="A1307" s="3">
        <v>37693</v>
      </c>
      <c r="B1307" s="4">
        <v>40525</v>
      </c>
      <c r="D1307" s="5">
        <v>119425</v>
      </c>
      <c r="E1307" s="5">
        <f t="shared" si="30"/>
        <v>14275</v>
      </c>
      <c r="F1307" s="5">
        <v>174225</v>
      </c>
      <c r="K1307" s="24">
        <v>473.5</v>
      </c>
      <c r="L1307" s="6">
        <v>479.5</v>
      </c>
      <c r="M1307" s="270">
        <f t="shared" si="31"/>
        <v>6</v>
      </c>
      <c r="N1307" s="7"/>
      <c r="O1307" s="277"/>
      <c r="P1307" s="345"/>
      <c r="V1307" s="383"/>
    </row>
    <row r="1308" spans="1:22" ht="15" customHeight="1">
      <c r="A1308" s="3">
        <v>37694</v>
      </c>
      <c r="B1308" s="4">
        <v>40475</v>
      </c>
      <c r="D1308" s="5">
        <v>118950</v>
      </c>
      <c r="E1308" s="5">
        <f t="shared" si="30"/>
        <v>14400</v>
      </c>
      <c r="F1308" s="5">
        <v>173825</v>
      </c>
      <c r="K1308" s="24">
        <v>466</v>
      </c>
      <c r="L1308" s="6">
        <v>475</v>
      </c>
      <c r="M1308" s="270">
        <f t="shared" si="31"/>
        <v>9</v>
      </c>
      <c r="N1308" s="7"/>
      <c r="O1308" s="277"/>
      <c r="P1308" s="345"/>
      <c r="V1308" s="383"/>
    </row>
    <row r="1309" spans="1:22" ht="15" customHeight="1">
      <c r="A1309" s="3">
        <v>37697</v>
      </c>
      <c r="B1309" s="4">
        <v>40375</v>
      </c>
      <c r="D1309" s="5">
        <v>117900</v>
      </c>
      <c r="E1309" s="5">
        <f t="shared" si="30"/>
        <v>13875</v>
      </c>
      <c r="F1309" s="5">
        <v>172150</v>
      </c>
      <c r="K1309" s="24">
        <v>451</v>
      </c>
      <c r="L1309" s="6">
        <v>458</v>
      </c>
      <c r="M1309" s="270">
        <f t="shared" si="31"/>
        <v>7</v>
      </c>
      <c r="N1309" s="7"/>
      <c r="O1309" s="277"/>
      <c r="P1309" s="345"/>
      <c r="V1309" s="383"/>
    </row>
    <row r="1310" spans="1:22" ht="15" customHeight="1">
      <c r="A1310" s="3">
        <v>37698</v>
      </c>
      <c r="B1310" s="4">
        <v>40250</v>
      </c>
      <c r="D1310" s="5">
        <v>118500</v>
      </c>
      <c r="E1310" s="5">
        <f t="shared" si="30"/>
        <v>13875</v>
      </c>
      <c r="F1310" s="5">
        <v>172625</v>
      </c>
      <c r="K1310" s="24">
        <v>452</v>
      </c>
      <c r="L1310" s="6">
        <v>461.5</v>
      </c>
      <c r="M1310" s="270">
        <f t="shared" si="31"/>
        <v>9.5</v>
      </c>
      <c r="N1310" s="7"/>
      <c r="O1310" s="277"/>
      <c r="P1310" s="345"/>
      <c r="V1310" s="383"/>
    </row>
    <row r="1311" spans="1:22" ht="15" customHeight="1">
      <c r="A1311" s="3">
        <v>37699</v>
      </c>
      <c r="B1311" s="4">
        <v>40000</v>
      </c>
      <c r="D1311" s="5">
        <v>118225</v>
      </c>
      <c r="E1311" s="5">
        <f t="shared" si="30"/>
        <v>13425</v>
      </c>
      <c r="F1311" s="5">
        <v>171650</v>
      </c>
      <c r="K1311" s="24">
        <v>454</v>
      </c>
      <c r="L1311" s="6">
        <v>464</v>
      </c>
      <c r="M1311" s="270">
        <f t="shared" si="31"/>
        <v>10</v>
      </c>
      <c r="N1311" s="7"/>
      <c r="O1311" s="277"/>
      <c r="P1311" s="345"/>
      <c r="V1311" s="383"/>
    </row>
    <row r="1312" spans="1:22" ht="15" customHeight="1">
      <c r="A1312" s="3">
        <v>37700</v>
      </c>
      <c r="B1312" s="4">
        <v>40925</v>
      </c>
      <c r="D1312" s="5">
        <v>117850</v>
      </c>
      <c r="E1312" s="5">
        <f t="shared" si="30"/>
        <v>13200</v>
      </c>
      <c r="F1312" s="5">
        <v>171975</v>
      </c>
      <c r="K1312" s="24">
        <v>454</v>
      </c>
      <c r="L1312" s="6">
        <v>463</v>
      </c>
      <c r="M1312" s="270">
        <f t="shared" si="31"/>
        <v>9</v>
      </c>
      <c r="N1312" s="7"/>
      <c r="O1312" s="277"/>
      <c r="P1312" s="345"/>
      <c r="V1312" s="383"/>
    </row>
    <row r="1313" spans="1:22" ht="15" customHeight="1">
      <c r="A1313" s="3">
        <v>37701</v>
      </c>
      <c r="B1313" s="4">
        <v>40925</v>
      </c>
      <c r="D1313" s="5">
        <v>117375</v>
      </c>
      <c r="E1313" s="5">
        <f t="shared" si="30"/>
        <v>13675</v>
      </c>
      <c r="F1313" s="5">
        <v>171975</v>
      </c>
      <c r="K1313" s="24">
        <v>459</v>
      </c>
      <c r="L1313" s="6">
        <v>468</v>
      </c>
      <c r="M1313" s="270">
        <f t="shared" si="31"/>
        <v>9</v>
      </c>
      <c r="N1313" s="7"/>
      <c r="O1313" s="277"/>
      <c r="P1313" s="345"/>
      <c r="V1313" s="383"/>
    </row>
    <row r="1314" spans="1:22" ht="15" customHeight="1">
      <c r="A1314" s="3">
        <v>37704</v>
      </c>
      <c r="B1314" s="4">
        <v>41175</v>
      </c>
      <c r="D1314" s="5">
        <v>117450</v>
      </c>
      <c r="E1314" s="5">
        <f t="shared" si="30"/>
        <v>13200</v>
      </c>
      <c r="F1314" s="5">
        <v>171825</v>
      </c>
      <c r="K1314" s="24">
        <v>451</v>
      </c>
      <c r="L1314" s="6">
        <v>460</v>
      </c>
      <c r="M1314" s="270">
        <f t="shared" si="31"/>
        <v>9</v>
      </c>
      <c r="N1314" s="7"/>
      <c r="O1314" s="277"/>
      <c r="P1314" s="345"/>
      <c r="V1314" s="383"/>
    </row>
    <row r="1315" spans="1:22" ht="15" customHeight="1">
      <c r="A1315" s="3">
        <v>37705</v>
      </c>
      <c r="B1315" s="4">
        <v>40750</v>
      </c>
      <c r="D1315" s="5">
        <v>117450</v>
      </c>
      <c r="E1315" s="5">
        <f t="shared" si="30"/>
        <v>13200</v>
      </c>
      <c r="F1315" s="5">
        <v>171400</v>
      </c>
      <c r="K1315" s="24">
        <v>450</v>
      </c>
      <c r="L1315" s="6">
        <v>460</v>
      </c>
      <c r="M1315" s="270">
        <f t="shared" si="31"/>
        <v>10</v>
      </c>
      <c r="N1315" s="7"/>
      <c r="O1315" s="277"/>
      <c r="P1315" s="345"/>
      <c r="V1315" s="383"/>
    </row>
    <row r="1316" spans="1:22" ht="15" customHeight="1">
      <c r="A1316" s="3">
        <v>37706</v>
      </c>
      <c r="B1316" s="4">
        <v>40750</v>
      </c>
      <c r="D1316" s="5">
        <v>117450</v>
      </c>
      <c r="E1316" s="5">
        <f t="shared" si="30"/>
        <v>13200</v>
      </c>
      <c r="F1316" s="5">
        <v>171400</v>
      </c>
      <c r="K1316" s="24">
        <v>448</v>
      </c>
      <c r="L1316" s="6">
        <v>456.5</v>
      </c>
      <c r="M1316" s="270">
        <f t="shared" si="31"/>
        <v>8.5</v>
      </c>
      <c r="N1316" s="7"/>
      <c r="O1316" s="277"/>
      <c r="P1316" s="345"/>
      <c r="V1316" s="383"/>
    </row>
    <row r="1317" spans="1:22" ht="15" customHeight="1">
      <c r="A1317" s="3">
        <v>37707</v>
      </c>
      <c r="B1317" s="4">
        <v>40750</v>
      </c>
      <c r="D1317" s="5">
        <v>127500</v>
      </c>
      <c r="E1317" s="5">
        <f t="shared" si="30"/>
        <v>13200</v>
      </c>
      <c r="F1317" s="5">
        <v>181450</v>
      </c>
      <c r="K1317" s="24">
        <v>448</v>
      </c>
      <c r="L1317" s="6">
        <v>455</v>
      </c>
      <c r="M1317" s="270">
        <f t="shared" si="31"/>
        <v>7</v>
      </c>
      <c r="N1317" s="7"/>
      <c r="O1317" s="277"/>
      <c r="P1317" s="345"/>
      <c r="V1317" s="383"/>
    </row>
    <row r="1318" spans="1:22" ht="15" customHeight="1">
      <c r="A1318" s="3">
        <v>37708</v>
      </c>
      <c r="B1318" s="4">
        <v>40700</v>
      </c>
      <c r="D1318" s="5">
        <v>127500</v>
      </c>
      <c r="E1318" s="5">
        <f t="shared" si="30"/>
        <v>13200</v>
      </c>
      <c r="F1318" s="5">
        <v>181400</v>
      </c>
      <c r="K1318" s="24">
        <v>444</v>
      </c>
      <c r="L1318" s="6">
        <v>454</v>
      </c>
      <c r="M1318" s="270">
        <f t="shared" si="31"/>
        <v>10</v>
      </c>
      <c r="N1318" s="7"/>
      <c r="O1318" s="277"/>
      <c r="P1318" s="345"/>
      <c r="V1318" s="383"/>
    </row>
    <row r="1319" spans="1:22" ht="15" customHeight="1">
      <c r="A1319" s="3">
        <v>37711</v>
      </c>
      <c r="B1319" s="4">
        <v>40250</v>
      </c>
      <c r="D1319" s="5">
        <v>127600</v>
      </c>
      <c r="E1319" s="5">
        <f t="shared" si="30"/>
        <v>13200</v>
      </c>
      <c r="F1319" s="5">
        <v>181050</v>
      </c>
      <c r="K1319" s="24">
        <v>440.5</v>
      </c>
      <c r="L1319" s="6">
        <v>451</v>
      </c>
      <c r="M1319" s="270">
        <f t="shared" si="31"/>
        <v>10.5</v>
      </c>
      <c r="N1319" s="7"/>
      <c r="O1319" s="277"/>
      <c r="P1319" s="345"/>
      <c r="V1319" s="383"/>
    </row>
    <row r="1320" spans="1:22" ht="15" customHeight="1">
      <c r="A1320" s="3">
        <v>37712</v>
      </c>
      <c r="B1320" s="4">
        <v>40225</v>
      </c>
      <c r="D1320" s="5">
        <v>129200</v>
      </c>
      <c r="E1320" s="5">
        <f t="shared" si="30"/>
        <v>13200</v>
      </c>
      <c r="F1320" s="5">
        <v>182625</v>
      </c>
      <c r="K1320" s="24">
        <v>438</v>
      </c>
      <c r="L1320" s="6">
        <v>454</v>
      </c>
      <c r="M1320" s="270">
        <f t="shared" si="31"/>
        <v>16</v>
      </c>
      <c r="N1320" s="7"/>
      <c r="O1320" s="277"/>
      <c r="P1320" s="345"/>
      <c r="V1320" s="383"/>
    </row>
    <row r="1321" spans="1:22" ht="15" customHeight="1">
      <c r="A1321" s="3">
        <v>37713</v>
      </c>
      <c r="B1321" s="4">
        <v>40200</v>
      </c>
      <c r="D1321" s="5">
        <v>129700</v>
      </c>
      <c r="E1321" s="5">
        <f t="shared" si="30"/>
        <v>13200</v>
      </c>
      <c r="F1321" s="5">
        <v>183100</v>
      </c>
      <c r="K1321" s="24">
        <v>441.5</v>
      </c>
      <c r="L1321" s="6">
        <v>451</v>
      </c>
      <c r="M1321" s="270">
        <f t="shared" si="31"/>
        <v>9.5</v>
      </c>
      <c r="N1321" s="7"/>
      <c r="O1321" s="277"/>
      <c r="P1321" s="345"/>
      <c r="V1321" s="383"/>
    </row>
    <row r="1322" spans="1:22" ht="15" customHeight="1">
      <c r="A1322" s="3">
        <v>37714</v>
      </c>
      <c r="B1322" s="4">
        <v>39625</v>
      </c>
      <c r="D1322" s="5">
        <v>129700</v>
      </c>
      <c r="E1322" s="5">
        <f t="shared" ref="E1322:E1382" si="32">F1322-(B1322+D1322)</f>
        <v>13200</v>
      </c>
      <c r="F1322" s="5">
        <v>182525</v>
      </c>
      <c r="K1322" s="24">
        <v>441</v>
      </c>
      <c r="L1322" s="6">
        <v>451.5</v>
      </c>
      <c r="M1322" s="270">
        <f t="shared" si="31"/>
        <v>10.5</v>
      </c>
      <c r="N1322" s="7"/>
      <c r="O1322" s="277"/>
      <c r="P1322" s="345"/>
      <c r="V1322" s="383"/>
    </row>
    <row r="1323" spans="1:22" ht="15" customHeight="1">
      <c r="A1323" s="3">
        <v>37715</v>
      </c>
      <c r="B1323" s="4">
        <v>39200</v>
      </c>
      <c r="D1323" s="5">
        <v>129700</v>
      </c>
      <c r="E1323" s="5">
        <f t="shared" si="32"/>
        <v>13200</v>
      </c>
      <c r="F1323" s="5">
        <v>182100</v>
      </c>
      <c r="K1323" s="24">
        <v>435.5</v>
      </c>
      <c r="L1323" s="6">
        <v>446</v>
      </c>
      <c r="M1323" s="270">
        <f t="shared" si="31"/>
        <v>10.5</v>
      </c>
      <c r="N1323" s="7"/>
      <c r="O1323" s="277"/>
      <c r="P1323" s="345"/>
      <c r="V1323" s="383"/>
    </row>
    <row r="1324" spans="1:22" ht="15" customHeight="1">
      <c r="A1324" s="3">
        <v>37718</v>
      </c>
      <c r="B1324" s="4">
        <v>39200</v>
      </c>
      <c r="D1324" s="5">
        <v>129800</v>
      </c>
      <c r="E1324" s="5">
        <f t="shared" si="32"/>
        <v>13200</v>
      </c>
      <c r="F1324" s="5">
        <v>182200</v>
      </c>
      <c r="K1324" s="24">
        <v>434</v>
      </c>
      <c r="L1324" s="6">
        <v>444.5</v>
      </c>
      <c r="M1324" s="270">
        <f t="shared" si="31"/>
        <v>10.5</v>
      </c>
      <c r="N1324" s="7"/>
      <c r="O1324" s="277"/>
      <c r="P1324" s="345"/>
      <c r="V1324" s="383"/>
    </row>
    <row r="1325" spans="1:22" ht="15" customHeight="1">
      <c r="A1325" s="3">
        <v>37719</v>
      </c>
      <c r="B1325" s="4">
        <v>39225</v>
      </c>
      <c r="D1325" s="5">
        <v>129800</v>
      </c>
      <c r="E1325" s="5">
        <f t="shared" si="32"/>
        <v>13200</v>
      </c>
      <c r="F1325" s="5">
        <v>182225</v>
      </c>
      <c r="K1325" s="24">
        <v>432.5</v>
      </c>
      <c r="L1325" s="6">
        <v>443</v>
      </c>
      <c r="M1325" s="270">
        <f t="shared" si="31"/>
        <v>10.5</v>
      </c>
      <c r="N1325" s="7"/>
      <c r="O1325" s="277"/>
      <c r="P1325" s="345"/>
      <c r="V1325" s="383"/>
    </row>
    <row r="1326" spans="1:22" ht="15" customHeight="1">
      <c r="A1326" s="3">
        <v>37720</v>
      </c>
      <c r="B1326" s="4">
        <v>39225</v>
      </c>
      <c r="D1326" s="5">
        <v>129550</v>
      </c>
      <c r="E1326" s="5">
        <f t="shared" si="32"/>
        <v>13200</v>
      </c>
      <c r="F1326" s="5">
        <v>181975</v>
      </c>
      <c r="K1326" s="24">
        <v>430</v>
      </c>
      <c r="L1326" s="6">
        <v>441</v>
      </c>
      <c r="M1326" s="270">
        <f t="shared" si="31"/>
        <v>11</v>
      </c>
      <c r="N1326" s="7"/>
      <c r="O1326" s="277"/>
      <c r="P1326" s="345"/>
      <c r="V1326" s="383"/>
    </row>
    <row r="1327" spans="1:22" ht="15" customHeight="1">
      <c r="A1327" s="3">
        <v>37721</v>
      </c>
      <c r="B1327" s="4">
        <v>39225</v>
      </c>
      <c r="D1327" s="5">
        <v>128875</v>
      </c>
      <c r="E1327" s="5">
        <f t="shared" si="32"/>
        <v>13200</v>
      </c>
      <c r="F1327" s="5">
        <v>181300</v>
      </c>
      <c r="K1327" s="24">
        <v>433.5</v>
      </c>
      <c r="L1327" s="6">
        <v>444</v>
      </c>
      <c r="M1327" s="270">
        <f t="shared" si="31"/>
        <v>10.5</v>
      </c>
      <c r="N1327" s="7"/>
      <c r="O1327" s="277"/>
      <c r="P1327" s="345"/>
      <c r="V1327" s="383"/>
    </row>
    <row r="1328" spans="1:22" ht="15" customHeight="1">
      <c r="A1328" s="3">
        <v>37722</v>
      </c>
      <c r="B1328" s="4">
        <v>39100</v>
      </c>
      <c r="D1328" s="5">
        <v>128025</v>
      </c>
      <c r="E1328" s="5">
        <f t="shared" si="32"/>
        <v>13200</v>
      </c>
      <c r="F1328" s="5">
        <v>180325</v>
      </c>
      <c r="K1328" s="24">
        <v>437</v>
      </c>
      <c r="L1328" s="6">
        <v>445.5</v>
      </c>
      <c r="M1328" s="270">
        <f t="shared" si="31"/>
        <v>8.5</v>
      </c>
      <c r="N1328" s="7"/>
      <c r="O1328" s="277"/>
      <c r="P1328" s="345"/>
      <c r="V1328" s="383"/>
    </row>
    <row r="1329" spans="1:22" ht="15" customHeight="1">
      <c r="A1329" s="3">
        <v>37725</v>
      </c>
      <c r="B1329" s="4">
        <v>38850</v>
      </c>
      <c r="D1329" s="5">
        <v>127350</v>
      </c>
      <c r="E1329" s="5">
        <f t="shared" si="32"/>
        <v>13200</v>
      </c>
      <c r="F1329" s="5">
        <v>179400</v>
      </c>
      <c r="K1329" s="24">
        <v>436.5</v>
      </c>
      <c r="L1329" s="6">
        <v>445.5</v>
      </c>
      <c r="M1329" s="270">
        <f t="shared" si="31"/>
        <v>9</v>
      </c>
      <c r="N1329" s="7"/>
      <c r="O1329" s="277"/>
      <c r="P1329" s="345"/>
      <c r="V1329" s="383"/>
    </row>
    <row r="1330" spans="1:22" ht="15" customHeight="1">
      <c r="A1330" s="3">
        <v>37726</v>
      </c>
      <c r="B1330" s="4">
        <v>38700</v>
      </c>
      <c r="D1330" s="5">
        <v>126575</v>
      </c>
      <c r="E1330" s="5">
        <f t="shared" si="32"/>
        <v>13200</v>
      </c>
      <c r="F1330" s="5">
        <v>178475</v>
      </c>
      <c r="K1330" s="24">
        <v>441.5</v>
      </c>
      <c r="L1330" s="6">
        <v>451</v>
      </c>
      <c r="M1330" s="270">
        <f t="shared" si="31"/>
        <v>9.5</v>
      </c>
      <c r="N1330" s="7"/>
      <c r="O1330" s="277"/>
      <c r="P1330" s="345"/>
      <c r="V1330" s="383"/>
    </row>
    <row r="1331" spans="1:22" ht="15" customHeight="1">
      <c r="A1331" s="3">
        <v>37727</v>
      </c>
      <c r="B1331" s="4">
        <v>39650</v>
      </c>
      <c r="D1331" s="5">
        <v>125500</v>
      </c>
      <c r="E1331" s="5">
        <f t="shared" si="32"/>
        <v>13100</v>
      </c>
      <c r="F1331" s="5">
        <v>178250</v>
      </c>
      <c r="K1331" s="24">
        <v>446</v>
      </c>
      <c r="L1331" s="6">
        <v>454.5</v>
      </c>
      <c r="M1331" s="270">
        <f t="shared" si="31"/>
        <v>8.5</v>
      </c>
      <c r="N1331" s="7"/>
      <c r="O1331" s="277"/>
      <c r="P1331" s="345"/>
      <c r="V1331" s="383"/>
    </row>
    <row r="1332" spans="1:22" ht="15" customHeight="1">
      <c r="A1332" s="3">
        <v>37728</v>
      </c>
      <c r="B1332" s="4">
        <v>39775</v>
      </c>
      <c r="D1332" s="5">
        <v>124375</v>
      </c>
      <c r="E1332" s="5">
        <f t="shared" si="32"/>
        <v>13100</v>
      </c>
      <c r="F1332" s="5">
        <v>177250</v>
      </c>
      <c r="K1332" s="24">
        <v>443</v>
      </c>
      <c r="L1332" s="6">
        <v>452</v>
      </c>
      <c r="M1332" s="270">
        <f t="shared" si="31"/>
        <v>9</v>
      </c>
      <c r="N1332" s="7"/>
      <c r="O1332" s="277"/>
      <c r="P1332" s="345"/>
      <c r="V1332" s="383"/>
    </row>
    <row r="1333" spans="1:22" ht="15" customHeight="1">
      <c r="A1333" s="3">
        <v>37729</v>
      </c>
      <c r="B1333" s="4">
        <v>39775</v>
      </c>
      <c r="D1333" s="5">
        <v>124375</v>
      </c>
      <c r="E1333" s="5">
        <f t="shared" si="32"/>
        <v>13100</v>
      </c>
      <c r="F1333" s="5">
        <v>177250</v>
      </c>
      <c r="K1333" s="24">
        <v>443</v>
      </c>
      <c r="L1333" s="6">
        <v>452</v>
      </c>
      <c r="M1333" s="270">
        <f t="shared" si="31"/>
        <v>9</v>
      </c>
      <c r="N1333" s="7"/>
      <c r="O1333" s="277"/>
      <c r="P1333" s="345"/>
      <c r="V1333" s="383"/>
    </row>
    <row r="1334" spans="1:22" ht="15" customHeight="1">
      <c r="A1334" s="3">
        <v>37732</v>
      </c>
      <c r="B1334" s="4">
        <v>39775</v>
      </c>
      <c r="D1334" s="5">
        <v>124375</v>
      </c>
      <c r="E1334" s="5">
        <f t="shared" si="32"/>
        <v>13100</v>
      </c>
      <c r="F1334" s="5">
        <v>177250</v>
      </c>
      <c r="K1334" s="24">
        <v>443</v>
      </c>
      <c r="L1334" s="6">
        <v>452</v>
      </c>
      <c r="M1334" s="270">
        <f t="shared" si="31"/>
        <v>9</v>
      </c>
      <c r="N1334" s="7"/>
      <c r="O1334" s="277"/>
      <c r="P1334" s="345"/>
      <c r="V1334" s="383"/>
    </row>
    <row r="1335" spans="1:22" ht="15" customHeight="1">
      <c r="A1335" s="3">
        <v>37733</v>
      </c>
      <c r="B1335" s="4">
        <v>39775</v>
      </c>
      <c r="D1335" s="5">
        <v>123800</v>
      </c>
      <c r="E1335" s="5">
        <f t="shared" si="32"/>
        <v>13100</v>
      </c>
      <c r="F1335" s="5">
        <v>176675</v>
      </c>
      <c r="K1335" s="24">
        <v>440.5</v>
      </c>
      <c r="L1335" s="6">
        <v>450</v>
      </c>
      <c r="M1335" s="270">
        <f t="shared" ref="M1335:M1398" si="33">L1335-K1335</f>
        <v>9.5</v>
      </c>
      <c r="N1335" s="7"/>
      <c r="O1335" s="277"/>
      <c r="P1335" s="345"/>
      <c r="V1335" s="383"/>
    </row>
    <row r="1336" spans="1:22" ht="15" customHeight="1">
      <c r="A1336" s="3">
        <v>37734</v>
      </c>
      <c r="B1336" s="4">
        <v>39625</v>
      </c>
      <c r="D1336" s="5">
        <v>122625</v>
      </c>
      <c r="E1336" s="5">
        <f t="shared" si="32"/>
        <v>13100</v>
      </c>
      <c r="F1336" s="5">
        <v>175350</v>
      </c>
      <c r="K1336" s="24">
        <v>429</v>
      </c>
      <c r="L1336" s="6">
        <v>440</v>
      </c>
      <c r="M1336" s="270">
        <f t="shared" si="33"/>
        <v>11</v>
      </c>
      <c r="N1336" s="7"/>
      <c r="O1336" s="277"/>
      <c r="P1336" s="345"/>
      <c r="V1336" s="383"/>
    </row>
    <row r="1337" spans="1:22" ht="15" customHeight="1">
      <c r="A1337" s="3">
        <v>37735</v>
      </c>
      <c r="B1337" s="4">
        <v>39400</v>
      </c>
      <c r="D1337" s="5">
        <v>122625</v>
      </c>
      <c r="E1337" s="5">
        <f t="shared" si="32"/>
        <v>13100</v>
      </c>
      <c r="F1337" s="5">
        <v>175125</v>
      </c>
      <c r="K1337" s="24">
        <v>430</v>
      </c>
      <c r="L1337" s="6">
        <v>440.5</v>
      </c>
      <c r="M1337" s="270">
        <f t="shared" si="33"/>
        <v>10.5</v>
      </c>
      <c r="N1337" s="7"/>
      <c r="O1337" s="277"/>
      <c r="P1337" s="345"/>
      <c r="V1337" s="383"/>
    </row>
    <row r="1338" spans="1:22" ht="15" customHeight="1">
      <c r="A1338" s="3">
        <v>37736</v>
      </c>
      <c r="B1338" s="4">
        <v>39400</v>
      </c>
      <c r="D1338" s="5">
        <v>122750</v>
      </c>
      <c r="E1338" s="5">
        <f t="shared" si="32"/>
        <v>13100</v>
      </c>
      <c r="F1338" s="5">
        <v>175250</v>
      </c>
      <c r="K1338" s="24">
        <v>433.5</v>
      </c>
      <c r="L1338" s="6">
        <v>443</v>
      </c>
      <c r="M1338" s="270">
        <f t="shared" si="33"/>
        <v>9.5</v>
      </c>
      <c r="N1338" s="7"/>
      <c r="O1338" s="277"/>
      <c r="P1338" s="345"/>
      <c r="V1338" s="383"/>
    </row>
    <row r="1339" spans="1:22" ht="15" customHeight="1">
      <c r="A1339" s="3">
        <v>37739</v>
      </c>
      <c r="B1339" s="4">
        <v>39400</v>
      </c>
      <c r="D1339" s="5">
        <v>122425</v>
      </c>
      <c r="E1339" s="5">
        <f t="shared" si="32"/>
        <v>13100</v>
      </c>
      <c r="F1339" s="5">
        <v>174925</v>
      </c>
      <c r="K1339" s="24">
        <v>432.5</v>
      </c>
      <c r="L1339" s="6">
        <v>440.5</v>
      </c>
      <c r="M1339" s="270">
        <f t="shared" si="33"/>
        <v>8</v>
      </c>
      <c r="N1339" s="7"/>
      <c r="O1339" s="277"/>
      <c r="P1339" s="345"/>
      <c r="V1339" s="383"/>
    </row>
    <row r="1340" spans="1:22" ht="15" customHeight="1">
      <c r="A1340" s="3">
        <v>37740</v>
      </c>
      <c r="B1340" s="4">
        <v>39400</v>
      </c>
      <c r="D1340" s="5">
        <v>122000</v>
      </c>
      <c r="E1340" s="5">
        <f t="shared" si="32"/>
        <v>13100</v>
      </c>
      <c r="F1340" s="5">
        <v>174500</v>
      </c>
      <c r="K1340" s="24">
        <v>441.5</v>
      </c>
      <c r="L1340" s="6">
        <v>444.5</v>
      </c>
      <c r="M1340" s="270">
        <f t="shared" si="33"/>
        <v>3</v>
      </c>
      <c r="N1340" s="7"/>
      <c r="O1340" s="277"/>
      <c r="P1340" s="345"/>
      <c r="V1340" s="383"/>
    </row>
    <row r="1341" spans="1:22" ht="15" customHeight="1">
      <c r="A1341" s="3">
        <v>37741</v>
      </c>
      <c r="B1341" s="4">
        <v>39500</v>
      </c>
      <c r="D1341" s="5">
        <v>122000</v>
      </c>
      <c r="E1341" s="5">
        <f t="shared" si="32"/>
        <v>13100</v>
      </c>
      <c r="F1341" s="5">
        <v>174600</v>
      </c>
      <c r="K1341" s="24">
        <v>450.5</v>
      </c>
      <c r="L1341" s="6">
        <v>454</v>
      </c>
      <c r="M1341" s="270">
        <f t="shared" si="33"/>
        <v>3.5</v>
      </c>
      <c r="N1341" s="7"/>
      <c r="O1341" s="277"/>
      <c r="P1341" s="345"/>
      <c r="V1341" s="383"/>
    </row>
    <row r="1342" spans="1:22" ht="15" customHeight="1">
      <c r="A1342" s="3">
        <v>37742</v>
      </c>
      <c r="B1342" s="4">
        <v>39425</v>
      </c>
      <c r="D1342" s="5">
        <v>122100</v>
      </c>
      <c r="E1342" s="5">
        <f t="shared" si="32"/>
        <v>13100</v>
      </c>
      <c r="F1342" s="5">
        <v>174625</v>
      </c>
      <c r="K1342" s="24">
        <v>458.5</v>
      </c>
      <c r="L1342" s="6">
        <v>462</v>
      </c>
      <c r="M1342" s="270">
        <f t="shared" si="33"/>
        <v>3.5</v>
      </c>
      <c r="N1342" s="7"/>
      <c r="O1342" s="277"/>
      <c r="P1342" s="345"/>
      <c r="V1342" s="383"/>
    </row>
    <row r="1343" spans="1:22" ht="15" customHeight="1">
      <c r="A1343" s="3">
        <v>37743</v>
      </c>
      <c r="B1343" s="4">
        <v>39425</v>
      </c>
      <c r="D1343" s="5">
        <v>122650</v>
      </c>
      <c r="E1343" s="5">
        <f t="shared" si="32"/>
        <v>13100</v>
      </c>
      <c r="F1343" s="5">
        <v>175175</v>
      </c>
      <c r="K1343" s="24">
        <v>463.5</v>
      </c>
      <c r="L1343" s="6">
        <v>465</v>
      </c>
      <c r="M1343" s="270">
        <f t="shared" si="33"/>
        <v>1.5</v>
      </c>
      <c r="N1343" s="7"/>
      <c r="O1343" s="277"/>
      <c r="P1343" s="345"/>
      <c r="V1343" s="383"/>
    </row>
    <row r="1344" spans="1:22" ht="15" customHeight="1">
      <c r="A1344" s="3">
        <v>37747</v>
      </c>
      <c r="B1344" s="4">
        <v>39425</v>
      </c>
      <c r="D1344" s="5">
        <v>122650</v>
      </c>
      <c r="E1344" s="5">
        <f t="shared" si="32"/>
        <v>13100</v>
      </c>
      <c r="F1344" s="5">
        <v>175175</v>
      </c>
      <c r="K1344" s="24">
        <v>459</v>
      </c>
      <c r="L1344" s="6">
        <v>461</v>
      </c>
      <c r="M1344" s="270">
        <f t="shared" si="33"/>
        <v>2</v>
      </c>
      <c r="N1344" s="7"/>
      <c r="O1344" s="277"/>
      <c r="P1344" s="345"/>
      <c r="V1344" s="383"/>
    </row>
    <row r="1345" spans="1:22" ht="15" customHeight="1">
      <c r="A1345" s="3">
        <v>37748</v>
      </c>
      <c r="B1345" s="4">
        <v>39150</v>
      </c>
      <c r="D1345" s="5">
        <v>122650</v>
      </c>
      <c r="E1345" s="5">
        <f t="shared" si="32"/>
        <v>13100</v>
      </c>
      <c r="F1345" s="5">
        <v>174900</v>
      </c>
      <c r="K1345" s="24">
        <v>463</v>
      </c>
      <c r="L1345" s="6">
        <v>467</v>
      </c>
      <c r="M1345" s="270">
        <f t="shared" si="33"/>
        <v>4</v>
      </c>
      <c r="N1345" s="7"/>
      <c r="O1345" s="277"/>
      <c r="P1345" s="345"/>
      <c r="V1345" s="383"/>
    </row>
    <row r="1346" spans="1:22" ht="15" customHeight="1">
      <c r="A1346" s="3">
        <v>37749</v>
      </c>
      <c r="B1346" s="4">
        <v>40550</v>
      </c>
      <c r="D1346" s="5">
        <v>122650</v>
      </c>
      <c r="E1346" s="5">
        <f t="shared" si="32"/>
        <v>13100</v>
      </c>
      <c r="F1346" s="5">
        <v>176300</v>
      </c>
      <c r="K1346" s="24">
        <v>468</v>
      </c>
      <c r="L1346" s="6">
        <v>471</v>
      </c>
      <c r="M1346" s="270">
        <f t="shared" si="33"/>
        <v>3</v>
      </c>
      <c r="N1346" s="7"/>
      <c r="O1346" s="277"/>
      <c r="P1346" s="345"/>
      <c r="V1346" s="383"/>
    </row>
    <row r="1347" spans="1:22" ht="15" customHeight="1">
      <c r="A1347" s="3">
        <v>37750</v>
      </c>
      <c r="B1347" s="4">
        <v>39150</v>
      </c>
      <c r="D1347" s="5">
        <v>123025</v>
      </c>
      <c r="E1347" s="5">
        <f t="shared" si="32"/>
        <v>13100</v>
      </c>
      <c r="F1347" s="5">
        <v>175275</v>
      </c>
      <c r="K1347" s="24">
        <v>467</v>
      </c>
      <c r="L1347" s="6">
        <v>469</v>
      </c>
      <c r="M1347" s="270">
        <f t="shared" si="33"/>
        <v>2</v>
      </c>
      <c r="N1347" s="7"/>
      <c r="O1347" s="277"/>
      <c r="P1347" s="345"/>
      <c r="V1347" s="383"/>
    </row>
    <row r="1348" spans="1:22" ht="15" customHeight="1">
      <c r="A1348" s="3">
        <v>37753</v>
      </c>
      <c r="B1348" s="4">
        <v>39050</v>
      </c>
      <c r="D1348" s="5">
        <v>123025</v>
      </c>
      <c r="E1348" s="5">
        <f t="shared" si="32"/>
        <v>13100</v>
      </c>
      <c r="F1348" s="5">
        <v>175175</v>
      </c>
      <c r="K1348" s="24">
        <v>471</v>
      </c>
      <c r="L1348" s="6">
        <v>472</v>
      </c>
      <c r="M1348" s="270">
        <f t="shared" si="33"/>
        <v>1</v>
      </c>
      <c r="N1348" s="7"/>
      <c r="O1348" s="277"/>
      <c r="P1348" s="345"/>
      <c r="V1348" s="383"/>
    </row>
    <row r="1349" spans="1:22" ht="15" customHeight="1">
      <c r="A1349" s="3">
        <v>37754</v>
      </c>
      <c r="B1349" s="4">
        <v>38950</v>
      </c>
      <c r="D1349" s="5">
        <v>123025</v>
      </c>
      <c r="E1349" s="5">
        <f t="shared" si="32"/>
        <v>13100</v>
      </c>
      <c r="F1349" s="5">
        <v>175075</v>
      </c>
      <c r="K1349" s="24">
        <v>475</v>
      </c>
      <c r="L1349" s="6">
        <v>475</v>
      </c>
      <c r="M1349" s="270">
        <f t="shared" si="33"/>
        <v>0</v>
      </c>
      <c r="N1349" s="7"/>
      <c r="O1349" s="277"/>
      <c r="P1349" s="345"/>
      <c r="V1349" s="383"/>
    </row>
    <row r="1350" spans="1:22" ht="15" customHeight="1">
      <c r="A1350" s="3">
        <v>37755</v>
      </c>
      <c r="B1350" s="4">
        <v>39650</v>
      </c>
      <c r="D1350" s="5">
        <v>123550</v>
      </c>
      <c r="E1350" s="5">
        <f t="shared" si="32"/>
        <v>13100</v>
      </c>
      <c r="F1350" s="5">
        <v>176300</v>
      </c>
      <c r="K1350" s="24">
        <v>467</v>
      </c>
      <c r="L1350" s="6">
        <v>469</v>
      </c>
      <c r="M1350" s="270">
        <f t="shared" si="33"/>
        <v>2</v>
      </c>
      <c r="N1350" s="7"/>
      <c r="O1350" s="277"/>
      <c r="P1350" s="345"/>
      <c r="V1350" s="383"/>
    </row>
    <row r="1351" spans="1:22" ht="15" customHeight="1">
      <c r="A1351" s="3">
        <v>37756</v>
      </c>
      <c r="B1351" s="4">
        <v>38450</v>
      </c>
      <c r="D1351" s="5">
        <v>123550</v>
      </c>
      <c r="E1351" s="5">
        <f t="shared" si="32"/>
        <v>13100</v>
      </c>
      <c r="F1351" s="5">
        <v>175100</v>
      </c>
      <c r="K1351" s="24">
        <v>465.5</v>
      </c>
      <c r="L1351" s="6">
        <v>468.5</v>
      </c>
      <c r="M1351" s="270">
        <f t="shared" si="33"/>
        <v>3</v>
      </c>
      <c r="N1351" s="7"/>
      <c r="O1351" s="277"/>
      <c r="P1351" s="345"/>
      <c r="V1351" s="383"/>
    </row>
    <row r="1352" spans="1:22" ht="15" customHeight="1">
      <c r="A1352" s="3">
        <v>37757</v>
      </c>
      <c r="B1352" s="4">
        <v>37850</v>
      </c>
      <c r="D1352" s="5">
        <v>123550</v>
      </c>
      <c r="E1352" s="5">
        <f t="shared" si="32"/>
        <v>13100</v>
      </c>
      <c r="F1352" s="5">
        <v>174500</v>
      </c>
      <c r="K1352" s="24">
        <v>468</v>
      </c>
      <c r="L1352" s="6">
        <v>470</v>
      </c>
      <c r="M1352" s="270">
        <f t="shared" si="33"/>
        <v>2</v>
      </c>
      <c r="N1352" s="7"/>
      <c r="O1352" s="277"/>
      <c r="P1352" s="345"/>
      <c r="V1352" s="383"/>
    </row>
    <row r="1353" spans="1:22" ht="15" customHeight="1">
      <c r="A1353" s="3">
        <v>37760</v>
      </c>
      <c r="B1353" s="4">
        <v>37700</v>
      </c>
      <c r="D1353" s="5">
        <v>123875</v>
      </c>
      <c r="E1353" s="5">
        <f t="shared" si="32"/>
        <v>13100</v>
      </c>
      <c r="F1353" s="5">
        <v>174675</v>
      </c>
      <c r="K1353" s="24">
        <v>465.5</v>
      </c>
      <c r="L1353" s="6">
        <v>468</v>
      </c>
      <c r="M1353" s="270">
        <f t="shared" si="33"/>
        <v>2.5</v>
      </c>
      <c r="N1353" s="7"/>
      <c r="O1353" s="277"/>
      <c r="P1353" s="345"/>
      <c r="V1353" s="383"/>
    </row>
    <row r="1354" spans="1:22" ht="15" customHeight="1">
      <c r="A1354" s="3">
        <v>37761</v>
      </c>
      <c r="B1354" s="4">
        <v>37100</v>
      </c>
      <c r="D1354" s="5">
        <v>123875</v>
      </c>
      <c r="E1354" s="5">
        <f t="shared" si="32"/>
        <v>13100</v>
      </c>
      <c r="F1354" s="5">
        <v>174075</v>
      </c>
      <c r="K1354" s="24">
        <v>458</v>
      </c>
      <c r="L1354" s="6">
        <v>461.5</v>
      </c>
      <c r="M1354" s="270">
        <f t="shared" si="33"/>
        <v>3.5</v>
      </c>
      <c r="N1354" s="7"/>
      <c r="O1354" s="277"/>
      <c r="P1354" s="345"/>
      <c r="V1354" s="383"/>
    </row>
    <row r="1355" spans="1:22" ht="15" customHeight="1">
      <c r="A1355" s="3">
        <v>37762</v>
      </c>
      <c r="B1355" s="4">
        <v>36625</v>
      </c>
      <c r="D1355" s="5">
        <v>123875</v>
      </c>
      <c r="E1355" s="5">
        <f t="shared" si="32"/>
        <v>13100</v>
      </c>
      <c r="F1355" s="5">
        <v>173600</v>
      </c>
      <c r="K1355" s="24">
        <v>452.3</v>
      </c>
      <c r="L1355" s="6">
        <v>459.5</v>
      </c>
      <c r="M1355" s="270">
        <f t="shared" si="33"/>
        <v>7.1999999999999886</v>
      </c>
      <c r="N1355" s="7"/>
      <c r="O1355" s="277"/>
      <c r="P1355" s="345"/>
      <c r="V1355" s="383"/>
    </row>
    <row r="1356" spans="1:22" ht="15" customHeight="1">
      <c r="A1356" s="3">
        <v>37763</v>
      </c>
      <c r="B1356" s="4">
        <v>37125</v>
      </c>
      <c r="D1356" s="5">
        <v>123875</v>
      </c>
      <c r="E1356" s="5">
        <f t="shared" si="32"/>
        <v>13100</v>
      </c>
      <c r="F1356" s="5">
        <v>174100</v>
      </c>
      <c r="K1356" s="24">
        <v>457</v>
      </c>
      <c r="L1356" s="6">
        <v>462</v>
      </c>
      <c r="M1356" s="270">
        <f t="shared" si="33"/>
        <v>5</v>
      </c>
      <c r="N1356" s="7"/>
      <c r="O1356" s="277"/>
      <c r="P1356" s="345"/>
      <c r="V1356" s="383"/>
    </row>
    <row r="1357" spans="1:22" ht="15" customHeight="1">
      <c r="A1357" s="3">
        <v>37764</v>
      </c>
      <c r="B1357" s="4">
        <v>36625</v>
      </c>
      <c r="D1357" s="5">
        <v>123875</v>
      </c>
      <c r="E1357" s="5">
        <f t="shared" si="32"/>
        <v>13100</v>
      </c>
      <c r="F1357" s="5">
        <v>173600</v>
      </c>
      <c r="K1357" s="24">
        <v>456.5</v>
      </c>
      <c r="L1357" s="6">
        <v>460.5</v>
      </c>
      <c r="M1357" s="270">
        <f t="shared" si="33"/>
        <v>4</v>
      </c>
      <c r="N1357" s="7"/>
      <c r="O1357" s="277"/>
      <c r="P1357" s="345"/>
      <c r="V1357" s="383"/>
    </row>
    <row r="1358" spans="1:22" ht="15" customHeight="1">
      <c r="A1358" s="3">
        <v>37767</v>
      </c>
      <c r="B1358" s="4">
        <v>36625</v>
      </c>
      <c r="D1358" s="5">
        <v>123875</v>
      </c>
      <c r="E1358" s="5">
        <f>F1358-(B1358+D1358)</f>
        <v>13100</v>
      </c>
      <c r="F1358" s="5">
        <v>173600</v>
      </c>
      <c r="K1358" s="24">
        <v>456.5</v>
      </c>
      <c r="L1358" s="6">
        <v>460.5</v>
      </c>
      <c r="M1358" s="270">
        <f t="shared" si="33"/>
        <v>4</v>
      </c>
      <c r="N1358" s="7"/>
      <c r="O1358" s="277"/>
      <c r="P1358" s="345"/>
      <c r="V1358" s="383"/>
    </row>
    <row r="1359" spans="1:22" ht="15" customHeight="1">
      <c r="A1359" s="3">
        <v>37768</v>
      </c>
      <c r="B1359" s="4">
        <v>36375</v>
      </c>
      <c r="D1359" s="5">
        <v>123975</v>
      </c>
      <c r="E1359" s="5">
        <f t="shared" si="32"/>
        <v>13100</v>
      </c>
      <c r="F1359" s="5">
        <v>173450</v>
      </c>
      <c r="K1359" s="24">
        <v>460</v>
      </c>
      <c r="L1359" s="6">
        <v>462</v>
      </c>
      <c r="M1359" s="270">
        <f t="shared" si="33"/>
        <v>2</v>
      </c>
      <c r="N1359" s="7"/>
      <c r="O1359" s="277"/>
      <c r="P1359" s="345"/>
      <c r="V1359" s="383"/>
    </row>
    <row r="1360" spans="1:22" ht="15" customHeight="1">
      <c r="A1360" s="3">
        <v>37769</v>
      </c>
      <c r="B1360" s="4">
        <v>35200</v>
      </c>
      <c r="D1360" s="5">
        <v>123975</v>
      </c>
      <c r="E1360" s="5">
        <f t="shared" si="32"/>
        <v>13100</v>
      </c>
      <c r="F1360" s="5">
        <v>172275</v>
      </c>
      <c r="K1360" s="24">
        <v>461</v>
      </c>
      <c r="L1360" s="6">
        <v>463</v>
      </c>
      <c r="M1360" s="270">
        <f t="shared" si="33"/>
        <v>2</v>
      </c>
      <c r="N1360" s="7"/>
      <c r="O1360" s="277"/>
      <c r="P1360" s="345"/>
      <c r="V1360" s="383"/>
    </row>
    <row r="1361" spans="1:22" ht="15" customHeight="1">
      <c r="A1361" s="3">
        <v>37770</v>
      </c>
      <c r="B1361" s="4">
        <v>36225</v>
      </c>
      <c r="D1361" s="5">
        <v>123975</v>
      </c>
      <c r="E1361" s="5">
        <f t="shared" si="32"/>
        <v>13100</v>
      </c>
      <c r="F1361" s="5">
        <v>173300</v>
      </c>
      <c r="K1361" s="24">
        <v>468</v>
      </c>
      <c r="L1361" s="6">
        <v>466.5</v>
      </c>
      <c r="M1361" s="270">
        <f t="shared" si="33"/>
        <v>-1.5</v>
      </c>
      <c r="N1361" s="7"/>
      <c r="O1361" s="277"/>
      <c r="P1361" s="345"/>
      <c r="V1361" s="383"/>
    </row>
    <row r="1362" spans="1:22" ht="15" customHeight="1">
      <c r="A1362" s="3">
        <v>37771</v>
      </c>
      <c r="B1362" s="4">
        <v>35100</v>
      </c>
      <c r="D1362" s="5">
        <v>124650</v>
      </c>
      <c r="E1362" s="5">
        <f t="shared" si="32"/>
        <v>13100</v>
      </c>
      <c r="F1362" s="5">
        <v>172850</v>
      </c>
      <c r="K1362" s="24">
        <v>466</v>
      </c>
      <c r="L1362" s="6">
        <v>467</v>
      </c>
      <c r="M1362" s="270">
        <f t="shared" si="33"/>
        <v>1</v>
      </c>
      <c r="N1362" s="7"/>
      <c r="O1362" s="277"/>
      <c r="P1362" s="345"/>
      <c r="V1362" s="383"/>
    </row>
    <row r="1363" spans="1:22" ht="15" customHeight="1">
      <c r="A1363" s="3">
        <v>37774</v>
      </c>
      <c r="B1363" s="4">
        <v>35925</v>
      </c>
      <c r="D1363" s="5">
        <v>124650</v>
      </c>
      <c r="E1363" s="5">
        <f t="shared" si="32"/>
        <v>13100</v>
      </c>
      <c r="F1363" s="5">
        <v>173675</v>
      </c>
      <c r="K1363" s="24">
        <v>468.5</v>
      </c>
      <c r="L1363" s="6">
        <v>472</v>
      </c>
      <c r="M1363" s="270">
        <f t="shared" si="33"/>
        <v>3.5</v>
      </c>
      <c r="N1363" s="7"/>
      <c r="O1363" s="277"/>
      <c r="P1363" s="345"/>
      <c r="V1363" s="383"/>
    </row>
    <row r="1364" spans="1:22" ht="15" customHeight="1">
      <c r="A1364" s="3">
        <v>37775</v>
      </c>
      <c r="B1364" s="4">
        <v>35350</v>
      </c>
      <c r="D1364" s="5">
        <v>124800</v>
      </c>
      <c r="E1364" s="5">
        <f t="shared" si="32"/>
        <v>13100</v>
      </c>
      <c r="F1364" s="5">
        <v>173250</v>
      </c>
      <c r="K1364" s="24">
        <v>473</v>
      </c>
      <c r="L1364" s="6">
        <v>475.5</v>
      </c>
      <c r="M1364" s="270">
        <f t="shared" si="33"/>
        <v>2.5</v>
      </c>
      <c r="N1364" s="7"/>
      <c r="O1364" s="277"/>
      <c r="P1364" s="345"/>
      <c r="V1364" s="383"/>
    </row>
    <row r="1365" spans="1:22" ht="15" customHeight="1">
      <c r="A1365" s="3">
        <v>37776</v>
      </c>
      <c r="B1365" s="4">
        <v>35350</v>
      </c>
      <c r="D1365" s="5">
        <v>124800</v>
      </c>
      <c r="E1365" s="5">
        <f t="shared" si="32"/>
        <v>13100</v>
      </c>
      <c r="F1365" s="5">
        <v>173250</v>
      </c>
      <c r="K1365" s="24">
        <v>467</v>
      </c>
      <c r="L1365" s="6">
        <v>472</v>
      </c>
      <c r="M1365" s="270">
        <f t="shared" si="33"/>
        <v>5</v>
      </c>
      <c r="N1365" s="7"/>
      <c r="O1365" s="277"/>
      <c r="P1365" s="345"/>
      <c r="V1365" s="383"/>
    </row>
    <row r="1366" spans="1:22" ht="15" customHeight="1">
      <c r="A1366" s="3">
        <v>37777</v>
      </c>
      <c r="B1366" s="4">
        <v>35325</v>
      </c>
      <c r="D1366" s="5">
        <v>124900</v>
      </c>
      <c r="E1366" s="5">
        <f t="shared" si="32"/>
        <v>13100</v>
      </c>
      <c r="F1366" s="5">
        <v>173325</v>
      </c>
      <c r="K1366" s="24">
        <v>469</v>
      </c>
      <c r="L1366" s="6">
        <v>476</v>
      </c>
      <c r="M1366" s="270">
        <f t="shared" si="33"/>
        <v>7</v>
      </c>
      <c r="N1366" s="7"/>
      <c r="O1366" s="277"/>
      <c r="P1366" s="345"/>
      <c r="V1366" s="383"/>
    </row>
    <row r="1367" spans="1:22" ht="15" customHeight="1">
      <c r="A1367" s="3">
        <v>37778</v>
      </c>
      <c r="B1367" s="4">
        <v>35875</v>
      </c>
      <c r="D1367" s="5">
        <v>125025</v>
      </c>
      <c r="E1367" s="5">
        <f t="shared" si="32"/>
        <v>13100</v>
      </c>
      <c r="F1367" s="5">
        <v>174000</v>
      </c>
      <c r="K1367" s="24">
        <v>474.5</v>
      </c>
      <c r="L1367" s="6">
        <v>480</v>
      </c>
      <c r="M1367" s="270">
        <f t="shared" si="33"/>
        <v>5.5</v>
      </c>
      <c r="N1367" s="7"/>
      <c r="O1367" s="277"/>
      <c r="P1367" s="345"/>
      <c r="V1367" s="383"/>
    </row>
    <row r="1368" spans="1:22" ht="15" customHeight="1">
      <c r="A1368" s="3">
        <v>37781</v>
      </c>
      <c r="B1368" s="4">
        <v>36975</v>
      </c>
      <c r="D1368" s="5">
        <v>125150</v>
      </c>
      <c r="E1368" s="5">
        <f t="shared" si="32"/>
        <v>13100</v>
      </c>
      <c r="F1368" s="5">
        <v>175225</v>
      </c>
      <c r="K1368" s="24">
        <v>469</v>
      </c>
      <c r="L1368" s="6">
        <v>475.5</v>
      </c>
      <c r="M1368" s="270">
        <f t="shared" si="33"/>
        <v>6.5</v>
      </c>
      <c r="N1368" s="7"/>
      <c r="O1368" s="277"/>
      <c r="P1368" s="345"/>
      <c r="V1368" s="383"/>
    </row>
    <row r="1369" spans="1:22" ht="15" customHeight="1">
      <c r="A1369" s="3">
        <v>37782</v>
      </c>
      <c r="B1369" s="4">
        <v>35650</v>
      </c>
      <c r="D1369" s="5">
        <v>125150</v>
      </c>
      <c r="E1369" s="5">
        <f t="shared" si="32"/>
        <v>13100</v>
      </c>
      <c r="F1369" s="5">
        <v>173900</v>
      </c>
      <c r="K1369" s="24">
        <v>460</v>
      </c>
      <c r="L1369" s="6">
        <v>469</v>
      </c>
      <c r="M1369" s="270">
        <f t="shared" si="33"/>
        <v>9</v>
      </c>
      <c r="N1369" s="7"/>
      <c r="O1369" s="277"/>
      <c r="P1369" s="345"/>
      <c r="V1369" s="383"/>
    </row>
    <row r="1370" spans="1:22" ht="15" customHeight="1">
      <c r="A1370" s="3">
        <v>37783</v>
      </c>
      <c r="B1370" s="4">
        <v>35650</v>
      </c>
      <c r="D1370" s="5">
        <v>125300</v>
      </c>
      <c r="E1370" s="5">
        <f t="shared" si="32"/>
        <v>13100</v>
      </c>
      <c r="F1370" s="5">
        <v>174050</v>
      </c>
      <c r="K1370" s="24">
        <v>461</v>
      </c>
      <c r="L1370" s="6">
        <v>466.5</v>
      </c>
      <c r="M1370" s="270">
        <f t="shared" si="33"/>
        <v>5.5</v>
      </c>
      <c r="N1370" s="7"/>
      <c r="O1370" s="277"/>
      <c r="P1370" s="345"/>
      <c r="V1370" s="383"/>
    </row>
    <row r="1371" spans="1:22" ht="15" customHeight="1">
      <c r="A1371" s="3">
        <v>37784</v>
      </c>
      <c r="B1371" s="4">
        <v>35250</v>
      </c>
      <c r="D1371" s="5">
        <v>125300</v>
      </c>
      <c r="E1371" s="5">
        <f t="shared" si="32"/>
        <v>13100</v>
      </c>
      <c r="F1371" s="5">
        <v>173650</v>
      </c>
      <c r="K1371" s="24">
        <v>463</v>
      </c>
      <c r="L1371" s="6">
        <v>466.5</v>
      </c>
      <c r="M1371" s="270">
        <f t="shared" si="33"/>
        <v>3.5</v>
      </c>
      <c r="N1371" s="7"/>
      <c r="O1371" s="277"/>
      <c r="P1371" s="345"/>
      <c r="V1371" s="383"/>
    </row>
    <row r="1372" spans="1:22" ht="15" customHeight="1">
      <c r="A1372" s="3">
        <v>37785</v>
      </c>
      <c r="B1372" s="4">
        <v>35075</v>
      </c>
      <c r="D1372" s="5">
        <v>125400</v>
      </c>
      <c r="E1372" s="5">
        <f t="shared" si="32"/>
        <v>13100</v>
      </c>
      <c r="F1372" s="5">
        <v>173575</v>
      </c>
      <c r="K1372" s="24">
        <v>464</v>
      </c>
      <c r="L1372" s="6">
        <v>468</v>
      </c>
      <c r="M1372" s="270">
        <f t="shared" si="33"/>
        <v>4</v>
      </c>
      <c r="N1372" s="7"/>
      <c r="O1372" s="277"/>
      <c r="P1372" s="345"/>
      <c r="V1372" s="383"/>
    </row>
    <row r="1373" spans="1:22" ht="15" customHeight="1">
      <c r="A1373" s="3">
        <v>37788</v>
      </c>
      <c r="B1373" s="4">
        <v>35075</v>
      </c>
      <c r="D1373" s="5">
        <v>125400</v>
      </c>
      <c r="E1373" s="5">
        <f t="shared" si="32"/>
        <v>13100</v>
      </c>
      <c r="F1373" s="5">
        <v>173575</v>
      </c>
      <c r="K1373" s="24">
        <v>461</v>
      </c>
      <c r="L1373" s="6">
        <v>466.5</v>
      </c>
      <c r="M1373" s="270">
        <f t="shared" si="33"/>
        <v>5.5</v>
      </c>
      <c r="N1373" s="7"/>
      <c r="O1373" s="277"/>
      <c r="P1373" s="345"/>
      <c r="V1373" s="383"/>
    </row>
    <row r="1374" spans="1:22" ht="15" customHeight="1">
      <c r="A1374" s="3">
        <v>37789</v>
      </c>
      <c r="B1374" s="4">
        <v>35075</v>
      </c>
      <c r="D1374" s="5">
        <v>125525</v>
      </c>
      <c r="E1374" s="5">
        <f t="shared" si="32"/>
        <v>13100</v>
      </c>
      <c r="F1374" s="5">
        <v>173700</v>
      </c>
      <c r="K1374" s="24">
        <v>464</v>
      </c>
      <c r="L1374" s="6">
        <v>468.5</v>
      </c>
      <c r="M1374" s="270">
        <f t="shared" si="33"/>
        <v>4.5</v>
      </c>
      <c r="N1374" s="7"/>
      <c r="O1374" s="277"/>
      <c r="P1374" s="345"/>
      <c r="V1374" s="383"/>
    </row>
    <row r="1375" spans="1:22" ht="15" customHeight="1">
      <c r="A1375" s="3">
        <v>37790</v>
      </c>
      <c r="B1375" s="4">
        <v>35075</v>
      </c>
      <c r="D1375" s="5">
        <v>125650</v>
      </c>
      <c r="E1375" s="5">
        <f t="shared" si="32"/>
        <v>13100</v>
      </c>
      <c r="F1375" s="5">
        <v>173825</v>
      </c>
      <c r="K1375" s="24">
        <v>470.5</v>
      </c>
      <c r="L1375" s="6">
        <v>474.5</v>
      </c>
      <c r="M1375" s="270">
        <f t="shared" si="33"/>
        <v>4</v>
      </c>
      <c r="N1375" s="7"/>
      <c r="O1375" s="277"/>
      <c r="P1375" s="345"/>
      <c r="V1375" s="383"/>
    </row>
    <row r="1376" spans="1:22" ht="15" customHeight="1">
      <c r="A1376" s="3">
        <v>37791</v>
      </c>
      <c r="B1376" s="4">
        <v>35400</v>
      </c>
      <c r="D1376" s="5">
        <v>125650</v>
      </c>
      <c r="E1376" s="5">
        <f t="shared" si="32"/>
        <v>13100</v>
      </c>
      <c r="F1376" s="5">
        <v>174150</v>
      </c>
      <c r="K1376" s="24">
        <v>472</v>
      </c>
      <c r="L1376" s="6">
        <v>475</v>
      </c>
      <c r="M1376" s="270">
        <f t="shared" si="33"/>
        <v>3</v>
      </c>
      <c r="N1376" s="7"/>
      <c r="O1376" s="277"/>
      <c r="P1376" s="345"/>
      <c r="V1376" s="383"/>
    </row>
    <row r="1377" spans="1:22" ht="15" customHeight="1">
      <c r="A1377" s="3">
        <v>37792</v>
      </c>
      <c r="B1377" s="4">
        <v>35050</v>
      </c>
      <c r="D1377" s="5">
        <v>125775</v>
      </c>
      <c r="E1377" s="5">
        <f t="shared" si="32"/>
        <v>13050</v>
      </c>
      <c r="F1377" s="5">
        <v>173875</v>
      </c>
      <c r="K1377" s="24">
        <v>473.5</v>
      </c>
      <c r="L1377" s="6">
        <v>478</v>
      </c>
      <c r="M1377" s="270">
        <f t="shared" si="33"/>
        <v>4.5</v>
      </c>
      <c r="N1377" s="7"/>
      <c r="O1377" s="277"/>
      <c r="P1377" s="345"/>
      <c r="V1377" s="383"/>
    </row>
    <row r="1378" spans="1:22" ht="15" customHeight="1">
      <c r="A1378" s="3">
        <v>37795</v>
      </c>
      <c r="B1378" s="4">
        <v>35050</v>
      </c>
      <c r="D1378" s="5">
        <v>126050</v>
      </c>
      <c r="E1378" s="5">
        <f t="shared" si="32"/>
        <v>13050</v>
      </c>
      <c r="F1378" s="5">
        <v>174150</v>
      </c>
      <c r="K1378" s="24">
        <v>464.5</v>
      </c>
      <c r="L1378" s="6">
        <v>469.5</v>
      </c>
      <c r="M1378" s="270">
        <f t="shared" si="33"/>
        <v>5</v>
      </c>
      <c r="N1378" s="7"/>
      <c r="O1378" s="277"/>
      <c r="P1378" s="345"/>
      <c r="V1378" s="383"/>
    </row>
    <row r="1379" spans="1:22" ht="15" customHeight="1">
      <c r="A1379" s="3">
        <v>37796</v>
      </c>
      <c r="B1379" s="4">
        <v>34650</v>
      </c>
      <c r="D1379" s="5">
        <v>126050</v>
      </c>
      <c r="E1379" s="5">
        <f t="shared" si="32"/>
        <v>13050</v>
      </c>
      <c r="F1379" s="5">
        <v>173750</v>
      </c>
      <c r="K1379" s="24">
        <v>460</v>
      </c>
      <c r="L1379" s="6">
        <v>463.5</v>
      </c>
      <c r="M1379" s="270">
        <f t="shared" si="33"/>
        <v>3.5</v>
      </c>
      <c r="N1379" s="7"/>
      <c r="O1379" s="277"/>
      <c r="P1379" s="345"/>
      <c r="V1379" s="383"/>
    </row>
    <row r="1380" spans="1:22" ht="15" customHeight="1">
      <c r="A1380" s="3">
        <v>37797</v>
      </c>
      <c r="B1380" s="4">
        <v>34150</v>
      </c>
      <c r="D1380" s="5">
        <v>126150</v>
      </c>
      <c r="E1380" s="5">
        <f t="shared" si="32"/>
        <v>13000</v>
      </c>
      <c r="F1380" s="5">
        <v>173300</v>
      </c>
      <c r="K1380" s="24">
        <v>463.5</v>
      </c>
      <c r="L1380" s="6">
        <v>465</v>
      </c>
      <c r="M1380" s="270">
        <f t="shared" si="33"/>
        <v>1.5</v>
      </c>
      <c r="N1380" s="7"/>
      <c r="O1380" s="277"/>
      <c r="P1380" s="345"/>
      <c r="V1380" s="383"/>
    </row>
    <row r="1381" spans="1:22" ht="15" customHeight="1">
      <c r="A1381" s="3">
        <v>37798</v>
      </c>
      <c r="B1381" s="4">
        <v>34150</v>
      </c>
      <c r="D1381" s="5">
        <v>126150</v>
      </c>
      <c r="E1381" s="5">
        <f t="shared" si="32"/>
        <v>12900</v>
      </c>
      <c r="F1381" s="5">
        <v>173200</v>
      </c>
      <c r="K1381" s="24">
        <v>468</v>
      </c>
      <c r="L1381" s="6">
        <v>467</v>
      </c>
      <c r="M1381" s="270">
        <f t="shared" si="33"/>
        <v>-1</v>
      </c>
      <c r="N1381" s="7"/>
      <c r="O1381" s="277"/>
      <c r="P1381" s="345"/>
      <c r="V1381" s="383"/>
    </row>
    <row r="1382" spans="1:22" ht="15" customHeight="1">
      <c r="A1382" s="3">
        <v>37799</v>
      </c>
      <c r="B1382" s="4">
        <v>33650</v>
      </c>
      <c r="D1382" s="5">
        <v>126675</v>
      </c>
      <c r="E1382" s="5">
        <f t="shared" si="32"/>
        <v>12875</v>
      </c>
      <c r="F1382" s="5">
        <v>173200</v>
      </c>
      <c r="K1382" s="24">
        <v>478</v>
      </c>
      <c r="L1382" s="6">
        <v>472</v>
      </c>
      <c r="M1382" s="270">
        <f t="shared" si="33"/>
        <v>-6</v>
      </c>
      <c r="N1382" s="7"/>
      <c r="O1382" s="277"/>
      <c r="P1382" s="345"/>
      <c r="V1382" s="383"/>
    </row>
    <row r="1383" spans="1:22" ht="15" customHeight="1">
      <c r="A1383" s="3">
        <v>37802</v>
      </c>
      <c r="B1383" s="4">
        <v>33125</v>
      </c>
      <c r="D1383" s="5">
        <v>126675</v>
      </c>
      <c r="E1383" s="5">
        <f t="shared" ref="E1383:E1427" si="34">F1383-(B1383+D1383)</f>
        <v>12875</v>
      </c>
      <c r="F1383" s="5">
        <v>172675</v>
      </c>
      <c r="K1383" s="24">
        <v>484.5</v>
      </c>
      <c r="L1383" s="6">
        <v>478.5</v>
      </c>
      <c r="M1383" s="270">
        <f t="shared" si="33"/>
        <v>-6</v>
      </c>
      <c r="N1383" s="7"/>
      <c r="O1383" s="277"/>
      <c r="P1383" s="345"/>
      <c r="V1383" s="383"/>
    </row>
    <row r="1384" spans="1:22" ht="15" customHeight="1">
      <c r="A1384" s="3">
        <v>37803</v>
      </c>
      <c r="B1384" s="4">
        <v>32825</v>
      </c>
      <c r="D1384" s="5">
        <v>126950</v>
      </c>
      <c r="E1384" s="5">
        <f t="shared" si="34"/>
        <v>12675</v>
      </c>
      <c r="F1384" s="5">
        <v>172450</v>
      </c>
      <c r="K1384" s="24">
        <v>484</v>
      </c>
      <c r="L1384" s="6">
        <v>478</v>
      </c>
      <c r="M1384" s="270">
        <f t="shared" si="33"/>
        <v>-6</v>
      </c>
      <c r="N1384" s="7"/>
      <c r="O1384" s="277"/>
      <c r="P1384" s="345"/>
      <c r="V1384" s="383"/>
    </row>
    <row r="1385" spans="1:22" ht="15" customHeight="1">
      <c r="A1385" s="3">
        <v>37804</v>
      </c>
      <c r="B1385" s="4">
        <v>32650</v>
      </c>
      <c r="D1385" s="5">
        <v>127025</v>
      </c>
      <c r="E1385" s="5">
        <f t="shared" si="34"/>
        <v>12675</v>
      </c>
      <c r="F1385" s="5">
        <v>172350</v>
      </c>
      <c r="K1385" s="24">
        <v>487</v>
      </c>
      <c r="L1385" s="6">
        <v>481</v>
      </c>
      <c r="M1385" s="270">
        <f t="shared" si="33"/>
        <v>-6</v>
      </c>
      <c r="N1385" s="7"/>
      <c r="O1385" s="277"/>
      <c r="P1385" s="345"/>
      <c r="V1385" s="383"/>
    </row>
    <row r="1386" spans="1:22" ht="15" customHeight="1">
      <c r="A1386" s="3">
        <v>37805</v>
      </c>
      <c r="B1386" s="4">
        <v>32525</v>
      </c>
      <c r="D1386" s="5">
        <v>126225</v>
      </c>
      <c r="E1386" s="5">
        <f t="shared" si="34"/>
        <v>12675</v>
      </c>
      <c r="F1386" s="5">
        <v>171425</v>
      </c>
      <c r="K1386" s="24">
        <v>488</v>
      </c>
      <c r="L1386" s="6">
        <v>484</v>
      </c>
      <c r="M1386" s="270">
        <f t="shared" si="33"/>
        <v>-4</v>
      </c>
      <c r="N1386" s="7"/>
      <c r="O1386" s="277"/>
      <c r="P1386" s="345"/>
      <c r="V1386" s="383"/>
    </row>
    <row r="1387" spans="1:22" ht="15" customHeight="1">
      <c r="A1387" s="3">
        <v>37806</v>
      </c>
      <c r="B1387" s="4">
        <v>32525</v>
      </c>
      <c r="D1387" s="5">
        <v>125650</v>
      </c>
      <c r="E1387" s="5">
        <f t="shared" si="34"/>
        <v>12675</v>
      </c>
      <c r="F1387" s="5">
        <v>170850</v>
      </c>
      <c r="K1387" s="24">
        <v>492.5</v>
      </c>
      <c r="L1387" s="6">
        <v>485</v>
      </c>
      <c r="M1387" s="270">
        <f t="shared" si="33"/>
        <v>-7.5</v>
      </c>
      <c r="N1387" s="7"/>
      <c r="O1387" s="277"/>
      <c r="P1387" s="345"/>
      <c r="V1387" s="383"/>
    </row>
    <row r="1388" spans="1:22" ht="15" customHeight="1">
      <c r="A1388" s="3">
        <v>37809</v>
      </c>
      <c r="B1388" s="4">
        <v>32525</v>
      </c>
      <c r="D1388" s="5">
        <v>124825</v>
      </c>
      <c r="E1388" s="5">
        <f t="shared" si="34"/>
        <v>12675</v>
      </c>
      <c r="F1388" s="5">
        <v>170025</v>
      </c>
      <c r="K1388" s="24">
        <v>493</v>
      </c>
      <c r="L1388" s="6">
        <v>486.5</v>
      </c>
      <c r="M1388" s="270">
        <f t="shared" si="33"/>
        <v>-6.5</v>
      </c>
      <c r="N1388" s="7"/>
      <c r="O1388" s="277"/>
      <c r="P1388" s="345"/>
      <c r="V1388" s="383"/>
    </row>
    <row r="1389" spans="1:22" ht="15" customHeight="1">
      <c r="A1389" s="3">
        <v>37810</v>
      </c>
      <c r="B1389" s="4">
        <v>32500</v>
      </c>
      <c r="D1389" s="5">
        <v>124825</v>
      </c>
      <c r="E1389" s="5">
        <f t="shared" si="34"/>
        <v>12675</v>
      </c>
      <c r="F1389" s="5">
        <v>170000</v>
      </c>
      <c r="K1389" s="24">
        <v>505.5</v>
      </c>
      <c r="L1389" s="6">
        <v>502</v>
      </c>
      <c r="M1389" s="270">
        <f t="shared" si="33"/>
        <v>-3.5</v>
      </c>
      <c r="N1389" s="7"/>
      <c r="O1389" s="277"/>
      <c r="P1389" s="345"/>
      <c r="V1389" s="383"/>
    </row>
    <row r="1390" spans="1:22" ht="15" customHeight="1">
      <c r="A1390" s="3">
        <v>37811</v>
      </c>
      <c r="B1390" s="4">
        <v>33000</v>
      </c>
      <c r="D1390" s="5">
        <v>123800</v>
      </c>
      <c r="E1390" s="5">
        <f t="shared" si="34"/>
        <v>12675</v>
      </c>
      <c r="F1390" s="5">
        <v>169475</v>
      </c>
      <c r="K1390" s="24">
        <v>525</v>
      </c>
      <c r="L1390" s="6">
        <v>514</v>
      </c>
      <c r="M1390" s="270">
        <f t="shared" si="33"/>
        <v>-11</v>
      </c>
      <c r="N1390" s="7"/>
      <c r="O1390" s="277"/>
      <c r="P1390" s="345"/>
      <c r="V1390" s="383"/>
    </row>
    <row r="1391" spans="1:22" ht="15" customHeight="1">
      <c r="A1391" s="3">
        <v>37812</v>
      </c>
      <c r="B1391" s="4">
        <v>33000</v>
      </c>
      <c r="D1391" s="5">
        <v>122700</v>
      </c>
      <c r="E1391" s="5">
        <f t="shared" si="34"/>
        <v>12675</v>
      </c>
      <c r="F1391" s="5">
        <v>168375</v>
      </c>
      <c r="K1391" s="24">
        <v>530</v>
      </c>
      <c r="L1391" s="6">
        <v>516</v>
      </c>
      <c r="M1391" s="270">
        <f t="shared" si="33"/>
        <v>-14</v>
      </c>
      <c r="N1391" s="7"/>
      <c r="O1391" s="277"/>
      <c r="P1391" s="345"/>
      <c r="V1391" s="383"/>
    </row>
    <row r="1392" spans="1:22" ht="15" customHeight="1">
      <c r="A1392" s="3">
        <v>37813</v>
      </c>
      <c r="B1392" s="4">
        <v>32775</v>
      </c>
      <c r="D1392" s="5">
        <v>121825</v>
      </c>
      <c r="E1392" s="5">
        <f t="shared" si="34"/>
        <v>12675</v>
      </c>
      <c r="F1392" s="5">
        <v>167275</v>
      </c>
      <c r="K1392" s="24">
        <v>525</v>
      </c>
      <c r="L1392" s="6">
        <v>511</v>
      </c>
      <c r="M1392" s="270">
        <f t="shared" si="33"/>
        <v>-14</v>
      </c>
      <c r="N1392" s="7"/>
      <c r="O1392" s="277"/>
      <c r="P1392" s="345"/>
      <c r="V1392" s="383"/>
    </row>
    <row r="1393" spans="1:22" ht="15" customHeight="1">
      <c r="A1393" s="3">
        <v>37816</v>
      </c>
      <c r="B1393" s="4">
        <v>32775</v>
      </c>
      <c r="D1393" s="5">
        <v>121425</v>
      </c>
      <c r="E1393" s="5">
        <f>F1393-(B1393+D1393)</f>
        <v>12675</v>
      </c>
      <c r="F1393" s="5">
        <v>166875</v>
      </c>
      <c r="K1393" s="24">
        <v>529</v>
      </c>
      <c r="L1393" s="6">
        <v>515.5</v>
      </c>
      <c r="M1393" s="270">
        <f t="shared" si="33"/>
        <v>-13.5</v>
      </c>
      <c r="N1393" s="7"/>
      <c r="O1393" s="277"/>
      <c r="P1393" s="345"/>
      <c r="V1393" s="383"/>
    </row>
    <row r="1394" spans="1:22" ht="15" customHeight="1">
      <c r="A1394" s="3">
        <v>37817</v>
      </c>
      <c r="B1394" s="4">
        <v>32350</v>
      </c>
      <c r="D1394" s="5">
        <v>121650</v>
      </c>
      <c r="E1394" s="5">
        <f t="shared" si="34"/>
        <v>12675</v>
      </c>
      <c r="F1394" s="5">
        <v>166675</v>
      </c>
      <c r="K1394" s="24">
        <v>522.5</v>
      </c>
      <c r="L1394" s="6">
        <v>510.5</v>
      </c>
      <c r="M1394" s="270">
        <f t="shared" si="33"/>
        <v>-12</v>
      </c>
      <c r="N1394" s="7"/>
      <c r="O1394" s="277"/>
      <c r="P1394" s="345"/>
      <c r="V1394" s="383"/>
    </row>
    <row r="1395" spans="1:22" ht="15" customHeight="1">
      <c r="A1395" s="3">
        <v>37818</v>
      </c>
      <c r="B1395" s="4">
        <v>32150</v>
      </c>
      <c r="D1395" s="5">
        <v>121200</v>
      </c>
      <c r="E1395" s="5">
        <f t="shared" si="34"/>
        <v>12675</v>
      </c>
      <c r="F1395" s="5">
        <v>166025</v>
      </c>
      <c r="K1395" s="24">
        <v>520.5</v>
      </c>
      <c r="L1395" s="6">
        <v>511</v>
      </c>
      <c r="M1395" s="270">
        <f t="shared" si="33"/>
        <v>-9.5</v>
      </c>
      <c r="N1395" s="7"/>
      <c r="O1395" s="277"/>
      <c r="P1395" s="345"/>
      <c r="V1395" s="383"/>
    </row>
    <row r="1396" spans="1:22" ht="15" customHeight="1">
      <c r="A1396" s="3">
        <v>37819</v>
      </c>
      <c r="B1396" s="4">
        <v>32075</v>
      </c>
      <c r="D1396" s="5">
        <v>121200</v>
      </c>
      <c r="E1396" s="5">
        <f t="shared" si="34"/>
        <v>12675</v>
      </c>
      <c r="F1396" s="5">
        <v>165950</v>
      </c>
      <c r="K1396" s="24">
        <v>518</v>
      </c>
      <c r="L1396" s="6">
        <v>511</v>
      </c>
      <c r="M1396" s="270">
        <f t="shared" si="33"/>
        <v>-7</v>
      </c>
      <c r="N1396" s="7"/>
      <c r="O1396" s="277"/>
      <c r="P1396" s="345"/>
      <c r="V1396" s="383"/>
    </row>
    <row r="1397" spans="1:22" ht="15" customHeight="1">
      <c r="A1397" s="3">
        <v>37820</v>
      </c>
      <c r="B1397" s="4">
        <v>32375</v>
      </c>
      <c r="D1397" s="5">
        <v>121200</v>
      </c>
      <c r="E1397" s="5">
        <f t="shared" si="34"/>
        <v>12725</v>
      </c>
      <c r="F1397" s="5">
        <v>166300</v>
      </c>
      <c r="K1397" s="24">
        <v>528</v>
      </c>
      <c r="L1397" s="6">
        <v>513</v>
      </c>
      <c r="M1397" s="270">
        <f t="shared" si="33"/>
        <v>-15</v>
      </c>
      <c r="N1397" s="7"/>
      <c r="O1397" s="277"/>
      <c r="P1397" s="345"/>
      <c r="V1397" s="383"/>
    </row>
    <row r="1398" spans="1:22" ht="15" customHeight="1">
      <c r="A1398" s="3">
        <v>37823</v>
      </c>
      <c r="B1398" s="4">
        <v>31600</v>
      </c>
      <c r="D1398" s="5">
        <v>121200</v>
      </c>
      <c r="E1398" s="5">
        <f t="shared" si="34"/>
        <v>12725</v>
      </c>
      <c r="F1398" s="5">
        <v>165525</v>
      </c>
      <c r="K1398" s="24">
        <v>535</v>
      </c>
      <c r="L1398" s="6">
        <v>516</v>
      </c>
      <c r="M1398" s="270">
        <f t="shared" si="33"/>
        <v>-19</v>
      </c>
      <c r="N1398" s="7"/>
      <c r="O1398" s="277"/>
      <c r="P1398" s="345"/>
      <c r="V1398" s="383"/>
    </row>
    <row r="1399" spans="1:22" ht="15" customHeight="1">
      <c r="A1399" s="3">
        <v>37824</v>
      </c>
      <c r="B1399" s="4">
        <v>30950</v>
      </c>
      <c r="D1399" s="5">
        <v>121200</v>
      </c>
      <c r="E1399" s="5">
        <f t="shared" si="34"/>
        <v>12725</v>
      </c>
      <c r="F1399" s="5">
        <v>164875</v>
      </c>
      <c r="K1399" s="24">
        <v>508</v>
      </c>
      <c r="L1399" s="6">
        <v>511</v>
      </c>
      <c r="M1399" s="270">
        <f t="shared" ref="M1399:M1462" si="35">L1399-K1399</f>
        <v>3</v>
      </c>
      <c r="N1399" s="7"/>
      <c r="O1399" s="277"/>
      <c r="P1399" s="345"/>
      <c r="V1399" s="383"/>
    </row>
    <row r="1400" spans="1:22" ht="15" customHeight="1">
      <c r="A1400" s="3">
        <v>37825</v>
      </c>
      <c r="B1400" s="4">
        <v>30850</v>
      </c>
      <c r="D1400" s="5">
        <v>121275</v>
      </c>
      <c r="E1400" s="5">
        <f t="shared" si="34"/>
        <v>12725</v>
      </c>
      <c r="F1400" s="5">
        <v>164850</v>
      </c>
      <c r="K1400" s="24">
        <v>513</v>
      </c>
      <c r="L1400" s="6">
        <v>512</v>
      </c>
      <c r="M1400" s="270">
        <f t="shared" si="35"/>
        <v>-1</v>
      </c>
      <c r="N1400" s="7"/>
      <c r="O1400" s="277"/>
      <c r="P1400" s="345"/>
      <c r="V1400" s="383"/>
    </row>
    <row r="1401" spans="1:22" ht="15" customHeight="1">
      <c r="A1401" s="3">
        <v>37826</v>
      </c>
      <c r="B1401" s="4">
        <v>30850</v>
      </c>
      <c r="D1401" s="5">
        <v>121275</v>
      </c>
      <c r="E1401" s="5">
        <f t="shared" si="34"/>
        <v>12725</v>
      </c>
      <c r="F1401" s="5">
        <v>164850</v>
      </c>
      <c r="K1401" s="24">
        <v>518.5</v>
      </c>
      <c r="L1401" s="6">
        <v>515</v>
      </c>
      <c r="M1401" s="270">
        <f t="shared" si="35"/>
        <v>-3.5</v>
      </c>
      <c r="N1401" s="7"/>
      <c r="O1401" s="277"/>
      <c r="P1401" s="345"/>
      <c r="V1401" s="383"/>
    </row>
    <row r="1402" spans="1:22" ht="15" customHeight="1">
      <c r="A1402" s="3">
        <v>37827</v>
      </c>
      <c r="B1402" s="4">
        <v>30850</v>
      </c>
      <c r="D1402" s="5">
        <v>121400</v>
      </c>
      <c r="E1402" s="5">
        <f t="shared" si="34"/>
        <v>12775</v>
      </c>
      <c r="F1402" s="5">
        <v>165025</v>
      </c>
      <c r="K1402" s="24">
        <v>520</v>
      </c>
      <c r="L1402" s="6">
        <v>516.5</v>
      </c>
      <c r="M1402" s="270">
        <f t="shared" si="35"/>
        <v>-3.5</v>
      </c>
      <c r="N1402" s="7"/>
      <c r="O1402" s="277"/>
      <c r="P1402" s="345"/>
      <c r="V1402" s="383"/>
    </row>
    <row r="1403" spans="1:22" ht="15" customHeight="1">
      <c r="A1403" s="3">
        <v>37830</v>
      </c>
      <c r="B1403" s="4">
        <v>30750</v>
      </c>
      <c r="D1403" s="5">
        <v>121400</v>
      </c>
      <c r="E1403" s="5">
        <f t="shared" si="34"/>
        <v>12775</v>
      </c>
      <c r="F1403" s="5">
        <v>164925</v>
      </c>
      <c r="K1403" s="24">
        <v>525</v>
      </c>
      <c r="L1403" s="6">
        <v>526</v>
      </c>
      <c r="M1403" s="270">
        <f t="shared" si="35"/>
        <v>1</v>
      </c>
      <c r="N1403" s="7"/>
      <c r="O1403" s="277"/>
      <c r="P1403" s="345"/>
      <c r="V1403" s="383"/>
    </row>
    <row r="1404" spans="1:22" ht="15" customHeight="1">
      <c r="A1404" s="3">
        <v>37831</v>
      </c>
      <c r="B1404" s="4">
        <v>30750</v>
      </c>
      <c r="D1404" s="5">
        <v>121400</v>
      </c>
      <c r="E1404" s="5">
        <f t="shared" si="34"/>
        <v>12800</v>
      </c>
      <c r="F1404" s="5">
        <v>164950</v>
      </c>
      <c r="K1404" s="24">
        <v>526</v>
      </c>
      <c r="L1404" s="6">
        <v>526</v>
      </c>
      <c r="M1404" s="270">
        <f t="shared" si="35"/>
        <v>0</v>
      </c>
      <c r="N1404" s="7"/>
      <c r="O1404" s="277"/>
      <c r="P1404" s="345"/>
      <c r="V1404" s="383"/>
    </row>
    <row r="1405" spans="1:22" ht="15" customHeight="1">
      <c r="A1405" s="3">
        <v>37832</v>
      </c>
      <c r="B1405" s="4">
        <v>30550</v>
      </c>
      <c r="D1405" s="5">
        <v>121400</v>
      </c>
      <c r="E1405" s="5">
        <f t="shared" si="34"/>
        <v>12900</v>
      </c>
      <c r="F1405" s="5">
        <v>164850</v>
      </c>
      <c r="K1405" s="24">
        <v>529.5</v>
      </c>
      <c r="L1405" s="6">
        <v>528</v>
      </c>
      <c r="M1405" s="270">
        <f t="shared" si="35"/>
        <v>-1.5</v>
      </c>
      <c r="N1405" s="7"/>
      <c r="O1405" s="277"/>
      <c r="P1405" s="345"/>
      <c r="V1405" s="383"/>
    </row>
    <row r="1406" spans="1:22" ht="15" customHeight="1">
      <c r="A1406" s="3">
        <v>37833</v>
      </c>
      <c r="B1406" s="4">
        <v>30550</v>
      </c>
      <c r="D1406" s="5">
        <v>121600</v>
      </c>
      <c r="E1406" s="5">
        <f t="shared" si="34"/>
        <v>12925</v>
      </c>
      <c r="F1406" s="5">
        <v>165075</v>
      </c>
      <c r="K1406" s="24">
        <v>517</v>
      </c>
      <c r="L1406" s="6">
        <v>517</v>
      </c>
      <c r="M1406" s="270">
        <f t="shared" si="35"/>
        <v>0</v>
      </c>
      <c r="N1406" s="7"/>
      <c r="O1406" s="277"/>
      <c r="P1406" s="345"/>
      <c r="V1406" s="383"/>
    </row>
    <row r="1407" spans="1:22" ht="15" customHeight="1">
      <c r="A1407" s="3">
        <v>37834</v>
      </c>
      <c r="B1407" s="4">
        <v>30250</v>
      </c>
      <c r="D1407" s="5">
        <v>121600</v>
      </c>
      <c r="E1407" s="5">
        <f t="shared" si="34"/>
        <v>12925</v>
      </c>
      <c r="F1407" s="5">
        <v>164775</v>
      </c>
      <c r="K1407" s="24">
        <v>530</v>
      </c>
      <c r="L1407" s="6">
        <v>529</v>
      </c>
      <c r="M1407" s="270">
        <f t="shared" si="35"/>
        <v>-1</v>
      </c>
      <c r="N1407" s="7"/>
      <c r="O1407" s="277"/>
      <c r="P1407" s="345"/>
      <c r="V1407" s="383"/>
    </row>
    <row r="1408" spans="1:22" ht="15" customHeight="1">
      <c r="A1408" s="3">
        <v>37837</v>
      </c>
      <c r="B1408" s="4">
        <v>29975</v>
      </c>
      <c r="D1408" s="5">
        <v>121800</v>
      </c>
      <c r="E1408" s="5">
        <f t="shared" si="34"/>
        <v>12925</v>
      </c>
      <c r="F1408" s="5">
        <v>164700</v>
      </c>
      <c r="K1408" s="24">
        <v>516.5</v>
      </c>
      <c r="L1408" s="6">
        <v>518</v>
      </c>
      <c r="M1408" s="270">
        <f t="shared" si="35"/>
        <v>1.5</v>
      </c>
      <c r="N1408" s="7"/>
      <c r="O1408" s="277"/>
      <c r="P1408" s="345"/>
      <c r="V1408" s="383"/>
    </row>
    <row r="1409" spans="1:22" ht="15" customHeight="1">
      <c r="A1409" s="3">
        <v>37838</v>
      </c>
      <c r="B1409" s="4">
        <v>28925</v>
      </c>
      <c r="D1409" s="5">
        <v>121800</v>
      </c>
      <c r="E1409" s="5">
        <f t="shared" si="34"/>
        <v>12925</v>
      </c>
      <c r="F1409" s="5">
        <v>163650</v>
      </c>
      <c r="K1409" s="24">
        <v>529</v>
      </c>
      <c r="L1409" s="6">
        <v>525</v>
      </c>
      <c r="M1409" s="270">
        <f t="shared" si="35"/>
        <v>-4</v>
      </c>
      <c r="N1409" s="7"/>
      <c r="O1409" s="277"/>
      <c r="P1409" s="345"/>
      <c r="V1409" s="383"/>
    </row>
    <row r="1410" spans="1:22" ht="15" customHeight="1">
      <c r="A1410" s="3">
        <v>37839</v>
      </c>
      <c r="B1410" s="4">
        <v>28850</v>
      </c>
      <c r="D1410" s="5">
        <v>121875</v>
      </c>
      <c r="E1410" s="5">
        <f t="shared" si="34"/>
        <v>12925</v>
      </c>
      <c r="F1410" s="5">
        <v>163650</v>
      </c>
      <c r="K1410" s="24">
        <v>521.5</v>
      </c>
      <c r="L1410" s="6">
        <v>521</v>
      </c>
      <c r="M1410" s="270">
        <f t="shared" si="35"/>
        <v>-0.5</v>
      </c>
      <c r="N1410" s="7"/>
      <c r="O1410" s="277"/>
      <c r="P1410" s="345"/>
      <c r="V1410" s="383"/>
    </row>
    <row r="1411" spans="1:22" ht="15" customHeight="1">
      <c r="A1411" s="3">
        <v>37840</v>
      </c>
      <c r="B1411" s="4">
        <v>28850</v>
      </c>
      <c r="D1411" s="5">
        <v>121875</v>
      </c>
      <c r="E1411" s="5">
        <f t="shared" si="34"/>
        <v>12925</v>
      </c>
      <c r="F1411" s="5">
        <v>163650</v>
      </c>
      <c r="K1411" s="24">
        <v>519</v>
      </c>
      <c r="L1411" s="6">
        <v>522</v>
      </c>
      <c r="M1411" s="270">
        <f t="shared" si="35"/>
        <v>3</v>
      </c>
      <c r="N1411" s="7"/>
      <c r="O1411" s="277"/>
      <c r="P1411" s="345"/>
      <c r="V1411" s="383"/>
    </row>
    <row r="1412" spans="1:22" ht="15" customHeight="1">
      <c r="A1412" s="3">
        <v>37841</v>
      </c>
      <c r="B1412" s="4">
        <v>28325</v>
      </c>
      <c r="D1412" s="5">
        <v>122000</v>
      </c>
      <c r="E1412" s="5">
        <f t="shared" si="34"/>
        <v>12925</v>
      </c>
      <c r="F1412" s="5">
        <v>163250</v>
      </c>
      <c r="K1412" s="24">
        <v>519</v>
      </c>
      <c r="L1412" s="6">
        <v>522</v>
      </c>
      <c r="M1412" s="270">
        <f t="shared" si="35"/>
        <v>3</v>
      </c>
      <c r="N1412" s="7"/>
      <c r="O1412" s="277"/>
      <c r="P1412" s="345"/>
      <c r="V1412" s="383"/>
    </row>
    <row r="1413" spans="1:22" ht="15" customHeight="1">
      <c r="A1413" s="3">
        <v>37844</v>
      </c>
      <c r="B1413" s="4">
        <v>28250</v>
      </c>
      <c r="D1413" s="5">
        <v>122200</v>
      </c>
      <c r="E1413" s="5">
        <f t="shared" si="34"/>
        <v>12925</v>
      </c>
      <c r="F1413" s="5">
        <v>163375</v>
      </c>
      <c r="K1413" s="24">
        <v>499.5</v>
      </c>
      <c r="L1413" s="6">
        <v>505</v>
      </c>
      <c r="M1413" s="270">
        <f t="shared" si="35"/>
        <v>5.5</v>
      </c>
      <c r="N1413" s="7"/>
      <c r="O1413" s="277"/>
      <c r="P1413" s="345"/>
      <c r="V1413" s="383"/>
    </row>
    <row r="1414" spans="1:22" ht="15" customHeight="1">
      <c r="A1414" s="3">
        <v>37845</v>
      </c>
      <c r="B1414" s="4">
        <v>28225</v>
      </c>
      <c r="D1414" s="5">
        <v>122200</v>
      </c>
      <c r="E1414" s="5">
        <f t="shared" si="34"/>
        <v>12925</v>
      </c>
      <c r="F1414" s="5">
        <v>163350</v>
      </c>
      <c r="K1414" s="24">
        <v>504</v>
      </c>
      <c r="L1414" s="6">
        <v>510</v>
      </c>
      <c r="M1414" s="270">
        <f t="shared" si="35"/>
        <v>6</v>
      </c>
      <c r="N1414" s="7"/>
      <c r="O1414" s="277"/>
      <c r="P1414" s="345"/>
      <c r="V1414" s="383"/>
    </row>
    <row r="1415" spans="1:22" ht="15" customHeight="1">
      <c r="A1415" s="3">
        <v>37846</v>
      </c>
      <c r="B1415" s="4">
        <v>27575</v>
      </c>
      <c r="D1415" s="5">
        <v>122200</v>
      </c>
      <c r="E1415" s="5">
        <f t="shared" si="34"/>
        <v>12925</v>
      </c>
      <c r="F1415" s="5">
        <v>162700</v>
      </c>
      <c r="K1415" s="24">
        <v>477</v>
      </c>
      <c r="L1415" s="6">
        <v>483</v>
      </c>
      <c r="M1415" s="270">
        <f t="shared" si="35"/>
        <v>6</v>
      </c>
      <c r="N1415" s="7"/>
      <c r="O1415" s="277"/>
      <c r="P1415" s="345"/>
      <c r="V1415" s="383"/>
    </row>
    <row r="1416" spans="1:22" ht="15" customHeight="1">
      <c r="A1416" s="3">
        <v>37847</v>
      </c>
      <c r="B1416" s="4">
        <v>27575</v>
      </c>
      <c r="D1416" s="5">
        <v>122200</v>
      </c>
      <c r="E1416" s="5">
        <f t="shared" si="34"/>
        <v>12550</v>
      </c>
      <c r="F1416" s="5">
        <v>162325</v>
      </c>
      <c r="K1416" s="24">
        <v>469.5</v>
      </c>
      <c r="L1416" s="6">
        <v>477</v>
      </c>
      <c r="M1416" s="270">
        <f t="shared" si="35"/>
        <v>7.5</v>
      </c>
      <c r="N1416" s="7"/>
      <c r="O1416" s="277"/>
      <c r="P1416" s="345"/>
      <c r="V1416" s="383"/>
    </row>
    <row r="1417" spans="1:22" ht="15" customHeight="1">
      <c r="A1417" s="3">
        <v>37848</v>
      </c>
      <c r="B1417" s="4">
        <v>27200</v>
      </c>
      <c r="D1417" s="5">
        <v>122275</v>
      </c>
      <c r="E1417" s="5">
        <f t="shared" si="34"/>
        <v>12925</v>
      </c>
      <c r="F1417" s="5">
        <v>162400</v>
      </c>
      <c r="K1417" s="24">
        <v>477</v>
      </c>
      <c r="L1417" s="6">
        <v>481.5</v>
      </c>
      <c r="M1417" s="270">
        <f t="shared" si="35"/>
        <v>4.5</v>
      </c>
      <c r="N1417" s="7"/>
      <c r="O1417" s="277"/>
      <c r="P1417" s="345"/>
      <c r="V1417" s="383"/>
    </row>
    <row r="1418" spans="1:22" ht="15" customHeight="1">
      <c r="A1418" s="3">
        <v>37851</v>
      </c>
      <c r="B1418" s="4">
        <v>27200</v>
      </c>
      <c r="D1418" s="5">
        <v>122375</v>
      </c>
      <c r="E1418" s="5">
        <f t="shared" si="34"/>
        <v>12925</v>
      </c>
      <c r="F1418" s="5">
        <v>162500</v>
      </c>
      <c r="K1418" s="24">
        <v>474</v>
      </c>
      <c r="L1418" s="6">
        <v>479</v>
      </c>
      <c r="M1418" s="270">
        <f t="shared" si="35"/>
        <v>5</v>
      </c>
      <c r="N1418" s="7"/>
      <c r="O1418" s="277"/>
      <c r="P1418" s="345"/>
      <c r="V1418" s="383"/>
    </row>
    <row r="1419" spans="1:22" ht="15" customHeight="1">
      <c r="A1419" s="3">
        <v>37852</v>
      </c>
      <c r="B1419" s="4">
        <v>26975</v>
      </c>
      <c r="D1419" s="5">
        <v>122375</v>
      </c>
      <c r="E1419" s="5">
        <f t="shared" si="34"/>
        <v>12925</v>
      </c>
      <c r="F1419" s="5">
        <v>162275</v>
      </c>
      <c r="K1419" s="24">
        <v>477</v>
      </c>
      <c r="L1419" s="6">
        <v>485</v>
      </c>
      <c r="M1419" s="270">
        <f t="shared" si="35"/>
        <v>8</v>
      </c>
      <c r="N1419" s="7"/>
      <c r="O1419" s="277"/>
      <c r="P1419" s="345"/>
      <c r="V1419" s="383"/>
    </row>
    <row r="1420" spans="1:22" ht="15" customHeight="1">
      <c r="A1420" s="3">
        <v>37853</v>
      </c>
      <c r="B1420" s="4">
        <v>26975</v>
      </c>
      <c r="D1420" s="5">
        <v>122375</v>
      </c>
      <c r="E1420" s="5">
        <f t="shared" si="34"/>
        <v>12925</v>
      </c>
      <c r="F1420" s="5">
        <v>162275</v>
      </c>
      <c r="K1420" s="24">
        <v>484</v>
      </c>
      <c r="L1420" s="6">
        <v>489</v>
      </c>
      <c r="M1420" s="270">
        <f t="shared" si="35"/>
        <v>5</v>
      </c>
      <c r="N1420" s="7"/>
      <c r="O1420" s="277"/>
      <c r="P1420" s="345"/>
      <c r="V1420" s="383"/>
    </row>
    <row r="1421" spans="1:22" ht="15" customHeight="1">
      <c r="A1421" s="3">
        <v>37854</v>
      </c>
      <c r="B1421" s="4">
        <v>26850</v>
      </c>
      <c r="D1421" s="5">
        <v>122375</v>
      </c>
      <c r="E1421" s="5">
        <f t="shared" si="34"/>
        <v>12925</v>
      </c>
      <c r="F1421" s="5">
        <v>162150</v>
      </c>
      <c r="K1421" s="24">
        <v>483.5</v>
      </c>
      <c r="L1421" s="6">
        <v>489</v>
      </c>
      <c r="M1421" s="270">
        <f t="shared" si="35"/>
        <v>5.5</v>
      </c>
      <c r="N1421" s="7"/>
      <c r="O1421" s="277"/>
      <c r="P1421" s="345"/>
      <c r="V1421" s="383"/>
    </row>
    <row r="1422" spans="1:22" ht="15" customHeight="1">
      <c r="A1422" s="3">
        <v>37855</v>
      </c>
      <c r="B1422" s="4">
        <v>26825</v>
      </c>
      <c r="D1422" s="5">
        <v>122450</v>
      </c>
      <c r="E1422" s="5">
        <f t="shared" si="34"/>
        <v>12925</v>
      </c>
      <c r="F1422" s="5">
        <v>162200</v>
      </c>
      <c r="K1422" s="24">
        <v>491.5</v>
      </c>
      <c r="L1422" s="6">
        <v>497</v>
      </c>
      <c r="M1422" s="270">
        <f t="shared" si="35"/>
        <v>5.5</v>
      </c>
      <c r="N1422" s="7"/>
      <c r="O1422" s="277"/>
      <c r="P1422" s="345"/>
      <c r="V1422" s="383"/>
    </row>
    <row r="1423" spans="1:22" ht="15" customHeight="1">
      <c r="A1423" s="16">
        <v>37858</v>
      </c>
      <c r="B1423" s="17">
        <v>26825</v>
      </c>
      <c r="C1423" s="17"/>
      <c r="D1423" s="18">
        <v>122450</v>
      </c>
      <c r="E1423" s="18">
        <f>F1423-(B1423+D1423)</f>
        <v>12925</v>
      </c>
      <c r="F1423" s="18">
        <v>162200</v>
      </c>
      <c r="G1423" s="18"/>
      <c r="H1423" s="18"/>
      <c r="I1423" s="18"/>
      <c r="J1423" s="267"/>
      <c r="K1423" s="24">
        <v>491.5</v>
      </c>
      <c r="L1423" s="2">
        <v>497</v>
      </c>
      <c r="M1423" s="270">
        <f t="shared" si="35"/>
        <v>5.5</v>
      </c>
      <c r="N1423" s="7"/>
      <c r="O1423" s="277"/>
      <c r="P1423" s="345"/>
      <c r="V1423" s="383"/>
    </row>
    <row r="1424" spans="1:22" ht="15" customHeight="1">
      <c r="A1424" s="3">
        <v>37859</v>
      </c>
      <c r="B1424" s="4">
        <v>26825</v>
      </c>
      <c r="D1424" s="5">
        <v>122575</v>
      </c>
      <c r="E1424" s="5">
        <f t="shared" si="34"/>
        <v>12925</v>
      </c>
      <c r="F1424" s="5">
        <v>162325</v>
      </c>
      <c r="K1424" s="24">
        <v>493</v>
      </c>
      <c r="L1424" s="6">
        <v>496</v>
      </c>
      <c r="M1424" s="270">
        <f t="shared" si="35"/>
        <v>3</v>
      </c>
      <c r="N1424" s="7"/>
      <c r="O1424" s="277"/>
      <c r="P1424" s="345"/>
      <c r="V1424" s="383"/>
    </row>
    <row r="1425" spans="1:22" ht="15" customHeight="1">
      <c r="A1425" s="3">
        <v>37860</v>
      </c>
      <c r="B1425" s="4">
        <v>26775</v>
      </c>
      <c r="D1425" s="5">
        <v>122725</v>
      </c>
      <c r="E1425" s="5">
        <f t="shared" si="34"/>
        <v>12925</v>
      </c>
      <c r="F1425" s="5">
        <v>162425</v>
      </c>
      <c r="K1425" s="24">
        <v>480</v>
      </c>
      <c r="L1425" s="6">
        <v>487</v>
      </c>
      <c r="M1425" s="270">
        <f t="shared" si="35"/>
        <v>7</v>
      </c>
      <c r="N1425" s="7"/>
      <c r="O1425" s="277"/>
      <c r="P1425" s="345"/>
      <c r="V1425" s="383"/>
    </row>
    <row r="1426" spans="1:22" ht="15" customHeight="1">
      <c r="A1426" s="3">
        <v>37861</v>
      </c>
      <c r="B1426" s="4">
        <v>26125</v>
      </c>
      <c r="D1426" s="5">
        <v>122800</v>
      </c>
      <c r="E1426" s="5">
        <f t="shared" si="34"/>
        <v>12925</v>
      </c>
      <c r="F1426" s="5">
        <v>161850</v>
      </c>
      <c r="K1426" s="24">
        <v>488</v>
      </c>
      <c r="L1426" s="6">
        <v>492</v>
      </c>
      <c r="M1426" s="270">
        <f t="shared" si="35"/>
        <v>4</v>
      </c>
      <c r="N1426" s="7"/>
      <c r="O1426" s="277"/>
      <c r="P1426" s="345"/>
      <c r="V1426" s="383"/>
    </row>
    <row r="1427" spans="1:22" ht="15" customHeight="1">
      <c r="A1427" s="3">
        <v>37862</v>
      </c>
      <c r="B1427" s="4">
        <v>25775</v>
      </c>
      <c r="D1427" s="5">
        <v>122800</v>
      </c>
      <c r="E1427" s="5">
        <f t="shared" si="34"/>
        <v>12925</v>
      </c>
      <c r="F1427" s="5">
        <v>161500</v>
      </c>
      <c r="K1427" s="24">
        <v>497.5</v>
      </c>
      <c r="L1427" s="6">
        <v>499.5</v>
      </c>
      <c r="M1427" s="270">
        <f t="shared" si="35"/>
        <v>2</v>
      </c>
      <c r="N1427" s="7"/>
      <c r="O1427" s="277"/>
      <c r="P1427" s="345"/>
      <c r="V1427" s="383"/>
    </row>
    <row r="1428" spans="1:22" ht="15" customHeight="1">
      <c r="A1428" s="3">
        <v>37865</v>
      </c>
      <c r="B1428" s="4">
        <v>25750</v>
      </c>
      <c r="D1428" s="5">
        <v>122800</v>
      </c>
      <c r="E1428" s="5">
        <f t="shared" ref="E1428:E1473" si="36">F1428-(B1428+D1428)</f>
        <v>12925</v>
      </c>
      <c r="F1428" s="5">
        <v>161475</v>
      </c>
      <c r="K1428" s="24">
        <v>500</v>
      </c>
      <c r="L1428" s="6">
        <v>501</v>
      </c>
      <c r="M1428" s="270">
        <f t="shared" si="35"/>
        <v>1</v>
      </c>
      <c r="N1428" s="7"/>
      <c r="O1428" s="277"/>
      <c r="P1428" s="345"/>
      <c r="V1428" s="383"/>
    </row>
    <row r="1429" spans="1:22" ht="15" customHeight="1">
      <c r="A1429" s="3">
        <v>37866</v>
      </c>
      <c r="B1429" s="4">
        <v>25575</v>
      </c>
      <c r="D1429" s="5">
        <v>122800</v>
      </c>
      <c r="E1429" s="5">
        <f t="shared" si="36"/>
        <v>12925</v>
      </c>
      <c r="F1429" s="5">
        <v>161300</v>
      </c>
      <c r="K1429" s="24">
        <v>508</v>
      </c>
      <c r="L1429" s="6">
        <v>508</v>
      </c>
      <c r="M1429" s="270">
        <f t="shared" si="35"/>
        <v>0</v>
      </c>
      <c r="N1429" s="7"/>
      <c r="O1429" s="277"/>
      <c r="P1429" s="345"/>
      <c r="V1429" s="383"/>
    </row>
    <row r="1430" spans="1:22" ht="15" customHeight="1">
      <c r="A1430" s="3">
        <v>37867</v>
      </c>
      <c r="B1430" s="4">
        <v>24550</v>
      </c>
      <c r="D1430" s="5">
        <v>122800</v>
      </c>
      <c r="E1430" s="5">
        <f t="shared" si="36"/>
        <v>12925</v>
      </c>
      <c r="F1430" s="5">
        <v>160275</v>
      </c>
      <c r="K1430" s="24">
        <v>511.5</v>
      </c>
      <c r="L1430" s="6">
        <v>511.5</v>
      </c>
      <c r="M1430" s="270">
        <f t="shared" si="35"/>
        <v>0</v>
      </c>
      <c r="N1430" s="7"/>
      <c r="O1430" s="277"/>
      <c r="P1430" s="345"/>
      <c r="V1430" s="383"/>
    </row>
    <row r="1431" spans="1:22" ht="15" customHeight="1">
      <c r="A1431" s="3">
        <v>37868</v>
      </c>
      <c r="B1431" s="4">
        <v>22925</v>
      </c>
      <c r="D1431" s="5">
        <v>122800</v>
      </c>
      <c r="E1431" s="5">
        <f t="shared" si="36"/>
        <v>12925</v>
      </c>
      <c r="F1431" s="5">
        <v>158650</v>
      </c>
      <c r="K1431" s="24">
        <v>510</v>
      </c>
      <c r="L1431" s="6">
        <v>512</v>
      </c>
      <c r="M1431" s="270">
        <f t="shared" si="35"/>
        <v>2</v>
      </c>
      <c r="N1431" s="7"/>
      <c r="O1431" s="277"/>
      <c r="P1431" s="345"/>
      <c r="V1431" s="383"/>
    </row>
    <row r="1432" spans="1:22" ht="15" customHeight="1">
      <c r="A1432" s="3">
        <v>37869</v>
      </c>
      <c r="B1432" s="4">
        <v>22550</v>
      </c>
      <c r="D1432" s="5">
        <v>123100</v>
      </c>
      <c r="E1432" s="5">
        <f t="shared" si="36"/>
        <v>12925</v>
      </c>
      <c r="F1432" s="5">
        <v>158575</v>
      </c>
      <c r="K1432" s="24">
        <v>516.5</v>
      </c>
      <c r="L1432" s="6">
        <v>516.5</v>
      </c>
      <c r="M1432" s="270">
        <f t="shared" si="35"/>
        <v>0</v>
      </c>
      <c r="N1432" s="7"/>
      <c r="O1432" s="277"/>
      <c r="P1432" s="345"/>
      <c r="V1432" s="383"/>
    </row>
    <row r="1433" spans="1:22" ht="15" customHeight="1">
      <c r="A1433" s="3">
        <v>37872</v>
      </c>
      <c r="B1433" s="4">
        <v>20975</v>
      </c>
      <c r="D1433" s="5">
        <v>123200</v>
      </c>
      <c r="E1433" s="5">
        <f t="shared" si="36"/>
        <v>12925</v>
      </c>
      <c r="F1433" s="5">
        <v>157100</v>
      </c>
      <c r="K1433" s="24">
        <v>520</v>
      </c>
      <c r="L1433" s="6">
        <v>520</v>
      </c>
      <c r="M1433" s="270">
        <f t="shared" si="35"/>
        <v>0</v>
      </c>
      <c r="N1433" s="7"/>
      <c r="O1433" s="277"/>
      <c r="P1433" s="345"/>
      <c r="V1433" s="383"/>
    </row>
    <row r="1434" spans="1:22" ht="15" customHeight="1">
      <c r="A1434" s="3">
        <v>37873</v>
      </c>
      <c r="B1434" s="4">
        <v>20825</v>
      </c>
      <c r="D1434" s="5">
        <v>123200</v>
      </c>
      <c r="E1434" s="5">
        <f t="shared" si="36"/>
        <v>12925</v>
      </c>
      <c r="F1434" s="5">
        <v>156950</v>
      </c>
      <c r="K1434" s="24">
        <v>520</v>
      </c>
      <c r="L1434" s="6">
        <v>521</v>
      </c>
      <c r="M1434" s="270">
        <f t="shared" si="35"/>
        <v>1</v>
      </c>
      <c r="N1434" s="7"/>
      <c r="O1434" s="277"/>
      <c r="P1434" s="345"/>
      <c r="V1434" s="383"/>
    </row>
    <row r="1435" spans="1:22" ht="15" customHeight="1">
      <c r="A1435" s="3">
        <v>37874</v>
      </c>
      <c r="B1435" s="4">
        <v>20825</v>
      </c>
      <c r="D1435" s="5">
        <v>123325</v>
      </c>
      <c r="E1435" s="5">
        <f t="shared" si="36"/>
        <v>12925</v>
      </c>
      <c r="F1435" s="5">
        <v>157075</v>
      </c>
      <c r="K1435" s="24">
        <v>515</v>
      </c>
      <c r="L1435" s="6">
        <v>520</v>
      </c>
      <c r="M1435" s="270">
        <f t="shared" si="35"/>
        <v>5</v>
      </c>
      <c r="N1435" s="7"/>
      <c r="O1435" s="277"/>
      <c r="P1435" s="345"/>
      <c r="V1435" s="383"/>
    </row>
    <row r="1436" spans="1:22" ht="15" customHeight="1">
      <c r="A1436" s="3">
        <v>37875</v>
      </c>
      <c r="B1436" s="4">
        <v>20825</v>
      </c>
      <c r="D1436" s="5">
        <v>123325</v>
      </c>
      <c r="E1436" s="5">
        <f t="shared" si="36"/>
        <v>12925</v>
      </c>
      <c r="F1436" s="5">
        <v>157075</v>
      </c>
      <c r="K1436" s="24">
        <v>510</v>
      </c>
      <c r="L1436" s="6">
        <v>514</v>
      </c>
      <c r="M1436" s="270">
        <f t="shared" si="35"/>
        <v>4</v>
      </c>
      <c r="N1436" s="7"/>
      <c r="O1436" s="277"/>
      <c r="P1436" s="345"/>
      <c r="V1436" s="383"/>
    </row>
    <row r="1437" spans="1:22" ht="15" customHeight="1">
      <c r="A1437" s="3">
        <v>37876</v>
      </c>
      <c r="B1437" s="4">
        <v>20775</v>
      </c>
      <c r="D1437" s="5">
        <v>123325</v>
      </c>
      <c r="E1437" s="5">
        <f t="shared" si="36"/>
        <v>12925</v>
      </c>
      <c r="F1437" s="5">
        <v>157025</v>
      </c>
      <c r="K1437" s="24">
        <v>516</v>
      </c>
      <c r="L1437" s="6">
        <v>518.5</v>
      </c>
      <c r="M1437" s="270">
        <f t="shared" si="35"/>
        <v>2.5</v>
      </c>
      <c r="N1437" s="7"/>
      <c r="O1437" s="277"/>
      <c r="P1437" s="345"/>
      <c r="V1437" s="383"/>
    </row>
    <row r="1438" spans="1:22" ht="15" customHeight="1">
      <c r="A1438" s="3">
        <v>37879</v>
      </c>
      <c r="B1438" s="4">
        <v>20775</v>
      </c>
      <c r="D1438" s="5">
        <v>123425</v>
      </c>
      <c r="E1438" s="5">
        <f t="shared" si="36"/>
        <v>12925</v>
      </c>
      <c r="F1438" s="5">
        <v>157125</v>
      </c>
      <c r="K1438" s="24">
        <v>515</v>
      </c>
      <c r="L1438" s="6">
        <v>516</v>
      </c>
      <c r="M1438" s="270">
        <f t="shared" si="35"/>
        <v>1</v>
      </c>
      <c r="N1438" s="7"/>
      <c r="O1438" s="277"/>
      <c r="P1438" s="345"/>
      <c r="V1438" s="383"/>
    </row>
    <row r="1439" spans="1:22" ht="15" customHeight="1">
      <c r="A1439" s="3">
        <v>37880</v>
      </c>
      <c r="B1439" s="4">
        <v>21275</v>
      </c>
      <c r="D1439" s="5">
        <v>123500</v>
      </c>
      <c r="E1439" s="5">
        <f t="shared" si="36"/>
        <v>12925</v>
      </c>
      <c r="F1439" s="5">
        <v>157700</v>
      </c>
      <c r="K1439" s="24">
        <v>513.5</v>
      </c>
      <c r="L1439" s="6">
        <v>516</v>
      </c>
      <c r="M1439" s="270">
        <f t="shared" si="35"/>
        <v>2.5</v>
      </c>
      <c r="N1439" s="7"/>
      <c r="O1439" s="277"/>
      <c r="P1439" s="345"/>
      <c r="V1439" s="383"/>
    </row>
    <row r="1440" spans="1:22" ht="15" customHeight="1">
      <c r="A1440" s="3">
        <v>37881</v>
      </c>
      <c r="B1440" s="4">
        <v>22275</v>
      </c>
      <c r="D1440" s="5">
        <v>123500</v>
      </c>
      <c r="E1440" s="5">
        <f t="shared" si="36"/>
        <v>12900</v>
      </c>
      <c r="F1440" s="5">
        <v>158675</v>
      </c>
      <c r="K1440" s="24">
        <v>519</v>
      </c>
      <c r="L1440" s="6">
        <v>520</v>
      </c>
      <c r="M1440" s="270">
        <f t="shared" si="35"/>
        <v>1</v>
      </c>
      <c r="N1440" s="7"/>
      <c r="O1440" s="277"/>
      <c r="P1440" s="345"/>
      <c r="V1440" s="383"/>
    </row>
    <row r="1441" spans="1:22" ht="15" customHeight="1">
      <c r="A1441" s="3">
        <v>37882</v>
      </c>
      <c r="B1441" s="4">
        <v>22275</v>
      </c>
      <c r="D1441" s="5">
        <v>123500</v>
      </c>
      <c r="E1441" s="5">
        <f t="shared" si="36"/>
        <v>12900</v>
      </c>
      <c r="F1441" s="5">
        <v>158675</v>
      </c>
      <c r="K1441" s="24">
        <v>514.5</v>
      </c>
      <c r="L1441" s="6">
        <v>518</v>
      </c>
      <c r="M1441" s="270">
        <f t="shared" si="35"/>
        <v>3.5</v>
      </c>
      <c r="N1441" s="7"/>
      <c r="O1441" s="277"/>
      <c r="P1441" s="345"/>
      <c r="V1441" s="383"/>
    </row>
    <row r="1442" spans="1:22" ht="15" customHeight="1">
      <c r="A1442" s="3">
        <v>37883</v>
      </c>
      <c r="B1442" s="4">
        <v>22250</v>
      </c>
      <c r="D1442" s="5">
        <v>123800</v>
      </c>
      <c r="E1442" s="5">
        <f t="shared" si="36"/>
        <v>12900</v>
      </c>
      <c r="F1442" s="5">
        <v>158950</v>
      </c>
      <c r="K1442" s="24">
        <v>520</v>
      </c>
      <c r="L1442" s="6">
        <v>522</v>
      </c>
      <c r="M1442" s="270">
        <f t="shared" si="35"/>
        <v>2</v>
      </c>
      <c r="N1442" s="7"/>
      <c r="O1442" s="277"/>
      <c r="P1442" s="345"/>
      <c r="V1442" s="383"/>
    </row>
    <row r="1443" spans="1:22" ht="15" customHeight="1">
      <c r="A1443" s="3">
        <v>37886</v>
      </c>
      <c r="B1443" s="4">
        <v>21600</v>
      </c>
      <c r="D1443" s="5">
        <v>123800</v>
      </c>
      <c r="E1443" s="5">
        <f t="shared" si="36"/>
        <v>12900</v>
      </c>
      <c r="F1443" s="5">
        <v>158300</v>
      </c>
      <c r="K1443" s="24">
        <v>527</v>
      </c>
      <c r="L1443" s="6">
        <v>529</v>
      </c>
      <c r="M1443" s="270">
        <f t="shared" si="35"/>
        <v>2</v>
      </c>
      <c r="N1443" s="7"/>
      <c r="O1443" s="277"/>
      <c r="P1443" s="345"/>
      <c r="V1443" s="383"/>
    </row>
    <row r="1444" spans="1:22" ht="15" customHeight="1">
      <c r="A1444" s="3">
        <v>37887</v>
      </c>
      <c r="B1444" s="4">
        <v>20875</v>
      </c>
      <c r="D1444" s="5">
        <v>123800</v>
      </c>
      <c r="E1444" s="5">
        <f t="shared" si="36"/>
        <v>12900</v>
      </c>
      <c r="F1444" s="5">
        <v>157575</v>
      </c>
      <c r="K1444" s="24">
        <v>540.5</v>
      </c>
      <c r="L1444" s="6">
        <v>541.5</v>
      </c>
      <c r="M1444" s="270">
        <f t="shared" si="35"/>
        <v>1</v>
      </c>
      <c r="N1444" s="7"/>
      <c r="O1444" s="277"/>
      <c r="P1444" s="345"/>
      <c r="V1444" s="383"/>
    </row>
    <row r="1445" spans="1:22" ht="15" customHeight="1">
      <c r="A1445" s="3">
        <v>37888</v>
      </c>
      <c r="B1445" s="4">
        <v>20200</v>
      </c>
      <c r="D1445" s="5">
        <v>123925</v>
      </c>
      <c r="E1445" s="5">
        <f t="shared" si="36"/>
        <v>12900</v>
      </c>
      <c r="F1445" s="5">
        <v>157025</v>
      </c>
      <c r="K1445" s="24">
        <v>541</v>
      </c>
      <c r="L1445" s="6">
        <v>543</v>
      </c>
      <c r="M1445" s="270">
        <f t="shared" si="35"/>
        <v>2</v>
      </c>
      <c r="N1445" s="7"/>
      <c r="O1445" s="277"/>
      <c r="P1445" s="345"/>
      <c r="V1445" s="383"/>
    </row>
    <row r="1446" spans="1:22" ht="15" customHeight="1">
      <c r="A1446" s="3">
        <v>37889</v>
      </c>
      <c r="B1446" s="4">
        <v>19900</v>
      </c>
      <c r="D1446" s="5">
        <v>123925</v>
      </c>
      <c r="E1446" s="5">
        <f t="shared" si="36"/>
        <v>12900</v>
      </c>
      <c r="F1446" s="5">
        <v>156725</v>
      </c>
      <c r="K1446" s="24">
        <v>536</v>
      </c>
      <c r="L1446" s="6">
        <v>537</v>
      </c>
      <c r="M1446" s="270">
        <f t="shared" si="35"/>
        <v>1</v>
      </c>
      <c r="N1446" s="7"/>
      <c r="O1446" s="277"/>
      <c r="P1446" s="345"/>
      <c r="V1446" s="383"/>
    </row>
    <row r="1447" spans="1:22" ht="15" customHeight="1">
      <c r="A1447" s="3">
        <v>37890</v>
      </c>
      <c r="B1447" s="4">
        <v>19875</v>
      </c>
      <c r="D1447" s="5">
        <v>123925</v>
      </c>
      <c r="E1447" s="5">
        <f t="shared" si="36"/>
        <v>12900</v>
      </c>
      <c r="F1447" s="5">
        <v>156700</v>
      </c>
      <c r="K1447" s="24">
        <v>537</v>
      </c>
      <c r="L1447" s="6">
        <v>537</v>
      </c>
      <c r="M1447" s="270">
        <f t="shared" si="35"/>
        <v>0</v>
      </c>
      <c r="N1447" s="7"/>
      <c r="O1447" s="277"/>
      <c r="P1447" s="345"/>
      <c r="V1447" s="383"/>
    </row>
    <row r="1448" spans="1:22" ht="15" customHeight="1">
      <c r="A1448" s="3">
        <v>37893</v>
      </c>
      <c r="B1448" s="4">
        <v>19250</v>
      </c>
      <c r="D1448" s="5">
        <v>124250</v>
      </c>
      <c r="E1448" s="5">
        <f t="shared" si="36"/>
        <v>12900</v>
      </c>
      <c r="F1448" s="5">
        <v>156400</v>
      </c>
      <c r="K1448" s="24">
        <v>535</v>
      </c>
      <c r="L1448" s="6">
        <v>537</v>
      </c>
      <c r="M1448" s="270">
        <f t="shared" si="35"/>
        <v>2</v>
      </c>
      <c r="N1448" s="7"/>
      <c r="O1448" s="277"/>
      <c r="P1448" s="345"/>
      <c r="V1448" s="383"/>
    </row>
    <row r="1449" spans="1:22" ht="15" customHeight="1">
      <c r="A1449" s="3">
        <v>37894</v>
      </c>
      <c r="B1449" s="4">
        <v>18900</v>
      </c>
      <c r="D1449" s="5">
        <v>124325</v>
      </c>
      <c r="E1449" s="5">
        <f t="shared" si="36"/>
        <v>12900</v>
      </c>
      <c r="F1449" s="5">
        <v>156125</v>
      </c>
      <c r="K1449" s="24">
        <v>542.5</v>
      </c>
      <c r="L1449" s="6">
        <v>543</v>
      </c>
      <c r="M1449" s="270">
        <f t="shared" si="35"/>
        <v>0.5</v>
      </c>
      <c r="N1449" s="7"/>
      <c r="O1449" s="277"/>
      <c r="P1449" s="345"/>
      <c r="V1449" s="383"/>
    </row>
    <row r="1450" spans="1:22" ht="15" customHeight="1">
      <c r="A1450" s="3">
        <v>37895</v>
      </c>
      <c r="B1450" s="4">
        <v>17300</v>
      </c>
      <c r="D1450" s="5">
        <v>124325</v>
      </c>
      <c r="E1450" s="5">
        <f t="shared" si="36"/>
        <v>12900</v>
      </c>
      <c r="F1450" s="5">
        <v>154525</v>
      </c>
      <c r="K1450" s="24">
        <v>553.5</v>
      </c>
      <c r="L1450" s="6">
        <v>555</v>
      </c>
      <c r="M1450" s="270">
        <f t="shared" si="35"/>
        <v>1.5</v>
      </c>
      <c r="N1450" s="7"/>
      <c r="O1450" s="277"/>
      <c r="P1450" s="345"/>
      <c r="V1450" s="383"/>
    </row>
    <row r="1451" spans="1:22" ht="15" customHeight="1">
      <c r="A1451" s="3">
        <v>37896</v>
      </c>
      <c r="B1451" s="4">
        <v>15875</v>
      </c>
      <c r="D1451" s="5">
        <v>124325</v>
      </c>
      <c r="E1451" s="5">
        <f t="shared" si="36"/>
        <v>12900</v>
      </c>
      <c r="F1451" s="5">
        <v>153100</v>
      </c>
      <c r="K1451" s="24">
        <v>552</v>
      </c>
      <c r="L1451" s="6">
        <v>552</v>
      </c>
      <c r="M1451" s="270">
        <f t="shared" si="35"/>
        <v>0</v>
      </c>
      <c r="N1451" s="7"/>
      <c r="O1451" s="277"/>
      <c r="P1451" s="345"/>
      <c r="V1451" s="383"/>
    </row>
    <row r="1452" spans="1:22" ht="15" customHeight="1">
      <c r="A1452" s="3">
        <v>37897</v>
      </c>
      <c r="B1452" s="4">
        <v>15875</v>
      </c>
      <c r="D1452" s="5">
        <v>124400</v>
      </c>
      <c r="E1452" s="5">
        <f t="shared" si="36"/>
        <v>12875</v>
      </c>
      <c r="F1452" s="5">
        <v>153150</v>
      </c>
      <c r="K1452" s="24">
        <v>551</v>
      </c>
      <c r="L1452" s="6">
        <v>550.5</v>
      </c>
      <c r="M1452" s="270">
        <f t="shared" si="35"/>
        <v>-0.5</v>
      </c>
      <c r="N1452" s="7"/>
      <c r="O1452" s="277"/>
      <c r="P1452" s="345"/>
      <c r="V1452" s="383"/>
    </row>
    <row r="1453" spans="1:22" ht="15" customHeight="1">
      <c r="A1453" s="3">
        <v>37900</v>
      </c>
      <c r="B1453" s="4">
        <v>15800</v>
      </c>
      <c r="D1453" s="5">
        <v>124550</v>
      </c>
      <c r="E1453" s="5">
        <f t="shared" si="36"/>
        <v>12850</v>
      </c>
      <c r="F1453" s="5">
        <v>153200</v>
      </c>
      <c r="K1453" s="24">
        <v>555</v>
      </c>
      <c r="L1453" s="6">
        <v>555</v>
      </c>
      <c r="M1453" s="270">
        <f t="shared" si="35"/>
        <v>0</v>
      </c>
      <c r="N1453" s="7"/>
      <c r="O1453" s="277"/>
      <c r="P1453" s="345"/>
      <c r="V1453" s="383"/>
    </row>
    <row r="1454" spans="1:22" ht="15" customHeight="1">
      <c r="A1454" s="3">
        <v>37901</v>
      </c>
      <c r="B1454" s="4">
        <v>14550</v>
      </c>
      <c r="D1454" s="5">
        <v>124550</v>
      </c>
      <c r="E1454" s="5">
        <f t="shared" si="36"/>
        <v>12850</v>
      </c>
      <c r="F1454" s="5">
        <v>151950</v>
      </c>
      <c r="K1454" s="24">
        <v>560</v>
      </c>
      <c r="L1454" s="6">
        <v>562</v>
      </c>
      <c r="M1454" s="270">
        <f t="shared" si="35"/>
        <v>2</v>
      </c>
      <c r="N1454" s="7"/>
      <c r="O1454" s="277"/>
      <c r="P1454" s="345"/>
      <c r="V1454" s="383"/>
    </row>
    <row r="1455" spans="1:22" ht="15" customHeight="1">
      <c r="A1455" s="3">
        <v>37902</v>
      </c>
      <c r="B1455" s="4">
        <v>15825</v>
      </c>
      <c r="D1455" s="5">
        <v>124550</v>
      </c>
      <c r="E1455" s="5">
        <f t="shared" si="36"/>
        <v>12850</v>
      </c>
      <c r="F1455" s="5">
        <v>153225</v>
      </c>
      <c r="K1455" s="24">
        <v>562</v>
      </c>
      <c r="L1455" s="6">
        <v>564</v>
      </c>
      <c r="M1455" s="270">
        <f t="shared" si="35"/>
        <v>2</v>
      </c>
      <c r="N1455" s="7"/>
      <c r="O1455" s="277"/>
      <c r="P1455" s="345"/>
      <c r="V1455" s="383"/>
    </row>
    <row r="1456" spans="1:22" ht="15" customHeight="1">
      <c r="A1456" s="3">
        <v>37903</v>
      </c>
      <c r="B1456" s="4">
        <v>15650</v>
      </c>
      <c r="D1456" s="5">
        <v>124550</v>
      </c>
      <c r="E1456" s="5">
        <f t="shared" si="36"/>
        <v>12850</v>
      </c>
      <c r="F1456" s="5">
        <v>153050</v>
      </c>
      <c r="K1456" s="24">
        <v>573</v>
      </c>
      <c r="L1456" s="6">
        <v>571.5</v>
      </c>
      <c r="M1456" s="270">
        <f t="shared" si="35"/>
        <v>-1.5</v>
      </c>
      <c r="N1456" s="7"/>
      <c r="O1456" s="277"/>
      <c r="P1456" s="345"/>
      <c r="V1456" s="383"/>
    </row>
    <row r="1457" spans="1:22" ht="15" customHeight="1">
      <c r="A1457" s="3">
        <v>37904</v>
      </c>
      <c r="B1457" s="4">
        <v>14900</v>
      </c>
      <c r="D1457" s="5">
        <v>124750</v>
      </c>
      <c r="E1457" s="5">
        <f t="shared" si="36"/>
        <v>12850</v>
      </c>
      <c r="F1457" s="5">
        <v>152500</v>
      </c>
      <c r="K1457" s="24">
        <v>568</v>
      </c>
      <c r="L1457" s="6">
        <v>565</v>
      </c>
      <c r="M1457" s="270">
        <f t="shared" si="35"/>
        <v>-3</v>
      </c>
      <c r="N1457" s="7"/>
      <c r="O1457" s="277"/>
      <c r="P1457" s="345"/>
      <c r="V1457" s="383"/>
    </row>
    <row r="1458" spans="1:22" ht="15" customHeight="1">
      <c r="A1458" s="3">
        <v>37907</v>
      </c>
      <c r="B1458" s="4">
        <v>14150</v>
      </c>
      <c r="D1458" s="5">
        <v>124925</v>
      </c>
      <c r="E1458" s="5">
        <f t="shared" si="36"/>
        <v>15900</v>
      </c>
      <c r="F1458" s="5">
        <v>154975</v>
      </c>
      <c r="K1458" s="24">
        <v>615</v>
      </c>
      <c r="L1458" s="6">
        <v>587</v>
      </c>
      <c r="M1458" s="270">
        <f t="shared" si="35"/>
        <v>-28</v>
      </c>
      <c r="N1458" s="7"/>
      <c r="O1458" s="277"/>
      <c r="P1458" s="345"/>
      <c r="V1458" s="383"/>
    </row>
    <row r="1459" spans="1:22" ht="15" customHeight="1">
      <c r="A1459" s="3">
        <v>37908</v>
      </c>
      <c r="B1459" s="4">
        <v>12850</v>
      </c>
      <c r="D1459" s="5">
        <v>124925</v>
      </c>
      <c r="E1459" s="5">
        <f t="shared" si="36"/>
        <v>15900</v>
      </c>
      <c r="F1459" s="5">
        <v>153675</v>
      </c>
      <c r="K1459" s="24">
        <v>594</v>
      </c>
      <c r="L1459" s="6">
        <v>583.5</v>
      </c>
      <c r="M1459" s="270">
        <f t="shared" si="35"/>
        <v>-10.5</v>
      </c>
      <c r="N1459" s="7"/>
      <c r="O1459" s="277"/>
      <c r="P1459" s="345"/>
      <c r="V1459" s="383"/>
    </row>
    <row r="1460" spans="1:22" ht="15" customHeight="1">
      <c r="A1460" s="3">
        <v>37909</v>
      </c>
      <c r="B1460" s="4">
        <v>12850</v>
      </c>
      <c r="D1460" s="5">
        <v>124925</v>
      </c>
      <c r="E1460" s="5">
        <f t="shared" si="36"/>
        <v>16800</v>
      </c>
      <c r="F1460" s="5">
        <v>154575</v>
      </c>
      <c r="K1460" s="24">
        <v>577.5</v>
      </c>
      <c r="L1460" s="6">
        <v>570</v>
      </c>
      <c r="M1460" s="270">
        <f t="shared" si="35"/>
        <v>-7.5</v>
      </c>
      <c r="N1460" s="7"/>
      <c r="O1460" s="277"/>
      <c r="P1460" s="345"/>
      <c r="V1460" s="383"/>
    </row>
    <row r="1461" spans="1:22" ht="15" customHeight="1">
      <c r="A1461" s="3">
        <v>37910</v>
      </c>
      <c r="B1461" s="4">
        <v>12575</v>
      </c>
      <c r="D1461" s="5">
        <v>124925</v>
      </c>
      <c r="E1461" s="5">
        <f t="shared" si="36"/>
        <v>16775</v>
      </c>
      <c r="F1461" s="5">
        <v>154275</v>
      </c>
      <c r="K1461" s="24">
        <v>581</v>
      </c>
      <c r="L1461" s="6">
        <v>578</v>
      </c>
      <c r="M1461" s="270">
        <f t="shared" si="35"/>
        <v>-3</v>
      </c>
      <c r="N1461" s="7"/>
      <c r="O1461" s="277"/>
      <c r="P1461" s="345"/>
      <c r="V1461" s="383"/>
    </row>
    <row r="1462" spans="1:22" ht="15" customHeight="1">
      <c r="A1462" s="3">
        <v>37911</v>
      </c>
      <c r="B1462" s="4">
        <v>11700</v>
      </c>
      <c r="D1462" s="5">
        <v>124925</v>
      </c>
      <c r="E1462" s="5">
        <f t="shared" si="36"/>
        <v>16750</v>
      </c>
      <c r="F1462" s="5">
        <v>153375</v>
      </c>
      <c r="K1462" s="24">
        <v>588</v>
      </c>
      <c r="L1462" s="6">
        <v>586</v>
      </c>
      <c r="M1462" s="270">
        <f t="shared" si="35"/>
        <v>-2</v>
      </c>
      <c r="N1462" s="7"/>
      <c r="O1462" s="277"/>
      <c r="P1462" s="345"/>
      <c r="V1462" s="383"/>
    </row>
    <row r="1463" spans="1:22" ht="15" customHeight="1">
      <c r="A1463" s="3">
        <v>37914</v>
      </c>
      <c r="B1463" s="4">
        <v>11300</v>
      </c>
      <c r="D1463" s="5">
        <v>125100</v>
      </c>
      <c r="E1463" s="5">
        <f t="shared" si="36"/>
        <v>16750</v>
      </c>
      <c r="F1463" s="5">
        <v>153150</v>
      </c>
      <c r="K1463" s="24">
        <v>594</v>
      </c>
      <c r="L1463" s="6">
        <v>589</v>
      </c>
      <c r="M1463" s="270">
        <f t="shared" ref="M1463:M1526" si="37">L1463-K1463</f>
        <v>-5</v>
      </c>
      <c r="N1463" s="7"/>
      <c r="O1463" s="277"/>
      <c r="P1463" s="345"/>
      <c r="V1463" s="383"/>
    </row>
    <row r="1464" spans="1:22" ht="15" customHeight="1">
      <c r="A1464" s="3">
        <v>37915</v>
      </c>
      <c r="B1464" s="4">
        <v>10350</v>
      </c>
      <c r="D1464" s="5">
        <v>125100</v>
      </c>
      <c r="E1464" s="5">
        <f t="shared" si="36"/>
        <v>16200</v>
      </c>
      <c r="F1464" s="5">
        <v>151650</v>
      </c>
      <c r="K1464" s="24">
        <v>598</v>
      </c>
      <c r="L1464" s="6">
        <v>593</v>
      </c>
      <c r="M1464" s="270">
        <f t="shared" si="37"/>
        <v>-5</v>
      </c>
      <c r="N1464" s="7"/>
      <c r="O1464" s="277"/>
      <c r="P1464" s="345"/>
      <c r="V1464" s="383"/>
    </row>
    <row r="1465" spans="1:22" ht="15" customHeight="1">
      <c r="A1465" s="3">
        <v>37916</v>
      </c>
      <c r="B1465" s="4">
        <v>10075</v>
      </c>
      <c r="D1465" s="5">
        <v>125175</v>
      </c>
      <c r="E1465" s="5">
        <f t="shared" si="36"/>
        <v>16200</v>
      </c>
      <c r="F1465" s="5">
        <v>151450</v>
      </c>
      <c r="K1465" s="24">
        <v>608</v>
      </c>
      <c r="L1465" s="6">
        <v>606</v>
      </c>
      <c r="M1465" s="270">
        <f t="shared" si="37"/>
        <v>-2</v>
      </c>
      <c r="N1465" s="7"/>
      <c r="O1465" s="277"/>
      <c r="P1465" s="345"/>
      <c r="V1465" s="383"/>
    </row>
    <row r="1466" spans="1:22" ht="15" customHeight="1">
      <c r="A1466" s="3">
        <v>37917</v>
      </c>
      <c r="B1466" s="4">
        <v>10075</v>
      </c>
      <c r="D1466" s="5">
        <v>125175</v>
      </c>
      <c r="E1466" s="5">
        <f t="shared" si="36"/>
        <v>16200</v>
      </c>
      <c r="F1466" s="5">
        <v>151450</v>
      </c>
      <c r="K1466" s="24">
        <v>598</v>
      </c>
      <c r="L1466" s="6">
        <v>592.5</v>
      </c>
      <c r="M1466" s="270">
        <f t="shared" si="37"/>
        <v>-5.5</v>
      </c>
      <c r="N1466" s="7"/>
      <c r="O1466" s="277"/>
      <c r="P1466" s="345"/>
      <c r="V1466" s="383"/>
    </row>
    <row r="1467" spans="1:22" ht="15" customHeight="1">
      <c r="A1467" s="3">
        <v>37918</v>
      </c>
      <c r="B1467" s="4">
        <v>10075</v>
      </c>
      <c r="D1467" s="5">
        <v>125325</v>
      </c>
      <c r="E1467" s="5">
        <f t="shared" si="36"/>
        <v>16150</v>
      </c>
      <c r="F1467" s="5">
        <v>151550</v>
      </c>
      <c r="K1467" s="24">
        <v>605.5</v>
      </c>
      <c r="L1467" s="6">
        <v>600.5</v>
      </c>
      <c r="M1467" s="270">
        <f t="shared" si="37"/>
        <v>-5</v>
      </c>
      <c r="N1467" s="7"/>
      <c r="O1467" s="277"/>
      <c r="P1467" s="345"/>
      <c r="V1467" s="383"/>
    </row>
    <row r="1468" spans="1:22" ht="15" customHeight="1">
      <c r="A1468" s="3">
        <v>37921</v>
      </c>
      <c r="B1468" s="4">
        <v>10075</v>
      </c>
      <c r="D1468" s="5">
        <v>125325</v>
      </c>
      <c r="E1468" s="5">
        <f t="shared" si="36"/>
        <v>16150</v>
      </c>
      <c r="F1468" s="5">
        <v>151550</v>
      </c>
      <c r="K1468" s="24">
        <v>599</v>
      </c>
      <c r="L1468" s="6">
        <v>599</v>
      </c>
      <c r="M1468" s="270">
        <f t="shared" si="37"/>
        <v>0</v>
      </c>
      <c r="N1468" s="7"/>
      <c r="O1468" s="277"/>
      <c r="P1468" s="345"/>
      <c r="V1468" s="383"/>
    </row>
    <row r="1469" spans="1:22" ht="15" customHeight="1">
      <c r="A1469" s="3">
        <v>37922</v>
      </c>
      <c r="B1469" s="4">
        <v>10175</v>
      </c>
      <c r="D1469" s="5">
        <v>125400</v>
      </c>
      <c r="E1469" s="5">
        <f t="shared" si="36"/>
        <v>14900</v>
      </c>
      <c r="F1469" s="5">
        <v>150475</v>
      </c>
      <c r="K1469" s="24">
        <v>608</v>
      </c>
      <c r="L1469" s="6">
        <v>608</v>
      </c>
      <c r="M1469" s="270">
        <f t="shared" si="37"/>
        <v>0</v>
      </c>
      <c r="N1469" s="7"/>
      <c r="O1469" s="277"/>
      <c r="P1469" s="345"/>
      <c r="V1469" s="383"/>
    </row>
    <row r="1470" spans="1:22" ht="15" customHeight="1">
      <c r="A1470" s="3">
        <v>37923</v>
      </c>
      <c r="B1470" s="4">
        <v>10175</v>
      </c>
      <c r="D1470" s="5">
        <v>125575</v>
      </c>
      <c r="E1470" s="5">
        <f t="shared" si="36"/>
        <v>14900</v>
      </c>
      <c r="F1470" s="5">
        <v>150650</v>
      </c>
      <c r="K1470" s="24">
        <v>617</v>
      </c>
      <c r="L1470" s="6">
        <v>615</v>
      </c>
      <c r="M1470" s="270">
        <f t="shared" si="37"/>
        <v>-2</v>
      </c>
      <c r="N1470" s="7"/>
      <c r="O1470" s="277"/>
      <c r="P1470" s="345"/>
      <c r="V1470" s="383"/>
    </row>
    <row r="1471" spans="1:22" ht="15" customHeight="1">
      <c r="A1471" s="3">
        <v>37924</v>
      </c>
      <c r="B1471" s="4">
        <v>9975</v>
      </c>
      <c r="D1471" s="5">
        <v>125600</v>
      </c>
      <c r="E1471" s="5">
        <f t="shared" si="36"/>
        <v>14900</v>
      </c>
      <c r="F1471" s="5">
        <v>150475</v>
      </c>
      <c r="K1471" s="24">
        <v>620</v>
      </c>
      <c r="L1471" s="6">
        <v>620.5</v>
      </c>
      <c r="M1471" s="270">
        <f t="shared" si="37"/>
        <v>0.5</v>
      </c>
      <c r="N1471" s="7"/>
      <c r="O1471" s="277"/>
      <c r="P1471" s="345"/>
      <c r="V1471" s="383"/>
    </row>
    <row r="1472" spans="1:22" ht="15" customHeight="1">
      <c r="A1472" s="3">
        <v>37925</v>
      </c>
      <c r="B1472" s="4">
        <v>9950</v>
      </c>
      <c r="D1472" s="5">
        <v>125600</v>
      </c>
      <c r="E1472" s="5">
        <f t="shared" si="36"/>
        <v>14900</v>
      </c>
      <c r="F1472" s="5">
        <v>150450</v>
      </c>
      <c r="K1472" s="24">
        <v>631</v>
      </c>
      <c r="L1472" s="6">
        <v>625</v>
      </c>
      <c r="M1472" s="270">
        <f t="shared" si="37"/>
        <v>-6</v>
      </c>
      <c r="N1472" s="7"/>
      <c r="O1472" s="277"/>
      <c r="P1472" s="345"/>
      <c r="V1472" s="383"/>
    </row>
    <row r="1473" spans="1:22" ht="15" customHeight="1">
      <c r="A1473" s="3">
        <v>37928</v>
      </c>
      <c r="B1473" s="4">
        <v>9850</v>
      </c>
      <c r="D1473" s="5">
        <v>125825</v>
      </c>
      <c r="E1473" s="5">
        <f t="shared" si="36"/>
        <v>14900</v>
      </c>
      <c r="F1473" s="5">
        <v>150575</v>
      </c>
      <c r="K1473" s="24">
        <v>620</v>
      </c>
      <c r="L1473" s="6">
        <v>609</v>
      </c>
      <c r="M1473" s="270">
        <f t="shared" si="37"/>
        <v>-11</v>
      </c>
      <c r="N1473" s="7"/>
      <c r="O1473" s="277"/>
      <c r="P1473" s="345"/>
      <c r="V1473" s="383"/>
    </row>
    <row r="1474" spans="1:22" ht="15" customHeight="1">
      <c r="A1474" s="3">
        <v>37929</v>
      </c>
      <c r="B1474" s="4">
        <v>9350</v>
      </c>
      <c r="D1474" s="5">
        <v>125825</v>
      </c>
      <c r="E1474" s="5">
        <f t="shared" ref="E1474:E1518" si="38">F1474-(B1474+D1474)</f>
        <v>14875</v>
      </c>
      <c r="F1474" s="5">
        <v>150050</v>
      </c>
      <c r="K1474" s="24">
        <v>624</v>
      </c>
      <c r="L1474" s="6">
        <v>617</v>
      </c>
      <c r="M1474" s="270">
        <f t="shared" si="37"/>
        <v>-7</v>
      </c>
      <c r="N1474" s="7"/>
      <c r="O1474" s="277"/>
      <c r="P1474" s="345"/>
      <c r="V1474" s="383"/>
    </row>
    <row r="1475" spans="1:22" ht="15" customHeight="1">
      <c r="A1475" s="3">
        <v>37930</v>
      </c>
      <c r="B1475" s="4">
        <v>9325</v>
      </c>
      <c r="D1475" s="5">
        <v>125825</v>
      </c>
      <c r="E1475" s="5">
        <f t="shared" si="38"/>
        <v>13625</v>
      </c>
      <c r="F1475" s="5">
        <v>148775</v>
      </c>
      <c r="K1475" s="24">
        <v>630</v>
      </c>
      <c r="L1475" s="6">
        <v>624</v>
      </c>
      <c r="M1475" s="270">
        <f t="shared" si="37"/>
        <v>-6</v>
      </c>
      <c r="N1475" s="7"/>
      <c r="O1475" s="277"/>
      <c r="P1475" s="345"/>
      <c r="V1475" s="383"/>
    </row>
    <row r="1476" spans="1:22" ht="15" customHeight="1">
      <c r="A1476" s="3">
        <v>37931</v>
      </c>
      <c r="B1476" s="4">
        <v>8825</v>
      </c>
      <c r="D1476" s="5">
        <v>125825</v>
      </c>
      <c r="E1476" s="5">
        <f t="shared" si="38"/>
        <v>13625</v>
      </c>
      <c r="F1476" s="5">
        <v>148275</v>
      </c>
      <c r="K1476" s="24">
        <v>628</v>
      </c>
      <c r="L1476" s="6">
        <v>627</v>
      </c>
      <c r="M1476" s="270">
        <f t="shared" si="37"/>
        <v>-1</v>
      </c>
      <c r="N1476" s="7"/>
      <c r="O1476" s="277"/>
      <c r="P1476" s="345"/>
      <c r="V1476" s="383"/>
    </row>
    <row r="1477" spans="1:22" ht="15" customHeight="1">
      <c r="A1477" s="3">
        <v>37932</v>
      </c>
      <c r="B1477" s="4">
        <v>7825</v>
      </c>
      <c r="D1477" s="5">
        <v>126175</v>
      </c>
      <c r="E1477" s="5">
        <f t="shared" si="38"/>
        <v>13625</v>
      </c>
      <c r="F1477" s="5">
        <v>147625</v>
      </c>
      <c r="K1477" s="24">
        <v>615</v>
      </c>
      <c r="L1477" s="6">
        <v>610</v>
      </c>
      <c r="M1477" s="270">
        <f t="shared" si="37"/>
        <v>-5</v>
      </c>
      <c r="N1477" s="7"/>
      <c r="O1477" s="277"/>
      <c r="P1477" s="345"/>
      <c r="V1477" s="383"/>
    </row>
    <row r="1478" spans="1:22" ht="15" customHeight="1">
      <c r="A1478" s="3">
        <v>37935</v>
      </c>
      <c r="B1478" s="4">
        <v>7825</v>
      </c>
      <c r="D1478" s="5">
        <v>126250</v>
      </c>
      <c r="E1478" s="5">
        <f t="shared" si="38"/>
        <v>13625</v>
      </c>
      <c r="F1478" s="5">
        <v>147700</v>
      </c>
      <c r="K1478" s="24">
        <v>611</v>
      </c>
      <c r="L1478" s="6">
        <v>610</v>
      </c>
      <c r="M1478" s="270">
        <f t="shared" si="37"/>
        <v>-1</v>
      </c>
      <c r="N1478" s="7"/>
      <c r="O1478" s="277"/>
      <c r="P1478" s="345"/>
      <c r="V1478" s="383"/>
    </row>
    <row r="1479" spans="1:22" ht="15" customHeight="1">
      <c r="A1479" s="3">
        <v>37936</v>
      </c>
      <c r="B1479" s="4">
        <v>7600</v>
      </c>
      <c r="D1479" s="5">
        <v>126350</v>
      </c>
      <c r="E1479" s="5">
        <f t="shared" si="38"/>
        <v>13625</v>
      </c>
      <c r="F1479" s="5">
        <v>147575</v>
      </c>
      <c r="K1479" s="24">
        <v>613</v>
      </c>
      <c r="L1479" s="6">
        <v>613</v>
      </c>
      <c r="M1479" s="270">
        <f t="shared" si="37"/>
        <v>0</v>
      </c>
      <c r="N1479" s="7"/>
      <c r="O1479" s="277"/>
      <c r="P1479" s="345"/>
      <c r="V1479" s="383"/>
    </row>
    <row r="1480" spans="1:22" ht="15" customHeight="1">
      <c r="A1480" s="3">
        <v>37937</v>
      </c>
      <c r="B1480" s="4">
        <v>7600</v>
      </c>
      <c r="D1480" s="5">
        <v>126425</v>
      </c>
      <c r="E1480" s="5">
        <f t="shared" si="38"/>
        <v>13625</v>
      </c>
      <c r="F1480" s="5">
        <v>147650</v>
      </c>
      <c r="K1480" s="24">
        <v>621</v>
      </c>
      <c r="L1480" s="6">
        <v>623</v>
      </c>
      <c r="M1480" s="270">
        <f t="shared" si="37"/>
        <v>2</v>
      </c>
      <c r="N1480" s="7"/>
      <c r="O1480" s="277"/>
      <c r="P1480" s="345"/>
      <c r="V1480" s="383"/>
    </row>
    <row r="1481" spans="1:22" ht="15" customHeight="1">
      <c r="A1481" s="3">
        <v>37938</v>
      </c>
      <c r="B1481" s="4">
        <v>7600</v>
      </c>
      <c r="D1481" s="5">
        <v>126525</v>
      </c>
      <c r="E1481" s="5">
        <f t="shared" si="38"/>
        <v>13625</v>
      </c>
      <c r="F1481" s="5">
        <v>147750</v>
      </c>
      <c r="K1481" s="24">
        <v>632</v>
      </c>
      <c r="L1481" s="6">
        <v>632</v>
      </c>
      <c r="M1481" s="270">
        <f t="shared" si="37"/>
        <v>0</v>
      </c>
      <c r="N1481" s="7"/>
      <c r="O1481" s="277"/>
      <c r="P1481" s="345"/>
      <c r="V1481" s="383"/>
    </row>
    <row r="1482" spans="1:22" ht="15" customHeight="1">
      <c r="A1482" s="3">
        <v>37939</v>
      </c>
      <c r="B1482" s="4">
        <v>7600</v>
      </c>
      <c r="D1482" s="5">
        <v>126575</v>
      </c>
      <c r="E1482" s="5">
        <f t="shared" si="38"/>
        <v>13625</v>
      </c>
      <c r="F1482" s="5">
        <v>147800</v>
      </c>
      <c r="K1482" s="24">
        <v>629.5</v>
      </c>
      <c r="L1482" s="6">
        <v>631.5</v>
      </c>
      <c r="M1482" s="270">
        <f t="shared" si="37"/>
        <v>2</v>
      </c>
      <c r="N1482" s="7"/>
      <c r="O1482" s="277"/>
      <c r="P1482" s="345"/>
      <c r="V1482" s="383"/>
    </row>
    <row r="1483" spans="1:22" ht="15" customHeight="1">
      <c r="A1483" s="3">
        <v>37942</v>
      </c>
      <c r="B1483" s="4">
        <v>7175</v>
      </c>
      <c r="D1483" s="5">
        <v>125725</v>
      </c>
      <c r="E1483" s="5">
        <f t="shared" si="38"/>
        <v>13625</v>
      </c>
      <c r="F1483" s="5">
        <v>146525</v>
      </c>
      <c r="K1483" s="24">
        <v>626</v>
      </c>
      <c r="L1483" s="6">
        <v>631</v>
      </c>
      <c r="M1483" s="270">
        <f t="shared" si="37"/>
        <v>5</v>
      </c>
      <c r="N1483" s="7"/>
      <c r="O1483" s="277"/>
      <c r="P1483" s="345"/>
      <c r="V1483" s="383"/>
    </row>
    <row r="1484" spans="1:22" ht="15" customHeight="1">
      <c r="A1484" s="3">
        <v>37943</v>
      </c>
      <c r="B1484" s="4">
        <v>7000</v>
      </c>
      <c r="D1484" s="5">
        <v>121625</v>
      </c>
      <c r="E1484" s="5">
        <f t="shared" si="38"/>
        <v>13625</v>
      </c>
      <c r="F1484" s="5">
        <v>142250</v>
      </c>
      <c r="K1484" s="24">
        <v>609.5</v>
      </c>
      <c r="L1484" s="6">
        <v>615</v>
      </c>
      <c r="M1484" s="270">
        <f t="shared" si="37"/>
        <v>5.5</v>
      </c>
      <c r="N1484" s="7"/>
      <c r="O1484" s="277"/>
      <c r="P1484" s="345"/>
      <c r="V1484" s="383"/>
    </row>
    <row r="1485" spans="1:22" ht="15" customHeight="1">
      <c r="A1485" s="3">
        <v>37944</v>
      </c>
      <c r="B1485" s="4">
        <v>6500</v>
      </c>
      <c r="D1485" s="5">
        <v>121050</v>
      </c>
      <c r="E1485" s="5">
        <f t="shared" si="38"/>
        <v>13625</v>
      </c>
      <c r="F1485" s="5">
        <v>141175</v>
      </c>
      <c r="K1485" s="24">
        <v>608.5</v>
      </c>
      <c r="L1485" s="6">
        <v>615</v>
      </c>
      <c r="M1485" s="270">
        <f t="shared" si="37"/>
        <v>6.5</v>
      </c>
      <c r="N1485" s="7"/>
      <c r="O1485" s="277"/>
      <c r="P1485" s="345"/>
      <c r="V1485" s="383"/>
    </row>
    <row r="1486" spans="1:22" ht="15" customHeight="1">
      <c r="A1486" s="3">
        <v>37945</v>
      </c>
      <c r="B1486" s="4">
        <v>6500</v>
      </c>
      <c r="D1486" s="5">
        <v>120125</v>
      </c>
      <c r="E1486" s="5">
        <f t="shared" si="38"/>
        <v>13625</v>
      </c>
      <c r="F1486" s="5">
        <v>140250</v>
      </c>
      <c r="K1486" s="24">
        <v>588</v>
      </c>
      <c r="L1486" s="6">
        <v>592</v>
      </c>
      <c r="M1486" s="270">
        <f t="shared" si="37"/>
        <v>4</v>
      </c>
      <c r="N1486" s="7"/>
      <c r="O1486" s="277"/>
      <c r="P1486" s="345"/>
      <c r="V1486" s="383"/>
    </row>
    <row r="1487" spans="1:22" ht="15" customHeight="1">
      <c r="A1487" s="3">
        <v>37946</v>
      </c>
      <c r="B1487" s="4">
        <v>6200</v>
      </c>
      <c r="D1487" s="5">
        <v>118975</v>
      </c>
      <c r="E1487" s="5">
        <f t="shared" si="38"/>
        <v>13625</v>
      </c>
      <c r="F1487" s="5">
        <v>138800</v>
      </c>
      <c r="K1487" s="24">
        <v>613.5</v>
      </c>
      <c r="L1487" s="6">
        <v>613</v>
      </c>
      <c r="M1487" s="270">
        <f t="shared" si="37"/>
        <v>-0.5</v>
      </c>
      <c r="N1487" s="7"/>
      <c r="O1487" s="277"/>
      <c r="P1487" s="345"/>
      <c r="V1487" s="383"/>
    </row>
    <row r="1488" spans="1:22" ht="15" customHeight="1">
      <c r="A1488" s="3">
        <v>37949</v>
      </c>
      <c r="B1488" s="4">
        <v>6200</v>
      </c>
      <c r="D1488" s="5">
        <v>117525</v>
      </c>
      <c r="E1488" s="5">
        <f t="shared" si="38"/>
        <v>13625</v>
      </c>
      <c r="F1488" s="5">
        <v>137350</v>
      </c>
      <c r="K1488" s="24">
        <v>616.5</v>
      </c>
      <c r="L1488" s="6">
        <v>614</v>
      </c>
      <c r="M1488" s="270">
        <f t="shared" si="37"/>
        <v>-2.5</v>
      </c>
      <c r="N1488" s="7"/>
      <c r="O1488" s="277"/>
      <c r="P1488" s="345"/>
      <c r="V1488" s="383"/>
    </row>
    <row r="1489" spans="1:22" ht="15" customHeight="1">
      <c r="A1489" s="3">
        <v>37950</v>
      </c>
      <c r="B1489" s="4">
        <v>6200</v>
      </c>
      <c r="D1489" s="5">
        <v>116775</v>
      </c>
      <c r="E1489" s="5">
        <f t="shared" si="38"/>
        <v>13625</v>
      </c>
      <c r="F1489" s="5">
        <v>136600</v>
      </c>
      <c r="K1489" s="24">
        <v>629</v>
      </c>
      <c r="L1489" s="6">
        <v>623.5</v>
      </c>
      <c r="M1489" s="270">
        <f t="shared" si="37"/>
        <v>-5.5</v>
      </c>
      <c r="N1489" s="7"/>
      <c r="O1489" s="277"/>
      <c r="P1489" s="345"/>
      <c r="V1489" s="383"/>
    </row>
    <row r="1490" spans="1:22" ht="15" customHeight="1">
      <c r="A1490" s="3">
        <v>37951</v>
      </c>
      <c r="B1490" s="4">
        <v>6200</v>
      </c>
      <c r="D1490" s="5">
        <v>115600</v>
      </c>
      <c r="E1490" s="5">
        <f t="shared" si="38"/>
        <v>13625</v>
      </c>
      <c r="F1490" s="5">
        <v>135425</v>
      </c>
      <c r="K1490" s="24">
        <v>632</v>
      </c>
      <c r="L1490" s="6">
        <v>624</v>
      </c>
      <c r="M1490" s="270">
        <f t="shared" si="37"/>
        <v>-8</v>
      </c>
      <c r="N1490" s="7"/>
      <c r="O1490" s="277"/>
      <c r="P1490" s="345"/>
      <c r="V1490" s="383"/>
    </row>
    <row r="1491" spans="1:22" ht="15" customHeight="1">
      <c r="A1491" s="3">
        <v>37952</v>
      </c>
      <c r="B1491" s="4">
        <v>6000</v>
      </c>
      <c r="D1491" s="5">
        <v>114850</v>
      </c>
      <c r="E1491" s="5">
        <f t="shared" si="38"/>
        <v>13625</v>
      </c>
      <c r="F1491" s="5">
        <v>134475</v>
      </c>
      <c r="K1491" s="24">
        <v>650</v>
      </c>
      <c r="L1491" s="6">
        <v>638</v>
      </c>
      <c r="M1491" s="270">
        <f t="shared" si="37"/>
        <v>-12</v>
      </c>
      <c r="N1491" s="7"/>
      <c r="O1491" s="277"/>
      <c r="P1491" s="345"/>
      <c r="V1491" s="383"/>
    </row>
    <row r="1492" spans="1:22" ht="15" customHeight="1">
      <c r="A1492" s="3">
        <v>37953</v>
      </c>
      <c r="B1492" s="4">
        <v>6000</v>
      </c>
      <c r="D1492" s="5">
        <v>114250</v>
      </c>
      <c r="E1492" s="5">
        <f t="shared" si="38"/>
        <v>13625</v>
      </c>
      <c r="F1492" s="5">
        <v>133875</v>
      </c>
      <c r="K1492" s="24">
        <v>650</v>
      </c>
      <c r="L1492" s="6">
        <v>641</v>
      </c>
      <c r="M1492" s="270">
        <f t="shared" si="37"/>
        <v>-9</v>
      </c>
      <c r="N1492" s="7"/>
      <c r="O1492" s="277"/>
      <c r="P1492" s="345"/>
      <c r="V1492" s="383"/>
    </row>
    <row r="1493" spans="1:22" ht="15" customHeight="1">
      <c r="A1493" s="3">
        <v>37956</v>
      </c>
      <c r="B1493" s="4">
        <v>6000</v>
      </c>
      <c r="D1493" s="5">
        <v>114250</v>
      </c>
      <c r="E1493" s="5">
        <f t="shared" si="38"/>
        <v>13625</v>
      </c>
      <c r="F1493" s="5">
        <v>133875</v>
      </c>
      <c r="K1493" s="24">
        <v>651</v>
      </c>
      <c r="L1493" s="6">
        <v>643</v>
      </c>
      <c r="M1493" s="270">
        <f t="shared" si="37"/>
        <v>-8</v>
      </c>
      <c r="N1493" s="7"/>
      <c r="O1493" s="277"/>
      <c r="P1493" s="345"/>
      <c r="V1493" s="383"/>
    </row>
    <row r="1494" spans="1:22" ht="15" customHeight="1">
      <c r="A1494" s="3">
        <v>37957</v>
      </c>
      <c r="B1494" s="4">
        <v>5925</v>
      </c>
      <c r="D1494" s="5">
        <v>113775</v>
      </c>
      <c r="E1494" s="5">
        <f t="shared" si="38"/>
        <v>13625</v>
      </c>
      <c r="F1494" s="5">
        <v>133325</v>
      </c>
      <c r="K1494" s="24">
        <v>647.5</v>
      </c>
      <c r="L1494" s="6">
        <v>642</v>
      </c>
      <c r="M1494" s="270">
        <f t="shared" si="37"/>
        <v>-5.5</v>
      </c>
      <c r="N1494" s="7"/>
      <c r="O1494" s="277"/>
      <c r="P1494" s="345"/>
      <c r="V1494" s="383"/>
    </row>
    <row r="1495" spans="1:22" ht="15" customHeight="1">
      <c r="A1495" s="3">
        <v>37958</v>
      </c>
      <c r="B1495" s="4">
        <v>5800</v>
      </c>
      <c r="D1495" s="5">
        <v>113275</v>
      </c>
      <c r="E1495" s="5">
        <f t="shared" si="38"/>
        <v>13625</v>
      </c>
      <c r="F1495" s="5">
        <v>132700</v>
      </c>
      <c r="K1495" s="24">
        <v>658</v>
      </c>
      <c r="L1495" s="6">
        <v>652.5</v>
      </c>
      <c r="M1495" s="270">
        <f t="shared" si="37"/>
        <v>-5.5</v>
      </c>
      <c r="N1495" s="7"/>
      <c r="O1495" s="277"/>
      <c r="P1495" s="345"/>
      <c r="V1495" s="383"/>
    </row>
    <row r="1496" spans="1:22" ht="15" customHeight="1">
      <c r="A1496" s="3">
        <v>37959</v>
      </c>
      <c r="B1496" s="4">
        <v>5700</v>
      </c>
      <c r="D1496" s="5">
        <v>112725</v>
      </c>
      <c r="E1496" s="5">
        <f t="shared" si="38"/>
        <v>13625</v>
      </c>
      <c r="F1496" s="5">
        <v>132050</v>
      </c>
      <c r="K1496" s="24">
        <v>682</v>
      </c>
      <c r="L1496" s="6">
        <v>677</v>
      </c>
      <c r="M1496" s="270">
        <f t="shared" si="37"/>
        <v>-5</v>
      </c>
      <c r="N1496" s="7"/>
      <c r="O1496" s="277"/>
      <c r="P1496" s="345"/>
      <c r="V1496" s="383"/>
    </row>
    <row r="1497" spans="1:22" ht="15" customHeight="1">
      <c r="A1497" s="3">
        <v>37960</v>
      </c>
      <c r="B1497" s="4">
        <v>5700</v>
      </c>
      <c r="D1497" s="5">
        <v>111675</v>
      </c>
      <c r="E1497" s="5">
        <f t="shared" si="38"/>
        <v>13550</v>
      </c>
      <c r="F1497" s="5">
        <v>130925</v>
      </c>
      <c r="K1497" s="24">
        <v>680</v>
      </c>
      <c r="L1497" s="6">
        <v>675</v>
      </c>
      <c r="M1497" s="270">
        <f t="shared" si="37"/>
        <v>-5</v>
      </c>
      <c r="N1497" s="7"/>
      <c r="O1497" s="277"/>
      <c r="P1497" s="345"/>
      <c r="V1497" s="383"/>
    </row>
    <row r="1498" spans="1:22" ht="15" customHeight="1">
      <c r="A1498" s="3">
        <v>37963</v>
      </c>
      <c r="B1498" s="4">
        <v>5675</v>
      </c>
      <c r="D1498" s="5">
        <v>111125</v>
      </c>
      <c r="E1498" s="5">
        <f t="shared" si="38"/>
        <v>13475</v>
      </c>
      <c r="F1498" s="5">
        <v>130275</v>
      </c>
      <c r="K1498" s="24">
        <v>686</v>
      </c>
      <c r="L1498" s="6">
        <v>680</v>
      </c>
      <c r="M1498" s="270">
        <f t="shared" si="37"/>
        <v>-6</v>
      </c>
      <c r="N1498" s="7"/>
      <c r="O1498" s="277"/>
      <c r="P1498" s="345"/>
      <c r="V1498" s="383"/>
    </row>
    <row r="1499" spans="1:22" ht="15" customHeight="1">
      <c r="A1499" s="3">
        <v>37964</v>
      </c>
      <c r="B1499" s="4">
        <v>5675</v>
      </c>
      <c r="D1499" s="5">
        <v>110675</v>
      </c>
      <c r="E1499" s="5">
        <f t="shared" si="38"/>
        <v>13375</v>
      </c>
      <c r="F1499" s="5">
        <v>129725</v>
      </c>
      <c r="K1499" s="24">
        <v>691</v>
      </c>
      <c r="L1499" s="6">
        <v>679</v>
      </c>
      <c r="M1499" s="270">
        <f t="shared" si="37"/>
        <v>-12</v>
      </c>
      <c r="N1499" s="7"/>
      <c r="O1499" s="277"/>
      <c r="P1499" s="345"/>
      <c r="V1499" s="383"/>
    </row>
    <row r="1500" spans="1:22" ht="15" customHeight="1">
      <c r="A1500" s="3">
        <v>37965</v>
      </c>
      <c r="B1500" s="4">
        <v>5675</v>
      </c>
      <c r="D1500" s="5">
        <v>108325</v>
      </c>
      <c r="E1500" s="5">
        <f t="shared" si="38"/>
        <v>13350</v>
      </c>
      <c r="F1500" s="5">
        <v>127350</v>
      </c>
      <c r="K1500" s="24">
        <v>692</v>
      </c>
      <c r="L1500" s="6">
        <v>684</v>
      </c>
      <c r="M1500" s="270">
        <f t="shared" si="37"/>
        <v>-8</v>
      </c>
      <c r="N1500" s="7"/>
      <c r="O1500" s="277"/>
      <c r="P1500" s="345"/>
      <c r="V1500" s="383"/>
    </row>
    <row r="1501" spans="1:22" ht="15" customHeight="1">
      <c r="A1501" s="3">
        <v>37966</v>
      </c>
      <c r="B1501" s="4">
        <v>5675</v>
      </c>
      <c r="D1501" s="5">
        <v>107775</v>
      </c>
      <c r="E1501" s="5">
        <f t="shared" si="38"/>
        <v>13350</v>
      </c>
      <c r="F1501" s="5">
        <v>126800</v>
      </c>
      <c r="K1501" s="24">
        <v>684</v>
      </c>
      <c r="L1501" s="6">
        <v>675</v>
      </c>
      <c r="M1501" s="270">
        <f t="shared" si="37"/>
        <v>-9</v>
      </c>
      <c r="N1501" s="7"/>
      <c r="O1501" s="277"/>
      <c r="P1501" s="345"/>
      <c r="V1501" s="383"/>
    </row>
    <row r="1502" spans="1:22" ht="15" customHeight="1">
      <c r="A1502" s="3">
        <v>37967</v>
      </c>
      <c r="B1502" s="4">
        <v>5675</v>
      </c>
      <c r="D1502" s="5">
        <v>107775</v>
      </c>
      <c r="E1502" s="5">
        <f t="shared" si="38"/>
        <v>13350</v>
      </c>
      <c r="F1502" s="5">
        <v>126800</v>
      </c>
      <c r="K1502" s="24">
        <v>685</v>
      </c>
      <c r="L1502" s="6">
        <v>674</v>
      </c>
      <c r="M1502" s="270">
        <f t="shared" si="37"/>
        <v>-11</v>
      </c>
      <c r="N1502" s="7"/>
      <c r="O1502" s="277"/>
      <c r="P1502" s="345"/>
      <c r="V1502" s="383"/>
    </row>
    <row r="1503" spans="1:22" ht="15" customHeight="1">
      <c r="A1503" s="3">
        <v>37970</v>
      </c>
      <c r="B1503" s="4">
        <v>5675</v>
      </c>
      <c r="D1503" s="5">
        <v>106775</v>
      </c>
      <c r="E1503" s="5">
        <f t="shared" si="38"/>
        <v>13350</v>
      </c>
      <c r="F1503" s="5">
        <v>125800</v>
      </c>
      <c r="K1503" s="24">
        <v>683.5</v>
      </c>
      <c r="L1503" s="6">
        <v>677</v>
      </c>
      <c r="M1503" s="270">
        <f t="shared" si="37"/>
        <v>-6.5</v>
      </c>
      <c r="N1503" s="7"/>
      <c r="O1503" s="277"/>
      <c r="P1503" s="345"/>
      <c r="V1503" s="383"/>
    </row>
    <row r="1504" spans="1:22" ht="15" customHeight="1">
      <c r="A1504" s="3">
        <v>37971</v>
      </c>
      <c r="B1504" s="4">
        <v>5675</v>
      </c>
      <c r="D1504" s="5">
        <v>105400</v>
      </c>
      <c r="E1504" s="5">
        <f t="shared" si="38"/>
        <v>14725</v>
      </c>
      <c r="F1504" s="5">
        <v>125800</v>
      </c>
      <c r="K1504" s="24">
        <v>700</v>
      </c>
      <c r="L1504" s="6">
        <v>692.5</v>
      </c>
      <c r="M1504" s="270">
        <f t="shared" si="37"/>
        <v>-7.5</v>
      </c>
      <c r="N1504" s="7"/>
      <c r="O1504" s="277"/>
      <c r="P1504" s="345"/>
      <c r="V1504" s="383"/>
    </row>
    <row r="1505" spans="1:22" ht="15" customHeight="1">
      <c r="A1505" s="3">
        <v>37972</v>
      </c>
      <c r="B1505" s="4">
        <v>5675</v>
      </c>
      <c r="D1505" s="5">
        <v>103825</v>
      </c>
      <c r="E1505" s="5">
        <f t="shared" si="38"/>
        <v>13325</v>
      </c>
      <c r="F1505" s="5">
        <v>122825</v>
      </c>
      <c r="K1505" s="24">
        <v>695</v>
      </c>
      <c r="L1505" s="6">
        <v>690</v>
      </c>
      <c r="M1505" s="270">
        <f t="shared" si="37"/>
        <v>-5</v>
      </c>
      <c r="N1505" s="7"/>
      <c r="O1505" s="277"/>
      <c r="P1505" s="345"/>
      <c r="V1505" s="383"/>
    </row>
    <row r="1506" spans="1:22" ht="15" customHeight="1">
      <c r="A1506" s="3">
        <v>37973</v>
      </c>
      <c r="B1506" s="4">
        <v>5675</v>
      </c>
      <c r="D1506" s="5">
        <v>102025</v>
      </c>
      <c r="E1506" s="5">
        <f t="shared" si="38"/>
        <v>13325</v>
      </c>
      <c r="F1506" s="5">
        <v>121025</v>
      </c>
      <c r="K1506" s="24">
        <v>686</v>
      </c>
      <c r="L1506" s="6">
        <v>681</v>
      </c>
      <c r="M1506" s="270">
        <f t="shared" si="37"/>
        <v>-5</v>
      </c>
      <c r="N1506" s="7"/>
      <c r="O1506" s="277"/>
      <c r="P1506" s="345"/>
      <c r="V1506" s="383"/>
    </row>
    <row r="1507" spans="1:22" ht="15" customHeight="1">
      <c r="A1507" s="3">
        <v>37974</v>
      </c>
      <c r="B1507" s="4">
        <v>5675</v>
      </c>
      <c r="D1507" s="5">
        <v>100275</v>
      </c>
      <c r="E1507" s="5">
        <f t="shared" si="38"/>
        <v>13325</v>
      </c>
      <c r="F1507" s="5">
        <v>119275</v>
      </c>
      <c r="K1507" s="24">
        <v>707</v>
      </c>
      <c r="L1507" s="6">
        <v>696</v>
      </c>
      <c r="M1507" s="270">
        <f t="shared" si="37"/>
        <v>-11</v>
      </c>
      <c r="N1507" s="7"/>
      <c r="O1507" s="277"/>
      <c r="P1507" s="345"/>
      <c r="V1507" s="383"/>
    </row>
    <row r="1508" spans="1:22" ht="15" customHeight="1">
      <c r="A1508" s="3">
        <v>37977</v>
      </c>
      <c r="B1508" s="4">
        <v>5650</v>
      </c>
      <c r="D1508" s="5">
        <v>99575</v>
      </c>
      <c r="E1508" s="5">
        <f t="shared" si="38"/>
        <v>13325</v>
      </c>
      <c r="F1508" s="5">
        <v>118550</v>
      </c>
      <c r="K1508" s="24">
        <v>683</v>
      </c>
      <c r="L1508" s="6">
        <v>676</v>
      </c>
      <c r="M1508" s="270">
        <f t="shared" si="37"/>
        <v>-7</v>
      </c>
      <c r="N1508" s="7"/>
      <c r="O1508" s="277"/>
      <c r="P1508" s="345"/>
      <c r="V1508" s="383"/>
    </row>
    <row r="1509" spans="1:22" ht="15" customHeight="1">
      <c r="A1509" s="3">
        <v>37978</v>
      </c>
      <c r="B1509" s="4">
        <v>5575</v>
      </c>
      <c r="D1509" s="5">
        <v>97225</v>
      </c>
      <c r="E1509" s="5">
        <f t="shared" si="38"/>
        <v>13325</v>
      </c>
      <c r="F1509" s="5">
        <v>116125</v>
      </c>
      <c r="K1509" s="24">
        <v>699</v>
      </c>
      <c r="L1509" s="6">
        <v>678.5</v>
      </c>
      <c r="M1509" s="270">
        <f t="shared" si="37"/>
        <v>-20.5</v>
      </c>
      <c r="N1509" s="7"/>
      <c r="O1509" s="277"/>
      <c r="P1509" s="345"/>
      <c r="V1509" s="383"/>
    </row>
    <row r="1510" spans="1:22" ht="15" customHeight="1">
      <c r="A1510" s="3">
        <v>37979</v>
      </c>
      <c r="B1510" s="4">
        <v>5575</v>
      </c>
      <c r="D1510" s="5">
        <v>95900</v>
      </c>
      <c r="E1510" s="5">
        <f t="shared" si="38"/>
        <v>13325</v>
      </c>
      <c r="F1510" s="5">
        <v>114800</v>
      </c>
      <c r="K1510" s="24">
        <v>716.5</v>
      </c>
      <c r="L1510" s="6">
        <v>703.5</v>
      </c>
      <c r="M1510" s="270">
        <f t="shared" si="37"/>
        <v>-13</v>
      </c>
      <c r="N1510" s="7"/>
      <c r="O1510" s="277"/>
      <c r="P1510" s="345"/>
      <c r="V1510" s="383"/>
    </row>
    <row r="1511" spans="1:22" ht="15" customHeight="1">
      <c r="A1511" s="3">
        <v>37980</v>
      </c>
      <c r="B1511" s="4">
        <v>5575</v>
      </c>
      <c r="D1511" s="5">
        <v>95900</v>
      </c>
      <c r="E1511" s="5">
        <f>F1511-(B1511+D1511)</f>
        <v>13325</v>
      </c>
      <c r="F1511" s="5">
        <v>114800</v>
      </c>
      <c r="K1511" s="24">
        <v>716.5</v>
      </c>
      <c r="L1511" s="6">
        <v>703.5</v>
      </c>
      <c r="M1511" s="270">
        <f t="shared" si="37"/>
        <v>-13</v>
      </c>
      <c r="N1511" s="7"/>
      <c r="O1511" s="277"/>
      <c r="P1511" s="345"/>
      <c r="V1511" s="383"/>
    </row>
    <row r="1512" spans="1:22" ht="15" customHeight="1">
      <c r="A1512" s="3">
        <v>37981</v>
      </c>
      <c r="B1512" s="4">
        <v>5575</v>
      </c>
      <c r="D1512" s="5">
        <v>95900</v>
      </c>
      <c r="E1512" s="5">
        <f>F1512-(B1512+D1512)</f>
        <v>13325</v>
      </c>
      <c r="F1512" s="5">
        <v>114800</v>
      </c>
      <c r="K1512" s="24">
        <v>716.5</v>
      </c>
      <c r="L1512" s="6">
        <v>703.5</v>
      </c>
      <c r="M1512" s="270">
        <f t="shared" si="37"/>
        <v>-13</v>
      </c>
      <c r="N1512" s="7"/>
      <c r="O1512" s="277"/>
      <c r="P1512" s="345"/>
      <c r="V1512" s="383"/>
    </row>
    <row r="1513" spans="1:22" ht="15" customHeight="1">
      <c r="A1513" s="3">
        <v>37984</v>
      </c>
      <c r="B1513" s="4">
        <v>5575</v>
      </c>
      <c r="D1513" s="5">
        <v>95525</v>
      </c>
      <c r="E1513" s="5">
        <f>F1513-(B1513+D1513)</f>
        <v>13325</v>
      </c>
      <c r="F1513" s="5">
        <v>114425</v>
      </c>
      <c r="K1513" s="24">
        <v>734.5</v>
      </c>
      <c r="L1513" s="6">
        <v>721</v>
      </c>
      <c r="M1513" s="270">
        <f t="shared" si="37"/>
        <v>-13.5</v>
      </c>
      <c r="N1513" s="7"/>
      <c r="O1513" s="277"/>
      <c r="P1513" s="345"/>
      <c r="V1513" s="383"/>
    </row>
    <row r="1514" spans="1:22" ht="15" customHeight="1">
      <c r="A1514" s="3">
        <v>37985</v>
      </c>
      <c r="B1514" s="4">
        <v>5575</v>
      </c>
      <c r="D1514" s="5">
        <v>92500</v>
      </c>
      <c r="E1514" s="5">
        <f>F1514-(B1514+D1514)</f>
        <v>13325</v>
      </c>
      <c r="F1514" s="5">
        <v>111400</v>
      </c>
      <c r="K1514" s="24">
        <v>733</v>
      </c>
      <c r="L1514" s="6">
        <v>722</v>
      </c>
      <c r="M1514" s="270">
        <f t="shared" si="37"/>
        <v>-11</v>
      </c>
      <c r="N1514" s="7"/>
      <c r="O1514" s="277"/>
      <c r="P1514" s="345"/>
      <c r="V1514" s="383"/>
    </row>
    <row r="1515" spans="1:22" ht="15" customHeight="1">
      <c r="A1515" s="3">
        <v>37986</v>
      </c>
      <c r="B1515" s="4">
        <v>5575</v>
      </c>
      <c r="D1515" s="5">
        <v>91275</v>
      </c>
      <c r="E1515" s="5">
        <f t="shared" si="38"/>
        <v>13325</v>
      </c>
      <c r="F1515" s="5">
        <v>110175</v>
      </c>
      <c r="K1515" s="24">
        <v>739.5</v>
      </c>
      <c r="L1515" s="6">
        <v>725</v>
      </c>
      <c r="M1515" s="270">
        <f t="shared" si="37"/>
        <v>-14.5</v>
      </c>
      <c r="N1515" s="7"/>
      <c r="O1515" s="277"/>
      <c r="P1515" s="345"/>
      <c r="V1515" s="383"/>
    </row>
    <row r="1516" spans="1:22" ht="15" customHeight="1">
      <c r="A1516" s="3">
        <v>37988</v>
      </c>
      <c r="B1516" s="4">
        <v>5575</v>
      </c>
      <c r="D1516" s="5">
        <v>90075</v>
      </c>
      <c r="E1516" s="5">
        <f t="shared" si="38"/>
        <v>13325</v>
      </c>
      <c r="F1516" s="5">
        <v>108975</v>
      </c>
      <c r="K1516" s="24">
        <v>751</v>
      </c>
      <c r="L1516" s="6">
        <v>740</v>
      </c>
      <c r="M1516" s="270">
        <f t="shared" si="37"/>
        <v>-11</v>
      </c>
      <c r="N1516" s="7"/>
      <c r="O1516" s="277"/>
      <c r="P1516" s="345"/>
      <c r="V1516" s="383"/>
    </row>
    <row r="1517" spans="1:22" ht="15" customHeight="1">
      <c r="A1517" s="3">
        <v>37991</v>
      </c>
      <c r="B1517" s="4">
        <v>5425</v>
      </c>
      <c r="D1517" s="5">
        <v>88750</v>
      </c>
      <c r="E1517" s="5">
        <f t="shared" si="38"/>
        <v>13325</v>
      </c>
      <c r="F1517" s="5">
        <v>107500</v>
      </c>
      <c r="K1517" s="24">
        <v>745.5</v>
      </c>
      <c r="L1517" s="6">
        <v>735</v>
      </c>
      <c r="M1517" s="270">
        <f t="shared" si="37"/>
        <v>-10.5</v>
      </c>
      <c r="N1517" s="7"/>
      <c r="O1517" s="277"/>
      <c r="P1517" s="345"/>
      <c r="V1517" s="383"/>
    </row>
    <row r="1518" spans="1:22" ht="15" customHeight="1">
      <c r="A1518" s="3">
        <v>37992</v>
      </c>
      <c r="B1518" s="4">
        <v>5425</v>
      </c>
      <c r="D1518" s="5">
        <v>88375</v>
      </c>
      <c r="E1518" s="5">
        <f t="shared" si="38"/>
        <v>13200</v>
      </c>
      <c r="F1518" s="5">
        <v>107000</v>
      </c>
      <c r="K1518" s="24">
        <v>761</v>
      </c>
      <c r="L1518" s="6">
        <v>754</v>
      </c>
      <c r="M1518" s="270">
        <f t="shared" si="37"/>
        <v>-7</v>
      </c>
      <c r="N1518" s="7"/>
      <c r="O1518" s="277"/>
      <c r="P1518" s="345"/>
      <c r="V1518" s="383"/>
    </row>
    <row r="1519" spans="1:22" ht="15" customHeight="1">
      <c r="A1519" s="3">
        <v>37993</v>
      </c>
      <c r="B1519" s="4">
        <v>5425</v>
      </c>
      <c r="D1519" s="5">
        <v>87850</v>
      </c>
      <c r="E1519" s="5">
        <f t="shared" ref="E1519:E1564" si="39">F1519-(B1519+D1519)</f>
        <v>13100</v>
      </c>
      <c r="F1519" s="5">
        <v>106375</v>
      </c>
      <c r="K1519" s="24">
        <v>732</v>
      </c>
      <c r="L1519" s="6">
        <v>724</v>
      </c>
      <c r="M1519" s="270">
        <f t="shared" si="37"/>
        <v>-8</v>
      </c>
      <c r="N1519" s="7"/>
      <c r="O1519" s="277"/>
      <c r="P1519" s="345"/>
      <c r="V1519" s="383"/>
    </row>
    <row r="1520" spans="1:22" ht="15" customHeight="1">
      <c r="A1520" s="3">
        <v>37994</v>
      </c>
      <c r="B1520" s="4">
        <v>5325</v>
      </c>
      <c r="D1520" s="5">
        <v>87200</v>
      </c>
      <c r="E1520" s="5">
        <f t="shared" si="39"/>
        <v>13100</v>
      </c>
      <c r="F1520" s="5">
        <v>105625</v>
      </c>
      <c r="K1520" s="24">
        <v>730</v>
      </c>
      <c r="L1520" s="6">
        <v>717</v>
      </c>
      <c r="M1520" s="270">
        <f t="shared" si="37"/>
        <v>-13</v>
      </c>
      <c r="N1520" s="7"/>
      <c r="O1520" s="277"/>
      <c r="P1520" s="345"/>
      <c r="V1520" s="383"/>
    </row>
    <row r="1521" spans="1:22" ht="15" customHeight="1">
      <c r="A1521" s="3">
        <v>37995</v>
      </c>
      <c r="B1521" s="4">
        <v>5325</v>
      </c>
      <c r="D1521" s="5">
        <v>86700</v>
      </c>
      <c r="E1521" s="5">
        <f t="shared" si="39"/>
        <v>13100</v>
      </c>
      <c r="F1521" s="5">
        <v>105125</v>
      </c>
      <c r="K1521" s="24">
        <v>751.5</v>
      </c>
      <c r="L1521" s="6">
        <v>743</v>
      </c>
      <c r="M1521" s="270">
        <f t="shared" si="37"/>
        <v>-8.5</v>
      </c>
      <c r="N1521" s="7"/>
      <c r="O1521" s="277"/>
      <c r="P1521" s="345"/>
      <c r="V1521" s="383"/>
    </row>
    <row r="1522" spans="1:22" ht="15" customHeight="1">
      <c r="A1522" s="3">
        <v>37998</v>
      </c>
      <c r="B1522" s="4">
        <v>4825</v>
      </c>
      <c r="D1522" s="5">
        <v>86200</v>
      </c>
      <c r="E1522" s="5">
        <f t="shared" si="39"/>
        <v>13100</v>
      </c>
      <c r="F1522" s="5">
        <v>104125</v>
      </c>
      <c r="K1522" s="24">
        <v>759.5</v>
      </c>
      <c r="L1522" s="6">
        <v>747</v>
      </c>
      <c r="M1522" s="270">
        <f t="shared" si="37"/>
        <v>-12.5</v>
      </c>
      <c r="N1522" s="7"/>
      <c r="O1522" s="277"/>
      <c r="P1522" s="345"/>
      <c r="V1522" s="383"/>
    </row>
    <row r="1523" spans="1:22" ht="15" customHeight="1">
      <c r="A1523" s="3">
        <v>37999</v>
      </c>
      <c r="B1523" s="4">
        <v>4825</v>
      </c>
      <c r="D1523" s="5">
        <v>85225</v>
      </c>
      <c r="E1523" s="5">
        <f t="shared" si="39"/>
        <v>13100</v>
      </c>
      <c r="F1523" s="5">
        <v>103150</v>
      </c>
      <c r="K1523" s="24">
        <v>757</v>
      </c>
      <c r="L1523" s="6">
        <v>744</v>
      </c>
      <c r="M1523" s="270">
        <f t="shared" si="37"/>
        <v>-13</v>
      </c>
      <c r="N1523" s="7"/>
      <c r="O1523" s="277"/>
      <c r="P1523" s="345"/>
      <c r="V1523" s="383"/>
    </row>
    <row r="1524" spans="1:22" ht="15" customHeight="1">
      <c r="A1524" s="3">
        <v>38000</v>
      </c>
      <c r="B1524" s="4">
        <v>4825</v>
      </c>
      <c r="D1524" s="5">
        <v>84425</v>
      </c>
      <c r="E1524" s="5">
        <f t="shared" si="39"/>
        <v>13100</v>
      </c>
      <c r="F1524" s="5">
        <v>102350</v>
      </c>
      <c r="K1524" s="24">
        <v>739</v>
      </c>
      <c r="L1524" s="6">
        <v>727</v>
      </c>
      <c r="M1524" s="270">
        <f t="shared" si="37"/>
        <v>-12</v>
      </c>
      <c r="N1524" s="7"/>
      <c r="O1524" s="277"/>
      <c r="P1524" s="345"/>
      <c r="V1524" s="383"/>
    </row>
    <row r="1525" spans="1:22" ht="15" customHeight="1">
      <c r="A1525" s="3">
        <v>38001</v>
      </c>
      <c r="B1525" s="4">
        <v>4725</v>
      </c>
      <c r="D1525" s="5">
        <v>83400</v>
      </c>
      <c r="E1525" s="5">
        <f t="shared" si="39"/>
        <v>13100</v>
      </c>
      <c r="F1525" s="5">
        <v>101225</v>
      </c>
      <c r="K1525" s="24">
        <v>748</v>
      </c>
      <c r="L1525" s="6">
        <v>738</v>
      </c>
      <c r="M1525" s="270">
        <f t="shared" si="37"/>
        <v>-10</v>
      </c>
      <c r="N1525" s="7"/>
      <c r="O1525" s="277"/>
      <c r="P1525" s="345"/>
      <c r="V1525" s="383"/>
    </row>
    <row r="1526" spans="1:22" ht="15" customHeight="1">
      <c r="A1526" s="3">
        <v>38002</v>
      </c>
      <c r="B1526" s="4">
        <v>4400</v>
      </c>
      <c r="D1526" s="5">
        <v>82200</v>
      </c>
      <c r="E1526" s="5">
        <f t="shared" si="39"/>
        <v>13100</v>
      </c>
      <c r="F1526" s="5">
        <v>99700</v>
      </c>
      <c r="K1526" s="24">
        <v>746</v>
      </c>
      <c r="L1526" s="6">
        <v>731</v>
      </c>
      <c r="M1526" s="270">
        <f t="shared" si="37"/>
        <v>-15</v>
      </c>
      <c r="N1526" s="7"/>
      <c r="O1526" s="277"/>
      <c r="P1526" s="345"/>
      <c r="V1526" s="383"/>
    </row>
    <row r="1527" spans="1:22" ht="15" customHeight="1">
      <c r="A1527" s="3">
        <v>38005</v>
      </c>
      <c r="B1527" s="4">
        <v>2900</v>
      </c>
      <c r="D1527" s="5">
        <v>81500</v>
      </c>
      <c r="E1527" s="5">
        <f t="shared" si="39"/>
        <v>13100</v>
      </c>
      <c r="F1527" s="5">
        <v>97500</v>
      </c>
      <c r="K1527" s="24">
        <v>756</v>
      </c>
      <c r="L1527" s="6">
        <v>738</v>
      </c>
      <c r="M1527" s="270">
        <f t="shared" ref="M1527:M1590" si="40">L1527-K1527</f>
        <v>-18</v>
      </c>
      <c r="N1527" s="7"/>
      <c r="O1527" s="277"/>
      <c r="P1527" s="345"/>
      <c r="V1527" s="383"/>
    </row>
    <row r="1528" spans="1:22" ht="15" customHeight="1">
      <c r="A1528" s="3">
        <v>38006</v>
      </c>
      <c r="B1528" s="4">
        <v>2800</v>
      </c>
      <c r="D1528" s="5">
        <v>80700</v>
      </c>
      <c r="E1528" s="5">
        <f t="shared" si="39"/>
        <v>13100</v>
      </c>
      <c r="F1528" s="5">
        <v>96600</v>
      </c>
      <c r="K1528" s="24">
        <v>752</v>
      </c>
      <c r="L1528" s="6">
        <v>735</v>
      </c>
      <c r="M1528" s="270">
        <f t="shared" si="40"/>
        <v>-17</v>
      </c>
      <c r="N1528" s="7"/>
      <c r="O1528" s="277"/>
      <c r="P1528" s="345"/>
      <c r="V1528" s="383"/>
    </row>
    <row r="1529" spans="1:22" ht="15" customHeight="1">
      <c r="A1529" s="3">
        <v>38007</v>
      </c>
      <c r="B1529" s="4">
        <v>2800</v>
      </c>
      <c r="D1529" s="5">
        <v>80300</v>
      </c>
      <c r="E1529" s="5">
        <f t="shared" si="39"/>
        <v>13100</v>
      </c>
      <c r="F1529" s="5">
        <v>96200</v>
      </c>
      <c r="K1529" s="24">
        <v>754.5</v>
      </c>
      <c r="L1529" s="6">
        <v>743.5</v>
      </c>
      <c r="M1529" s="270">
        <f t="shared" si="40"/>
        <v>-11</v>
      </c>
      <c r="N1529" s="7"/>
      <c r="O1529" s="277"/>
      <c r="P1529" s="345"/>
      <c r="V1529" s="383"/>
    </row>
    <row r="1530" spans="1:22" ht="15" customHeight="1">
      <c r="A1530" s="3">
        <v>38008</v>
      </c>
      <c r="B1530" s="4">
        <v>2600</v>
      </c>
      <c r="D1530" s="5">
        <v>79300</v>
      </c>
      <c r="E1530" s="5">
        <f t="shared" si="39"/>
        <v>13100</v>
      </c>
      <c r="F1530" s="5">
        <v>95000</v>
      </c>
      <c r="K1530" s="24">
        <v>780</v>
      </c>
      <c r="L1530" s="6">
        <v>765</v>
      </c>
      <c r="M1530" s="270">
        <f t="shared" si="40"/>
        <v>-15</v>
      </c>
      <c r="N1530" s="7"/>
      <c r="O1530" s="277"/>
      <c r="P1530" s="345"/>
      <c r="V1530" s="383"/>
    </row>
    <row r="1531" spans="1:22" ht="15" customHeight="1">
      <c r="A1531" s="3">
        <v>38009</v>
      </c>
      <c r="B1531" s="4">
        <v>2600</v>
      </c>
      <c r="D1531" s="5">
        <v>77975</v>
      </c>
      <c r="E1531" s="5">
        <f t="shared" si="39"/>
        <v>13100</v>
      </c>
      <c r="F1531" s="5">
        <v>93675</v>
      </c>
      <c r="K1531" s="24">
        <v>773</v>
      </c>
      <c r="L1531" s="6">
        <v>754</v>
      </c>
      <c r="M1531" s="270">
        <f t="shared" si="40"/>
        <v>-19</v>
      </c>
      <c r="N1531" s="7"/>
      <c r="O1531" s="277"/>
      <c r="P1531" s="345"/>
      <c r="V1531" s="383"/>
    </row>
    <row r="1532" spans="1:22" ht="15" customHeight="1">
      <c r="A1532" s="3">
        <v>38012</v>
      </c>
      <c r="B1532" s="4">
        <v>2600</v>
      </c>
      <c r="D1532" s="5">
        <v>76225</v>
      </c>
      <c r="E1532" s="5">
        <f t="shared" si="39"/>
        <v>13100</v>
      </c>
      <c r="F1532" s="5">
        <v>91925</v>
      </c>
      <c r="K1532" s="24">
        <v>759</v>
      </c>
      <c r="L1532" s="6">
        <v>754</v>
      </c>
      <c r="M1532" s="270">
        <f t="shared" si="40"/>
        <v>-5</v>
      </c>
      <c r="N1532" s="7"/>
      <c r="O1532" s="277"/>
      <c r="P1532" s="345"/>
      <c r="V1532" s="383"/>
    </row>
    <row r="1533" spans="1:22" ht="15" customHeight="1">
      <c r="A1533" s="3">
        <v>38013</v>
      </c>
      <c r="B1533" s="4">
        <v>2600</v>
      </c>
      <c r="D1533" s="5">
        <v>75600</v>
      </c>
      <c r="E1533" s="5">
        <f t="shared" si="39"/>
        <v>13100</v>
      </c>
      <c r="F1533" s="5">
        <v>91300</v>
      </c>
      <c r="K1533" s="24">
        <v>761</v>
      </c>
      <c r="L1533" s="6">
        <v>750</v>
      </c>
      <c r="M1533" s="270">
        <f t="shared" si="40"/>
        <v>-11</v>
      </c>
      <c r="N1533" s="7"/>
      <c r="O1533" s="277"/>
      <c r="P1533" s="345"/>
      <c r="V1533" s="383"/>
    </row>
    <row r="1534" spans="1:22" ht="15" customHeight="1">
      <c r="A1534" s="3">
        <v>38014</v>
      </c>
      <c r="B1534" s="4">
        <v>2600</v>
      </c>
      <c r="D1534" s="5">
        <v>75225</v>
      </c>
      <c r="E1534" s="5">
        <f t="shared" si="39"/>
        <v>13100</v>
      </c>
      <c r="F1534" s="5">
        <v>90925</v>
      </c>
      <c r="K1534" s="24">
        <v>771</v>
      </c>
      <c r="L1534" s="6">
        <v>758</v>
      </c>
      <c r="M1534" s="270">
        <f t="shared" si="40"/>
        <v>-13</v>
      </c>
      <c r="N1534" s="7"/>
      <c r="O1534" s="277"/>
      <c r="P1534" s="345"/>
      <c r="V1534" s="383"/>
    </row>
    <row r="1535" spans="1:22" ht="15" customHeight="1">
      <c r="A1535" s="3">
        <v>38015</v>
      </c>
      <c r="B1535" s="4">
        <v>2600</v>
      </c>
      <c r="D1535" s="5">
        <v>74900</v>
      </c>
      <c r="E1535" s="5">
        <f t="shared" si="39"/>
        <v>13100</v>
      </c>
      <c r="F1535" s="5">
        <v>90600</v>
      </c>
      <c r="K1535" s="24">
        <v>812</v>
      </c>
      <c r="L1535" s="6">
        <v>770</v>
      </c>
      <c r="M1535" s="270">
        <f t="shared" si="40"/>
        <v>-42</v>
      </c>
      <c r="N1535" s="7"/>
      <c r="O1535" s="277"/>
      <c r="P1535" s="345"/>
      <c r="V1535" s="383"/>
    </row>
    <row r="1536" spans="1:22" ht="15" customHeight="1">
      <c r="A1536" s="3">
        <v>38016</v>
      </c>
      <c r="B1536" s="4">
        <v>1500</v>
      </c>
      <c r="D1536" s="5">
        <v>74475</v>
      </c>
      <c r="E1536" s="5">
        <f t="shared" si="39"/>
        <v>13100</v>
      </c>
      <c r="F1536" s="5">
        <v>89075</v>
      </c>
      <c r="K1536" s="24">
        <v>787</v>
      </c>
      <c r="L1536" s="6">
        <v>767</v>
      </c>
      <c r="M1536" s="270">
        <f t="shared" si="40"/>
        <v>-20</v>
      </c>
      <c r="N1536" s="7"/>
      <c r="O1536" s="277"/>
      <c r="P1536" s="345"/>
      <c r="V1536" s="383"/>
    </row>
    <row r="1537" spans="1:22" ht="15" customHeight="1">
      <c r="A1537" s="3">
        <v>38019</v>
      </c>
      <c r="B1537" s="4">
        <v>1500</v>
      </c>
      <c r="D1537" s="5">
        <v>73900</v>
      </c>
      <c r="E1537" s="5">
        <f t="shared" si="39"/>
        <v>13075</v>
      </c>
      <c r="F1537" s="5">
        <v>88475</v>
      </c>
      <c r="K1537" s="24">
        <v>832</v>
      </c>
      <c r="L1537" s="6">
        <v>795</v>
      </c>
      <c r="M1537" s="270">
        <f t="shared" si="40"/>
        <v>-37</v>
      </c>
      <c r="N1537" s="7"/>
      <c r="O1537" s="277"/>
      <c r="P1537" s="345"/>
      <c r="V1537" s="383"/>
    </row>
    <row r="1538" spans="1:22" ht="15" customHeight="1">
      <c r="A1538" s="3">
        <v>38020</v>
      </c>
      <c r="B1538" s="4">
        <v>1500</v>
      </c>
      <c r="D1538" s="5">
        <v>73400</v>
      </c>
      <c r="E1538" s="5">
        <f t="shared" si="39"/>
        <v>13075</v>
      </c>
      <c r="F1538" s="5">
        <v>87975</v>
      </c>
      <c r="K1538" s="24">
        <v>805</v>
      </c>
      <c r="L1538" s="6">
        <v>788</v>
      </c>
      <c r="M1538" s="270">
        <f t="shared" si="40"/>
        <v>-17</v>
      </c>
      <c r="N1538" s="7"/>
      <c r="O1538" s="277"/>
      <c r="P1538" s="345"/>
      <c r="V1538" s="383"/>
    </row>
    <row r="1539" spans="1:22" ht="15" customHeight="1">
      <c r="A1539" s="3">
        <v>38021</v>
      </c>
      <c r="B1539" s="4">
        <v>1475</v>
      </c>
      <c r="D1539" s="5">
        <v>72675</v>
      </c>
      <c r="E1539" s="5">
        <f t="shared" si="39"/>
        <v>13075</v>
      </c>
      <c r="F1539" s="5">
        <v>87225</v>
      </c>
      <c r="K1539" s="24">
        <v>830</v>
      </c>
      <c r="L1539" s="6">
        <v>807</v>
      </c>
      <c r="M1539" s="270">
        <f t="shared" si="40"/>
        <v>-23</v>
      </c>
      <c r="N1539" s="7"/>
      <c r="O1539" s="277"/>
      <c r="P1539" s="345"/>
      <c r="V1539" s="383"/>
    </row>
    <row r="1540" spans="1:22" ht="15" customHeight="1">
      <c r="A1540" s="3">
        <v>38022</v>
      </c>
      <c r="B1540" s="4">
        <v>1075</v>
      </c>
      <c r="D1540" s="5">
        <v>72100</v>
      </c>
      <c r="E1540" s="5">
        <f t="shared" si="39"/>
        <v>13025</v>
      </c>
      <c r="F1540" s="5">
        <v>86200</v>
      </c>
      <c r="K1540" s="24">
        <v>849</v>
      </c>
      <c r="L1540" s="6">
        <v>820</v>
      </c>
      <c r="M1540" s="270">
        <f t="shared" si="40"/>
        <v>-29</v>
      </c>
      <c r="N1540" s="7"/>
      <c r="O1540" s="277"/>
      <c r="P1540" s="345"/>
      <c r="V1540" s="383"/>
    </row>
    <row r="1541" spans="1:22" ht="15" customHeight="1">
      <c r="A1541" s="3">
        <v>38023</v>
      </c>
      <c r="B1541" s="4">
        <v>1075</v>
      </c>
      <c r="D1541" s="5">
        <v>71375</v>
      </c>
      <c r="E1541" s="5">
        <f t="shared" si="39"/>
        <v>12825</v>
      </c>
      <c r="F1541" s="5">
        <v>85275</v>
      </c>
      <c r="K1541" s="24">
        <v>837</v>
      </c>
      <c r="L1541" s="6">
        <v>806</v>
      </c>
      <c r="M1541" s="270">
        <f t="shared" si="40"/>
        <v>-31</v>
      </c>
      <c r="N1541" s="7"/>
      <c r="O1541" s="277"/>
      <c r="P1541" s="345"/>
      <c r="V1541" s="383"/>
    </row>
    <row r="1542" spans="1:22" ht="15" customHeight="1">
      <c r="A1542" s="3">
        <v>38026</v>
      </c>
      <c r="B1542" s="4">
        <v>375</v>
      </c>
      <c r="D1542" s="5">
        <v>70525</v>
      </c>
      <c r="E1542" s="5">
        <f t="shared" si="39"/>
        <v>12825</v>
      </c>
      <c r="F1542" s="5">
        <v>83725</v>
      </c>
      <c r="K1542" s="24">
        <v>870</v>
      </c>
      <c r="L1542" s="6">
        <v>835</v>
      </c>
      <c r="M1542" s="270">
        <f t="shared" si="40"/>
        <v>-35</v>
      </c>
      <c r="N1542" s="7"/>
      <c r="O1542" s="277"/>
      <c r="P1542" s="345"/>
      <c r="V1542" s="383"/>
    </row>
    <row r="1543" spans="1:22" ht="15" customHeight="1">
      <c r="A1543" s="3">
        <v>38027</v>
      </c>
      <c r="B1543" s="4">
        <v>375</v>
      </c>
      <c r="D1543" s="5">
        <v>70825</v>
      </c>
      <c r="E1543" s="5">
        <f t="shared" si="39"/>
        <v>12775</v>
      </c>
      <c r="F1543" s="5">
        <v>83975</v>
      </c>
      <c r="K1543" s="24">
        <v>875</v>
      </c>
      <c r="L1543" s="6">
        <v>835</v>
      </c>
      <c r="M1543" s="270">
        <f t="shared" si="40"/>
        <v>-40</v>
      </c>
      <c r="N1543" s="7"/>
      <c r="O1543" s="277"/>
      <c r="P1543" s="345"/>
      <c r="V1543" s="383"/>
    </row>
    <row r="1544" spans="1:22" ht="15" customHeight="1">
      <c r="A1544" s="3">
        <v>38028</v>
      </c>
      <c r="B1544" s="4">
        <v>275</v>
      </c>
      <c r="D1544" s="5">
        <v>69900</v>
      </c>
      <c r="E1544" s="5">
        <f t="shared" si="39"/>
        <v>12775</v>
      </c>
      <c r="F1544" s="5">
        <v>82950</v>
      </c>
      <c r="K1544" s="24">
        <v>864.5</v>
      </c>
      <c r="L1544" s="6">
        <v>828</v>
      </c>
      <c r="M1544" s="270">
        <f t="shared" si="40"/>
        <v>-36.5</v>
      </c>
      <c r="N1544" s="7"/>
      <c r="O1544" s="277"/>
      <c r="P1544" s="345"/>
      <c r="V1544" s="383"/>
    </row>
    <row r="1545" spans="1:22" ht="15" customHeight="1">
      <c r="A1545" s="3">
        <v>38029</v>
      </c>
      <c r="B1545" s="4">
        <v>275</v>
      </c>
      <c r="D1545" s="5">
        <v>69350</v>
      </c>
      <c r="E1545" s="5">
        <f t="shared" si="39"/>
        <v>12775</v>
      </c>
      <c r="F1545" s="5">
        <v>82400</v>
      </c>
      <c r="K1545" s="24">
        <v>884</v>
      </c>
      <c r="L1545" s="6">
        <v>850</v>
      </c>
      <c r="M1545" s="270">
        <f t="shared" si="40"/>
        <v>-34</v>
      </c>
      <c r="N1545" s="7"/>
      <c r="O1545" s="277"/>
      <c r="P1545" s="345"/>
      <c r="V1545" s="383"/>
    </row>
    <row r="1546" spans="1:22" ht="15" customHeight="1">
      <c r="A1546" s="3">
        <v>38030</v>
      </c>
      <c r="B1546" s="4">
        <v>250</v>
      </c>
      <c r="D1546" s="5">
        <v>68950</v>
      </c>
      <c r="E1546" s="5">
        <f t="shared" si="39"/>
        <v>12750</v>
      </c>
      <c r="F1546" s="5">
        <v>81950</v>
      </c>
      <c r="K1546" s="24">
        <v>878</v>
      </c>
      <c r="L1546" s="6">
        <v>854</v>
      </c>
      <c r="M1546" s="270">
        <f t="shared" si="40"/>
        <v>-24</v>
      </c>
      <c r="N1546" s="7"/>
      <c r="O1546" s="277"/>
      <c r="P1546" s="345"/>
      <c r="V1546" s="383"/>
    </row>
    <row r="1547" spans="1:22" ht="15" customHeight="1">
      <c r="A1547" s="3">
        <v>38033</v>
      </c>
      <c r="B1547" s="4">
        <v>250</v>
      </c>
      <c r="D1547" s="5">
        <v>68800</v>
      </c>
      <c r="E1547" s="5">
        <f t="shared" si="39"/>
        <v>12750</v>
      </c>
      <c r="F1547" s="5">
        <v>81800</v>
      </c>
      <c r="K1547" s="24">
        <v>895</v>
      </c>
      <c r="L1547" s="6">
        <v>865</v>
      </c>
      <c r="M1547" s="270">
        <f t="shared" si="40"/>
        <v>-30</v>
      </c>
      <c r="N1547" s="7"/>
      <c r="O1547" s="277"/>
      <c r="P1547" s="345"/>
      <c r="V1547" s="383"/>
    </row>
    <row r="1548" spans="1:22" ht="15" customHeight="1">
      <c r="A1548" s="3">
        <v>38034</v>
      </c>
      <c r="B1548" s="4">
        <v>250</v>
      </c>
      <c r="D1548" s="5">
        <v>68425</v>
      </c>
      <c r="E1548" s="5">
        <f t="shared" si="39"/>
        <v>12750</v>
      </c>
      <c r="F1548" s="5">
        <v>81425</v>
      </c>
      <c r="K1548" s="24">
        <v>927</v>
      </c>
      <c r="L1548" s="6">
        <v>897</v>
      </c>
      <c r="M1548" s="270">
        <f t="shared" si="40"/>
        <v>-30</v>
      </c>
      <c r="N1548" s="7"/>
      <c r="O1548" s="277"/>
      <c r="P1548" s="345"/>
      <c r="V1548" s="383"/>
    </row>
    <row r="1549" spans="1:22" ht="15" customHeight="1">
      <c r="A1549" s="3">
        <v>38035</v>
      </c>
      <c r="B1549" s="4">
        <v>250</v>
      </c>
      <c r="D1549" s="5">
        <v>68150</v>
      </c>
      <c r="E1549" s="5">
        <f t="shared" si="39"/>
        <v>12750</v>
      </c>
      <c r="F1549" s="5">
        <v>81150</v>
      </c>
      <c r="K1549" s="24">
        <v>971</v>
      </c>
      <c r="L1549" s="6">
        <v>933</v>
      </c>
      <c r="M1549" s="270">
        <f t="shared" si="40"/>
        <v>-38</v>
      </c>
      <c r="N1549" s="7"/>
      <c r="O1549" s="277"/>
      <c r="P1549" s="345"/>
      <c r="V1549" s="383"/>
    </row>
    <row r="1550" spans="1:22" ht="15" customHeight="1">
      <c r="A1550" s="3">
        <v>38036</v>
      </c>
      <c r="B1550" s="4">
        <v>250</v>
      </c>
      <c r="D1550" s="5">
        <v>67125</v>
      </c>
      <c r="E1550" s="5">
        <f t="shared" si="39"/>
        <v>12750</v>
      </c>
      <c r="F1550" s="5">
        <v>80125</v>
      </c>
      <c r="K1550" s="24">
        <v>909</v>
      </c>
      <c r="L1550" s="6">
        <v>880</v>
      </c>
      <c r="M1550" s="270">
        <f t="shared" si="40"/>
        <v>-29</v>
      </c>
      <c r="N1550" s="7"/>
      <c r="O1550" s="277"/>
      <c r="P1550" s="345"/>
      <c r="V1550" s="383"/>
    </row>
    <row r="1551" spans="1:22" ht="15" customHeight="1">
      <c r="A1551" s="3">
        <v>38037</v>
      </c>
      <c r="B1551" s="4">
        <v>300</v>
      </c>
      <c r="D1551" s="5">
        <v>66300</v>
      </c>
      <c r="E1551" s="5">
        <f t="shared" si="39"/>
        <v>12750</v>
      </c>
      <c r="F1551" s="5">
        <v>79350</v>
      </c>
      <c r="K1551" s="24">
        <v>911</v>
      </c>
      <c r="L1551" s="6">
        <v>876</v>
      </c>
      <c r="M1551" s="270">
        <f t="shared" si="40"/>
        <v>-35</v>
      </c>
      <c r="N1551" s="7"/>
      <c r="O1551" s="277"/>
      <c r="P1551" s="345"/>
      <c r="V1551" s="383"/>
    </row>
    <row r="1552" spans="1:22" ht="15" customHeight="1">
      <c r="A1552" s="3">
        <v>38040</v>
      </c>
      <c r="B1552" s="4">
        <v>300</v>
      </c>
      <c r="D1552" s="5">
        <v>65300</v>
      </c>
      <c r="E1552" s="5">
        <f t="shared" si="39"/>
        <v>12750</v>
      </c>
      <c r="F1552" s="5">
        <v>78350</v>
      </c>
      <c r="K1552" s="24">
        <v>865</v>
      </c>
      <c r="L1552" s="6">
        <v>834.5</v>
      </c>
      <c r="M1552" s="270">
        <f t="shared" si="40"/>
        <v>-30.5</v>
      </c>
      <c r="N1552" s="7"/>
      <c r="O1552" s="277"/>
      <c r="P1552" s="345"/>
      <c r="V1552" s="383"/>
    </row>
    <row r="1553" spans="1:22" ht="15" customHeight="1">
      <c r="A1553" s="3">
        <v>38041</v>
      </c>
      <c r="B1553" s="4">
        <v>300</v>
      </c>
      <c r="D1553" s="5">
        <v>64675</v>
      </c>
      <c r="E1553" s="5">
        <f t="shared" si="39"/>
        <v>12750</v>
      </c>
      <c r="F1553" s="5">
        <v>77725</v>
      </c>
      <c r="K1553" s="24">
        <v>910</v>
      </c>
      <c r="L1553" s="6">
        <v>874</v>
      </c>
      <c r="M1553" s="270">
        <f t="shared" si="40"/>
        <v>-36</v>
      </c>
      <c r="N1553" s="7"/>
      <c r="O1553" s="277"/>
      <c r="P1553" s="345"/>
      <c r="V1553" s="383"/>
    </row>
    <row r="1554" spans="1:22" ht="15" customHeight="1">
      <c r="A1554" s="3">
        <v>38042</v>
      </c>
      <c r="B1554" s="4">
        <v>300</v>
      </c>
      <c r="D1554" s="5">
        <v>64375</v>
      </c>
      <c r="E1554" s="5">
        <f t="shared" si="39"/>
        <v>12750</v>
      </c>
      <c r="F1554" s="5">
        <v>77425</v>
      </c>
      <c r="K1554" s="24">
        <v>952</v>
      </c>
      <c r="L1554" s="6">
        <v>890</v>
      </c>
      <c r="M1554" s="270">
        <f t="shared" si="40"/>
        <v>-62</v>
      </c>
      <c r="N1554" s="7"/>
      <c r="O1554" s="277"/>
      <c r="P1554" s="345"/>
      <c r="V1554" s="383"/>
    </row>
    <row r="1555" spans="1:22" ht="15" customHeight="1">
      <c r="A1555" s="3">
        <v>38043</v>
      </c>
      <c r="B1555" s="4">
        <v>300</v>
      </c>
      <c r="D1555" s="5">
        <v>64100</v>
      </c>
      <c r="E1555" s="5">
        <f t="shared" si="39"/>
        <v>12750</v>
      </c>
      <c r="F1555" s="5">
        <v>77150</v>
      </c>
      <c r="K1555" s="24">
        <v>960</v>
      </c>
      <c r="L1555" s="6">
        <v>890.5</v>
      </c>
      <c r="M1555" s="270">
        <f t="shared" si="40"/>
        <v>-69.5</v>
      </c>
      <c r="N1555" s="7"/>
      <c r="O1555" s="277"/>
      <c r="P1555" s="345"/>
      <c r="V1555" s="383"/>
    </row>
    <row r="1556" spans="1:22" ht="15" customHeight="1">
      <c r="A1556" s="3">
        <v>38044</v>
      </c>
      <c r="B1556" s="4">
        <v>300</v>
      </c>
      <c r="D1556" s="5">
        <v>63725</v>
      </c>
      <c r="E1556" s="5">
        <f t="shared" si="39"/>
        <v>12750</v>
      </c>
      <c r="F1556" s="5">
        <v>76775</v>
      </c>
      <c r="K1556" s="24">
        <v>945</v>
      </c>
      <c r="L1556" s="6">
        <v>889</v>
      </c>
      <c r="M1556" s="270">
        <f t="shared" si="40"/>
        <v>-56</v>
      </c>
      <c r="N1556" s="7"/>
      <c r="O1556" s="277"/>
      <c r="P1556" s="345"/>
      <c r="V1556" s="383"/>
    </row>
    <row r="1557" spans="1:22" ht="15" customHeight="1">
      <c r="A1557" s="3">
        <v>38047</v>
      </c>
      <c r="B1557" s="4">
        <v>300</v>
      </c>
      <c r="D1557" s="5">
        <v>63500</v>
      </c>
      <c r="E1557" s="5">
        <f t="shared" si="39"/>
        <v>12750</v>
      </c>
      <c r="F1557" s="5">
        <v>76550</v>
      </c>
      <c r="K1557" s="24">
        <v>975</v>
      </c>
      <c r="L1557" s="6">
        <v>926</v>
      </c>
      <c r="M1557" s="270">
        <f t="shared" si="40"/>
        <v>-49</v>
      </c>
      <c r="N1557" s="7"/>
      <c r="O1557" s="277"/>
      <c r="P1557" s="345"/>
      <c r="V1557" s="383"/>
    </row>
    <row r="1558" spans="1:22" ht="15" customHeight="1">
      <c r="A1558" s="3">
        <v>38048</v>
      </c>
      <c r="B1558" s="4">
        <v>300</v>
      </c>
      <c r="D1558" s="5">
        <v>63275</v>
      </c>
      <c r="E1558" s="5">
        <f t="shared" si="39"/>
        <v>12750</v>
      </c>
      <c r="F1558" s="5">
        <v>76325</v>
      </c>
      <c r="K1558" s="24">
        <v>950</v>
      </c>
      <c r="L1558" s="6">
        <v>903</v>
      </c>
      <c r="M1558" s="270">
        <f t="shared" si="40"/>
        <v>-47</v>
      </c>
      <c r="N1558" s="7"/>
      <c r="O1558" s="277"/>
      <c r="P1558" s="345"/>
      <c r="V1558" s="383"/>
    </row>
    <row r="1559" spans="1:22" ht="15" customHeight="1">
      <c r="A1559" s="3">
        <v>38049</v>
      </c>
      <c r="B1559" s="4">
        <v>300</v>
      </c>
      <c r="D1559" s="5">
        <v>63025</v>
      </c>
      <c r="E1559" s="5">
        <f t="shared" si="39"/>
        <v>12750</v>
      </c>
      <c r="F1559" s="5">
        <v>76075</v>
      </c>
      <c r="K1559" s="24">
        <v>923</v>
      </c>
      <c r="L1559" s="6">
        <v>883</v>
      </c>
      <c r="M1559" s="270">
        <f t="shared" si="40"/>
        <v>-40</v>
      </c>
      <c r="N1559" s="7"/>
      <c r="O1559" s="277"/>
      <c r="P1559" s="345"/>
      <c r="V1559" s="383"/>
    </row>
    <row r="1560" spans="1:22" ht="15" customHeight="1">
      <c r="A1560" s="3">
        <v>38050</v>
      </c>
      <c r="B1560" s="4">
        <v>300</v>
      </c>
      <c r="D1560" s="5">
        <v>62800</v>
      </c>
      <c r="E1560" s="5">
        <f t="shared" si="39"/>
        <v>12750</v>
      </c>
      <c r="F1560" s="5">
        <v>75850</v>
      </c>
      <c r="K1560" s="24">
        <v>907</v>
      </c>
      <c r="L1560" s="6">
        <v>843</v>
      </c>
      <c r="M1560" s="270">
        <f t="shared" si="40"/>
        <v>-64</v>
      </c>
      <c r="N1560" s="7"/>
      <c r="O1560" s="277"/>
      <c r="P1560" s="345"/>
      <c r="V1560" s="383"/>
    </row>
    <row r="1561" spans="1:22" ht="15" customHeight="1">
      <c r="A1561" s="3">
        <v>38053</v>
      </c>
      <c r="B1561" s="4">
        <v>300</v>
      </c>
      <c r="D1561" s="5">
        <v>62425</v>
      </c>
      <c r="E1561" s="5">
        <f t="shared" si="39"/>
        <v>12750</v>
      </c>
      <c r="F1561" s="5">
        <v>75475</v>
      </c>
      <c r="K1561" s="24">
        <v>905</v>
      </c>
      <c r="L1561" s="6">
        <v>842</v>
      </c>
      <c r="M1561" s="270">
        <f t="shared" si="40"/>
        <v>-63</v>
      </c>
      <c r="N1561" s="7"/>
      <c r="O1561" s="277"/>
      <c r="P1561" s="345"/>
      <c r="V1561" s="383"/>
    </row>
    <row r="1562" spans="1:22" ht="15" customHeight="1">
      <c r="A1562" s="3">
        <v>38054</v>
      </c>
      <c r="B1562" s="4">
        <v>300</v>
      </c>
      <c r="D1562" s="5">
        <v>62200</v>
      </c>
      <c r="E1562" s="5">
        <f t="shared" si="39"/>
        <v>12750</v>
      </c>
      <c r="F1562" s="5">
        <v>75250</v>
      </c>
      <c r="K1562" s="24">
        <v>915</v>
      </c>
      <c r="L1562" s="6">
        <v>865</v>
      </c>
      <c r="M1562" s="270">
        <f t="shared" si="40"/>
        <v>-50</v>
      </c>
      <c r="N1562" s="7"/>
      <c r="O1562" s="277"/>
      <c r="P1562" s="345"/>
      <c r="V1562" s="383"/>
    </row>
    <row r="1563" spans="1:22" ht="15" customHeight="1">
      <c r="A1563" s="3">
        <v>38055</v>
      </c>
      <c r="B1563" s="4">
        <v>300</v>
      </c>
      <c r="D1563" s="5">
        <v>62200</v>
      </c>
      <c r="E1563" s="5">
        <f t="shared" si="39"/>
        <v>12550</v>
      </c>
      <c r="F1563" s="5">
        <v>75050</v>
      </c>
      <c r="K1563" s="24">
        <v>868</v>
      </c>
      <c r="L1563" s="6">
        <v>827</v>
      </c>
      <c r="M1563" s="270">
        <f t="shared" si="40"/>
        <v>-41</v>
      </c>
      <c r="N1563" s="7"/>
      <c r="O1563" s="277"/>
      <c r="P1563" s="345"/>
      <c r="V1563" s="383"/>
    </row>
    <row r="1564" spans="1:22" ht="15" customHeight="1">
      <c r="A1564" s="3">
        <v>38056</v>
      </c>
      <c r="B1564" s="4">
        <v>300</v>
      </c>
      <c r="D1564" s="5">
        <v>61725</v>
      </c>
      <c r="E1564" s="5">
        <f t="shared" si="39"/>
        <v>12750</v>
      </c>
      <c r="F1564" s="5">
        <v>74775</v>
      </c>
      <c r="K1564" s="24">
        <v>876</v>
      </c>
      <c r="L1564" s="6">
        <v>839</v>
      </c>
      <c r="M1564" s="270">
        <f t="shared" si="40"/>
        <v>-37</v>
      </c>
      <c r="N1564" s="7"/>
      <c r="O1564" s="277"/>
      <c r="P1564" s="345"/>
      <c r="V1564" s="383"/>
    </row>
    <row r="1565" spans="1:22" ht="15" customHeight="1">
      <c r="A1565" s="3">
        <v>38057</v>
      </c>
      <c r="B1565" s="4">
        <v>300</v>
      </c>
      <c r="D1565" s="5">
        <v>61500</v>
      </c>
      <c r="E1565" s="5">
        <f t="shared" ref="E1565:E1610" si="41">F1565-(B1565+D1565)</f>
        <v>12750</v>
      </c>
      <c r="F1565" s="5">
        <v>74550</v>
      </c>
      <c r="K1565" s="24">
        <v>881</v>
      </c>
      <c r="L1565" s="6">
        <v>842.5</v>
      </c>
      <c r="M1565" s="270">
        <f t="shared" si="40"/>
        <v>-38.5</v>
      </c>
      <c r="N1565" s="7"/>
      <c r="O1565" s="277"/>
      <c r="P1565" s="345"/>
      <c r="V1565" s="383"/>
    </row>
    <row r="1566" spans="1:22" ht="15" customHeight="1">
      <c r="A1566" s="3">
        <v>38058</v>
      </c>
      <c r="B1566" s="4">
        <v>300</v>
      </c>
      <c r="D1566" s="5">
        <v>61275</v>
      </c>
      <c r="E1566" s="5">
        <f t="shared" si="41"/>
        <v>12750</v>
      </c>
      <c r="F1566" s="5">
        <v>74325</v>
      </c>
      <c r="K1566" s="24">
        <v>889</v>
      </c>
      <c r="L1566" s="6">
        <v>855</v>
      </c>
      <c r="M1566" s="270">
        <f t="shared" si="40"/>
        <v>-34</v>
      </c>
      <c r="N1566" s="7"/>
      <c r="O1566" s="277"/>
      <c r="P1566" s="345"/>
      <c r="V1566" s="383"/>
    </row>
    <row r="1567" spans="1:22" ht="15" customHeight="1">
      <c r="A1567" s="3">
        <v>38061</v>
      </c>
      <c r="B1567" s="4">
        <v>300</v>
      </c>
      <c r="D1567" s="5">
        <v>61050</v>
      </c>
      <c r="E1567" s="5">
        <f t="shared" si="41"/>
        <v>12750</v>
      </c>
      <c r="F1567" s="5">
        <v>74100</v>
      </c>
      <c r="K1567" s="24">
        <v>895</v>
      </c>
      <c r="L1567" s="6">
        <v>862</v>
      </c>
      <c r="M1567" s="270">
        <f t="shared" si="40"/>
        <v>-33</v>
      </c>
      <c r="N1567" s="7"/>
      <c r="O1567" s="277"/>
      <c r="P1567" s="345"/>
      <c r="V1567" s="383"/>
    </row>
    <row r="1568" spans="1:22" ht="15" customHeight="1">
      <c r="A1568" s="3">
        <v>38062</v>
      </c>
      <c r="B1568" s="4">
        <v>300</v>
      </c>
      <c r="D1568" s="5">
        <v>60925</v>
      </c>
      <c r="E1568" s="5">
        <f t="shared" si="41"/>
        <v>12750</v>
      </c>
      <c r="F1568" s="5">
        <v>73975</v>
      </c>
      <c r="K1568" s="24">
        <v>897</v>
      </c>
      <c r="L1568" s="6">
        <v>876</v>
      </c>
      <c r="M1568" s="270">
        <f t="shared" si="40"/>
        <v>-21</v>
      </c>
      <c r="N1568" s="7"/>
      <c r="O1568" s="277"/>
      <c r="P1568" s="345"/>
      <c r="V1568" s="383"/>
    </row>
    <row r="1569" spans="1:22" ht="15" customHeight="1">
      <c r="A1569" s="3">
        <v>38063</v>
      </c>
      <c r="B1569" s="4">
        <v>300</v>
      </c>
      <c r="D1569" s="5">
        <v>60825</v>
      </c>
      <c r="E1569" s="5">
        <f t="shared" si="41"/>
        <v>12750</v>
      </c>
      <c r="F1569" s="5">
        <v>73875</v>
      </c>
      <c r="K1569" s="24">
        <v>920</v>
      </c>
      <c r="L1569" s="6">
        <v>886.5</v>
      </c>
      <c r="M1569" s="270">
        <f t="shared" si="40"/>
        <v>-33.5</v>
      </c>
      <c r="N1569" s="7"/>
      <c r="O1569" s="277"/>
      <c r="P1569" s="345"/>
      <c r="V1569" s="383"/>
    </row>
    <row r="1570" spans="1:22" ht="15" customHeight="1">
      <c r="A1570" s="3">
        <v>38064</v>
      </c>
      <c r="B1570" s="4">
        <v>300</v>
      </c>
      <c r="D1570" s="5">
        <v>60725</v>
      </c>
      <c r="E1570" s="5">
        <f t="shared" si="41"/>
        <v>12750</v>
      </c>
      <c r="F1570" s="5">
        <v>73775</v>
      </c>
      <c r="K1570" s="24">
        <v>895.5</v>
      </c>
      <c r="L1570" s="6">
        <v>871</v>
      </c>
      <c r="M1570" s="270">
        <f t="shared" si="40"/>
        <v>-24.5</v>
      </c>
      <c r="N1570" s="7"/>
      <c r="O1570" s="277"/>
      <c r="P1570" s="345"/>
      <c r="V1570" s="383"/>
    </row>
    <row r="1571" spans="1:22" ht="15" customHeight="1">
      <c r="A1571" s="3">
        <v>38067</v>
      </c>
      <c r="B1571" s="4">
        <v>300</v>
      </c>
      <c r="D1571" s="5">
        <v>60525</v>
      </c>
      <c r="E1571" s="5">
        <f t="shared" si="41"/>
        <v>12750</v>
      </c>
      <c r="F1571" s="5">
        <v>73575</v>
      </c>
      <c r="K1571" s="24">
        <v>904.5</v>
      </c>
      <c r="L1571" s="6">
        <v>875</v>
      </c>
      <c r="M1571" s="270">
        <f t="shared" si="40"/>
        <v>-29.5</v>
      </c>
      <c r="N1571" s="7"/>
      <c r="O1571" s="277"/>
      <c r="P1571" s="345"/>
      <c r="V1571" s="383"/>
    </row>
    <row r="1572" spans="1:22" ht="15" customHeight="1">
      <c r="A1572" s="3">
        <v>38068</v>
      </c>
      <c r="B1572" s="4">
        <v>300</v>
      </c>
      <c r="D1572" s="5">
        <v>60375</v>
      </c>
      <c r="E1572" s="5">
        <f t="shared" si="41"/>
        <v>12750</v>
      </c>
      <c r="F1572" s="5">
        <v>73425</v>
      </c>
      <c r="K1572" s="24">
        <v>893</v>
      </c>
      <c r="L1572" s="6">
        <v>871</v>
      </c>
      <c r="M1572" s="270">
        <f t="shared" si="40"/>
        <v>-22</v>
      </c>
      <c r="N1572" s="7"/>
      <c r="O1572" s="277"/>
      <c r="P1572" s="345"/>
      <c r="V1572" s="383"/>
    </row>
    <row r="1573" spans="1:22" ht="15" customHeight="1">
      <c r="A1573" s="3">
        <v>38069</v>
      </c>
      <c r="B1573" s="4">
        <v>300</v>
      </c>
      <c r="D1573" s="5">
        <v>60375</v>
      </c>
      <c r="E1573" s="5">
        <f t="shared" si="41"/>
        <v>12750</v>
      </c>
      <c r="F1573" s="5">
        <v>73425</v>
      </c>
      <c r="K1573" s="24">
        <v>855</v>
      </c>
      <c r="L1573" s="6">
        <v>834</v>
      </c>
      <c r="M1573" s="270">
        <f t="shared" si="40"/>
        <v>-21</v>
      </c>
      <c r="N1573" s="7"/>
      <c r="O1573" s="277"/>
      <c r="P1573" s="345"/>
      <c r="V1573" s="383"/>
    </row>
    <row r="1574" spans="1:22" ht="15" customHeight="1">
      <c r="A1574" s="3">
        <v>38070</v>
      </c>
      <c r="B1574" s="4">
        <v>1400</v>
      </c>
      <c r="D1574" s="5">
        <v>60375</v>
      </c>
      <c r="E1574" s="5">
        <f t="shared" si="41"/>
        <v>12750</v>
      </c>
      <c r="F1574" s="5">
        <v>74525</v>
      </c>
      <c r="K1574" s="24">
        <v>859</v>
      </c>
      <c r="L1574" s="6">
        <v>843</v>
      </c>
      <c r="M1574" s="270">
        <f t="shared" si="40"/>
        <v>-16</v>
      </c>
      <c r="N1574" s="7"/>
      <c r="O1574" s="277"/>
      <c r="P1574" s="345"/>
      <c r="V1574" s="383"/>
    </row>
    <row r="1575" spans="1:22" ht="15" customHeight="1">
      <c r="A1575" s="3">
        <v>38071</v>
      </c>
      <c r="B1575" s="4">
        <v>1400</v>
      </c>
      <c r="D1575" s="5">
        <v>60375</v>
      </c>
      <c r="E1575" s="5">
        <f t="shared" si="41"/>
        <v>12750</v>
      </c>
      <c r="F1575" s="5">
        <v>74525</v>
      </c>
      <c r="K1575" s="24">
        <v>842</v>
      </c>
      <c r="L1575" s="6">
        <v>825</v>
      </c>
      <c r="M1575" s="270">
        <f t="shared" si="40"/>
        <v>-17</v>
      </c>
      <c r="N1575" s="7"/>
      <c r="O1575" s="277"/>
      <c r="P1575" s="345"/>
      <c r="V1575" s="383"/>
    </row>
    <row r="1576" spans="1:22" ht="15" customHeight="1">
      <c r="A1576" s="3">
        <v>38072</v>
      </c>
      <c r="B1576" s="4">
        <v>1375</v>
      </c>
      <c r="D1576" s="5">
        <v>60375</v>
      </c>
      <c r="E1576" s="5">
        <f t="shared" si="41"/>
        <v>12750</v>
      </c>
      <c r="F1576" s="5">
        <v>74500</v>
      </c>
      <c r="K1576" s="24">
        <v>829</v>
      </c>
      <c r="L1576" s="6">
        <v>816</v>
      </c>
      <c r="M1576" s="270">
        <f t="shared" si="40"/>
        <v>-13</v>
      </c>
      <c r="N1576" s="7"/>
      <c r="O1576" s="277"/>
      <c r="P1576" s="345"/>
      <c r="V1576" s="383"/>
    </row>
    <row r="1577" spans="1:22" ht="15" customHeight="1">
      <c r="A1577" s="3">
        <v>38075</v>
      </c>
      <c r="B1577" s="4">
        <v>1350</v>
      </c>
      <c r="D1577" s="5">
        <v>60325</v>
      </c>
      <c r="E1577" s="5">
        <f t="shared" si="41"/>
        <v>12750</v>
      </c>
      <c r="F1577" s="5">
        <v>74425</v>
      </c>
      <c r="K1577" s="24">
        <v>835</v>
      </c>
      <c r="L1577" s="6">
        <v>825</v>
      </c>
      <c r="M1577" s="270">
        <f t="shared" si="40"/>
        <v>-10</v>
      </c>
      <c r="N1577" s="7"/>
      <c r="O1577" s="277"/>
      <c r="P1577" s="345"/>
      <c r="V1577" s="383"/>
    </row>
    <row r="1578" spans="1:22" ht="15" customHeight="1">
      <c r="A1578" s="3">
        <v>38076</v>
      </c>
      <c r="B1578" s="4">
        <v>1325</v>
      </c>
      <c r="D1578" s="5">
        <v>60250</v>
      </c>
      <c r="E1578" s="5">
        <f t="shared" si="41"/>
        <v>12750</v>
      </c>
      <c r="F1578" s="5">
        <v>74325</v>
      </c>
      <c r="K1578" s="24">
        <v>846</v>
      </c>
      <c r="L1578" s="6">
        <v>835.5</v>
      </c>
      <c r="M1578" s="270">
        <f t="shared" si="40"/>
        <v>-10.5</v>
      </c>
      <c r="N1578" s="7"/>
      <c r="O1578" s="277"/>
      <c r="P1578" s="345"/>
      <c r="V1578" s="383"/>
    </row>
    <row r="1579" spans="1:22" ht="15" customHeight="1">
      <c r="A1579" s="3">
        <v>38077</v>
      </c>
      <c r="B1579" s="4">
        <v>1325</v>
      </c>
      <c r="D1579" s="5">
        <v>60175</v>
      </c>
      <c r="E1579" s="5">
        <f t="shared" si="41"/>
        <v>12750</v>
      </c>
      <c r="F1579" s="5">
        <v>74250</v>
      </c>
      <c r="K1579" s="24">
        <v>829</v>
      </c>
      <c r="L1579" s="6">
        <v>821</v>
      </c>
      <c r="M1579" s="270">
        <f t="shared" si="40"/>
        <v>-8</v>
      </c>
      <c r="N1579" s="7"/>
      <c r="O1579" s="277"/>
      <c r="P1579" s="345"/>
      <c r="V1579" s="383"/>
    </row>
    <row r="1580" spans="1:22" ht="15" customHeight="1">
      <c r="A1580" s="3">
        <v>38078</v>
      </c>
      <c r="B1580" s="4">
        <v>1325</v>
      </c>
      <c r="D1580" s="5">
        <v>60175</v>
      </c>
      <c r="E1580" s="5">
        <f t="shared" si="41"/>
        <v>12750</v>
      </c>
      <c r="F1580" s="5">
        <v>74250</v>
      </c>
      <c r="K1580" s="24">
        <v>851</v>
      </c>
      <c r="L1580" s="6">
        <v>840</v>
      </c>
      <c r="M1580" s="270">
        <f t="shared" si="40"/>
        <v>-11</v>
      </c>
      <c r="N1580" s="7"/>
      <c r="O1580" s="277"/>
      <c r="P1580" s="345"/>
      <c r="V1580" s="383"/>
    </row>
    <row r="1581" spans="1:22" ht="15" customHeight="1">
      <c r="A1581" s="3">
        <v>38079</v>
      </c>
      <c r="B1581" s="4">
        <v>725</v>
      </c>
      <c r="D1581" s="5">
        <v>60075</v>
      </c>
      <c r="E1581" s="5">
        <f t="shared" si="41"/>
        <v>12750</v>
      </c>
      <c r="F1581" s="5">
        <v>73550</v>
      </c>
      <c r="K1581" s="24">
        <v>838.5</v>
      </c>
      <c r="L1581" s="6">
        <v>835</v>
      </c>
      <c r="M1581" s="270">
        <f t="shared" si="40"/>
        <v>-3.5</v>
      </c>
      <c r="N1581" s="7"/>
      <c r="O1581" s="277"/>
      <c r="P1581" s="345"/>
      <c r="V1581" s="383"/>
    </row>
    <row r="1582" spans="1:22" ht="15" customHeight="1">
      <c r="A1582" s="3">
        <v>38082</v>
      </c>
      <c r="B1582" s="4">
        <v>725</v>
      </c>
      <c r="D1582" s="5">
        <v>60000</v>
      </c>
      <c r="E1582" s="5">
        <f t="shared" si="41"/>
        <v>12750</v>
      </c>
      <c r="F1582" s="5">
        <v>73475</v>
      </c>
      <c r="K1582" s="24">
        <v>814</v>
      </c>
      <c r="L1582" s="6">
        <v>808</v>
      </c>
      <c r="M1582" s="270">
        <f t="shared" si="40"/>
        <v>-6</v>
      </c>
      <c r="N1582" s="7"/>
      <c r="O1582" s="277"/>
      <c r="P1582" s="345"/>
      <c r="V1582" s="383"/>
    </row>
    <row r="1583" spans="1:22" ht="15" customHeight="1">
      <c r="A1583" s="3">
        <v>38083</v>
      </c>
      <c r="B1583" s="4">
        <v>725</v>
      </c>
      <c r="D1583" s="5">
        <v>60000</v>
      </c>
      <c r="E1583" s="5">
        <f t="shared" si="41"/>
        <v>12750</v>
      </c>
      <c r="F1583" s="5">
        <v>73475</v>
      </c>
      <c r="K1583" s="24">
        <v>805</v>
      </c>
      <c r="L1583" s="6">
        <v>801.5</v>
      </c>
      <c r="M1583" s="270">
        <f t="shared" si="40"/>
        <v>-3.5</v>
      </c>
      <c r="N1583" s="7"/>
      <c r="O1583" s="277"/>
      <c r="P1583" s="345"/>
      <c r="V1583" s="383"/>
    </row>
    <row r="1584" spans="1:22" ht="15" customHeight="1">
      <c r="A1584" s="3">
        <v>38084</v>
      </c>
      <c r="B1584" s="4">
        <v>725</v>
      </c>
      <c r="D1584" s="5">
        <v>59975</v>
      </c>
      <c r="E1584" s="5">
        <f t="shared" si="41"/>
        <v>12750</v>
      </c>
      <c r="F1584" s="5">
        <v>73450</v>
      </c>
      <c r="K1584" s="24">
        <v>794</v>
      </c>
      <c r="L1584" s="6">
        <v>791</v>
      </c>
      <c r="M1584" s="270">
        <f t="shared" si="40"/>
        <v>-3</v>
      </c>
      <c r="N1584" s="7"/>
      <c r="O1584" s="277"/>
      <c r="P1584" s="345"/>
      <c r="V1584" s="383"/>
    </row>
    <row r="1585" spans="1:22" ht="15" customHeight="1">
      <c r="A1585" s="3">
        <v>38085</v>
      </c>
      <c r="B1585" s="4">
        <v>725</v>
      </c>
      <c r="D1585" s="5">
        <v>59875</v>
      </c>
      <c r="E1585" s="5">
        <f t="shared" si="41"/>
        <v>12750</v>
      </c>
      <c r="F1585" s="5">
        <v>73350</v>
      </c>
      <c r="K1585" s="24">
        <v>762.5</v>
      </c>
      <c r="L1585" s="6">
        <v>765</v>
      </c>
      <c r="M1585" s="270">
        <f t="shared" si="40"/>
        <v>2.5</v>
      </c>
      <c r="N1585" s="7"/>
      <c r="O1585" s="277"/>
      <c r="P1585" s="345"/>
      <c r="V1585" s="383"/>
    </row>
    <row r="1586" spans="1:22" ht="15" customHeight="1">
      <c r="A1586" s="3">
        <v>38088</v>
      </c>
      <c r="B1586" s="4">
        <v>725</v>
      </c>
      <c r="D1586" s="5">
        <v>59875</v>
      </c>
      <c r="E1586" s="5">
        <f t="shared" si="41"/>
        <v>12750</v>
      </c>
      <c r="F1586" s="5">
        <v>73350</v>
      </c>
      <c r="K1586" s="24">
        <v>762.5</v>
      </c>
      <c r="L1586" s="6">
        <v>765</v>
      </c>
      <c r="M1586" s="270">
        <f t="shared" si="40"/>
        <v>2.5</v>
      </c>
      <c r="N1586" s="7"/>
      <c r="O1586" s="277"/>
      <c r="P1586" s="345"/>
      <c r="V1586" s="383"/>
    </row>
    <row r="1587" spans="1:22" ht="15" customHeight="1">
      <c r="A1587" s="3">
        <v>38089</v>
      </c>
      <c r="B1587" s="4">
        <v>725</v>
      </c>
      <c r="D1587" s="5">
        <v>59875</v>
      </c>
      <c r="E1587" s="5">
        <f t="shared" si="41"/>
        <v>12750</v>
      </c>
      <c r="F1587" s="5">
        <v>73350</v>
      </c>
      <c r="K1587" s="24">
        <v>762.5</v>
      </c>
      <c r="L1587" s="6">
        <v>765</v>
      </c>
      <c r="M1587" s="270">
        <f t="shared" si="40"/>
        <v>2.5</v>
      </c>
      <c r="N1587" s="7"/>
      <c r="O1587" s="277"/>
      <c r="P1587" s="345"/>
      <c r="V1587" s="383"/>
    </row>
    <row r="1588" spans="1:22" ht="15" customHeight="1">
      <c r="A1588" s="3">
        <v>38090</v>
      </c>
      <c r="B1588" s="4">
        <v>725</v>
      </c>
      <c r="D1588" s="5">
        <v>59775</v>
      </c>
      <c r="E1588" s="5">
        <f t="shared" si="41"/>
        <v>12750</v>
      </c>
      <c r="F1588" s="5">
        <v>73250</v>
      </c>
      <c r="K1588" s="24">
        <v>730</v>
      </c>
      <c r="L1588" s="6">
        <v>731</v>
      </c>
      <c r="M1588" s="270">
        <f t="shared" si="40"/>
        <v>1</v>
      </c>
      <c r="N1588" s="7"/>
      <c r="O1588" s="277"/>
      <c r="P1588" s="345"/>
      <c r="V1588" s="383"/>
    </row>
    <row r="1589" spans="1:22" ht="15" customHeight="1">
      <c r="A1589" s="3">
        <v>38091</v>
      </c>
      <c r="B1589" s="4">
        <v>725</v>
      </c>
      <c r="D1589" s="5">
        <v>59625</v>
      </c>
      <c r="E1589" s="5">
        <f t="shared" si="41"/>
        <v>12750</v>
      </c>
      <c r="F1589" s="5">
        <v>73100</v>
      </c>
      <c r="K1589" s="24">
        <v>727</v>
      </c>
      <c r="L1589" s="6">
        <v>734</v>
      </c>
      <c r="M1589" s="270">
        <f t="shared" si="40"/>
        <v>7</v>
      </c>
      <c r="N1589" s="7"/>
      <c r="O1589" s="277"/>
      <c r="P1589" s="345"/>
      <c r="V1589" s="383"/>
    </row>
    <row r="1590" spans="1:22" ht="15" customHeight="1">
      <c r="A1590" s="3">
        <v>38092</v>
      </c>
      <c r="B1590" s="4">
        <v>725</v>
      </c>
      <c r="D1590" s="5">
        <v>59500</v>
      </c>
      <c r="E1590" s="5">
        <f t="shared" si="41"/>
        <v>12750</v>
      </c>
      <c r="F1590" s="5">
        <v>72975</v>
      </c>
      <c r="K1590" s="24">
        <v>732.5</v>
      </c>
      <c r="L1590" s="6">
        <v>735</v>
      </c>
      <c r="M1590" s="270">
        <f t="shared" si="40"/>
        <v>2.5</v>
      </c>
      <c r="N1590" s="7"/>
      <c r="O1590" s="277"/>
      <c r="P1590" s="345"/>
      <c r="V1590" s="383"/>
    </row>
    <row r="1591" spans="1:22" ht="15" customHeight="1">
      <c r="A1591" s="3">
        <v>38093</v>
      </c>
      <c r="B1591" s="4">
        <v>1050</v>
      </c>
      <c r="D1591" s="5">
        <v>59375</v>
      </c>
      <c r="E1591" s="5">
        <f t="shared" si="41"/>
        <v>12750</v>
      </c>
      <c r="F1591" s="5">
        <v>73175</v>
      </c>
      <c r="K1591" s="24">
        <v>731</v>
      </c>
      <c r="L1591" s="6">
        <v>730</v>
      </c>
      <c r="M1591" s="270">
        <f t="shared" ref="M1591:M1654" si="42">L1591-K1591</f>
        <v>-1</v>
      </c>
      <c r="N1591" s="7"/>
      <c r="O1591" s="277"/>
      <c r="P1591" s="345"/>
      <c r="V1591" s="383"/>
    </row>
    <row r="1592" spans="1:22" ht="15" customHeight="1">
      <c r="A1592" s="3">
        <v>38096</v>
      </c>
      <c r="B1592" s="4">
        <v>1050</v>
      </c>
      <c r="D1592" s="5">
        <v>59125</v>
      </c>
      <c r="E1592" s="5">
        <f t="shared" si="41"/>
        <v>12750</v>
      </c>
      <c r="F1592" s="5">
        <v>72925</v>
      </c>
      <c r="K1592" s="24">
        <v>754</v>
      </c>
      <c r="L1592" s="6">
        <v>752</v>
      </c>
      <c r="M1592" s="270">
        <f t="shared" si="42"/>
        <v>-2</v>
      </c>
      <c r="N1592" s="7"/>
      <c r="O1592" s="277"/>
      <c r="P1592" s="345"/>
      <c r="V1592" s="383"/>
    </row>
    <row r="1593" spans="1:22" ht="15" customHeight="1">
      <c r="A1593" s="3">
        <v>38097</v>
      </c>
      <c r="B1593" s="4">
        <v>1050</v>
      </c>
      <c r="D1593" s="5">
        <v>59125</v>
      </c>
      <c r="E1593" s="5">
        <f t="shared" si="41"/>
        <v>12750</v>
      </c>
      <c r="F1593" s="5">
        <v>72925</v>
      </c>
      <c r="K1593" s="24">
        <v>745</v>
      </c>
      <c r="L1593" s="6">
        <v>743</v>
      </c>
      <c r="M1593" s="270">
        <f t="shared" si="42"/>
        <v>-2</v>
      </c>
      <c r="N1593" s="7"/>
      <c r="O1593" s="277"/>
      <c r="P1593" s="345"/>
      <c r="V1593" s="383"/>
    </row>
    <row r="1594" spans="1:22" ht="15" customHeight="1">
      <c r="A1594" s="3">
        <v>38098</v>
      </c>
      <c r="B1594" s="4">
        <v>1050</v>
      </c>
      <c r="D1594" s="5">
        <v>58950</v>
      </c>
      <c r="E1594" s="5">
        <f t="shared" si="41"/>
        <v>12750</v>
      </c>
      <c r="F1594" s="5">
        <v>72750</v>
      </c>
      <c r="K1594" s="24">
        <v>696.5</v>
      </c>
      <c r="L1594" s="6">
        <v>698.5</v>
      </c>
      <c r="M1594" s="270">
        <f t="shared" si="42"/>
        <v>2</v>
      </c>
      <c r="N1594" s="7"/>
      <c r="O1594" s="277"/>
      <c r="P1594" s="345"/>
      <c r="V1594" s="383"/>
    </row>
    <row r="1595" spans="1:22" ht="15" customHeight="1">
      <c r="A1595" s="3">
        <v>38099</v>
      </c>
      <c r="B1595" s="4">
        <v>1050</v>
      </c>
      <c r="D1595" s="5">
        <v>58800</v>
      </c>
      <c r="E1595" s="5">
        <f t="shared" si="41"/>
        <v>12750</v>
      </c>
      <c r="F1595" s="5">
        <v>72600</v>
      </c>
      <c r="K1595" s="24">
        <v>727</v>
      </c>
      <c r="L1595" s="6">
        <v>716</v>
      </c>
      <c r="M1595" s="270">
        <f t="shared" si="42"/>
        <v>-11</v>
      </c>
      <c r="N1595" s="7"/>
      <c r="O1595" s="277"/>
      <c r="P1595" s="345"/>
      <c r="V1595" s="383"/>
    </row>
    <row r="1596" spans="1:22" ht="15" customHeight="1">
      <c r="A1596" s="3">
        <v>38100</v>
      </c>
      <c r="B1596" s="4">
        <v>1125</v>
      </c>
      <c r="D1596" s="5">
        <v>58375</v>
      </c>
      <c r="E1596" s="5">
        <f t="shared" si="41"/>
        <v>12750</v>
      </c>
      <c r="F1596" s="5">
        <v>72250</v>
      </c>
      <c r="K1596" s="24">
        <v>724</v>
      </c>
      <c r="L1596" s="6">
        <v>720</v>
      </c>
      <c r="M1596" s="270">
        <f t="shared" si="42"/>
        <v>-4</v>
      </c>
      <c r="N1596" s="7"/>
      <c r="O1596" s="277"/>
      <c r="P1596" s="345"/>
      <c r="V1596" s="383"/>
    </row>
    <row r="1597" spans="1:22" ht="15" customHeight="1">
      <c r="A1597" s="3">
        <v>38103</v>
      </c>
      <c r="B1597" s="4">
        <v>1050</v>
      </c>
      <c r="D1597" s="5">
        <v>57975</v>
      </c>
      <c r="E1597" s="5">
        <f t="shared" si="41"/>
        <v>12750</v>
      </c>
      <c r="F1597" s="5">
        <v>71775</v>
      </c>
      <c r="K1597" s="24">
        <v>730</v>
      </c>
      <c r="L1597" s="6">
        <v>727</v>
      </c>
      <c r="M1597" s="270">
        <f t="shared" si="42"/>
        <v>-3</v>
      </c>
      <c r="N1597" s="7"/>
      <c r="O1597" s="277"/>
      <c r="P1597" s="345"/>
      <c r="V1597" s="383"/>
    </row>
    <row r="1598" spans="1:22" ht="15" customHeight="1">
      <c r="A1598" s="3">
        <v>38104</v>
      </c>
      <c r="B1598" s="4">
        <v>1050</v>
      </c>
      <c r="D1598" s="5">
        <v>57600</v>
      </c>
      <c r="E1598" s="5">
        <f t="shared" si="41"/>
        <v>12750</v>
      </c>
      <c r="F1598" s="5">
        <v>71400</v>
      </c>
      <c r="K1598" s="24">
        <v>727.5</v>
      </c>
      <c r="L1598" s="6">
        <v>723</v>
      </c>
      <c r="M1598" s="270">
        <f t="shared" si="42"/>
        <v>-4.5</v>
      </c>
      <c r="N1598" s="7"/>
      <c r="O1598" s="277"/>
      <c r="P1598" s="345"/>
      <c r="V1598" s="383"/>
    </row>
    <row r="1599" spans="1:22" ht="15" customHeight="1">
      <c r="A1599" s="3">
        <v>38105</v>
      </c>
      <c r="B1599" s="4">
        <v>1050</v>
      </c>
      <c r="D1599" s="5">
        <v>57250</v>
      </c>
      <c r="E1599" s="5">
        <f t="shared" si="41"/>
        <v>12750</v>
      </c>
      <c r="F1599" s="5">
        <v>71050</v>
      </c>
      <c r="K1599" s="24">
        <v>714</v>
      </c>
      <c r="L1599" s="6">
        <v>705.5</v>
      </c>
      <c r="M1599" s="270">
        <f t="shared" si="42"/>
        <v>-8.5</v>
      </c>
      <c r="N1599" s="7"/>
      <c r="O1599" s="277"/>
      <c r="P1599" s="345"/>
      <c r="V1599" s="383"/>
    </row>
    <row r="1600" spans="1:22" ht="15" customHeight="1">
      <c r="A1600" s="3">
        <v>38106</v>
      </c>
      <c r="B1600" s="4">
        <v>1025</v>
      </c>
      <c r="D1600" s="5">
        <v>57000</v>
      </c>
      <c r="E1600" s="5">
        <f t="shared" si="41"/>
        <v>12750</v>
      </c>
      <c r="F1600" s="5">
        <v>70775</v>
      </c>
      <c r="K1600" s="24">
        <v>735</v>
      </c>
      <c r="L1600" s="6">
        <v>723</v>
      </c>
      <c r="M1600" s="270">
        <f t="shared" si="42"/>
        <v>-12</v>
      </c>
      <c r="N1600" s="7"/>
      <c r="O1600" s="277"/>
      <c r="P1600" s="345"/>
      <c r="V1600" s="383"/>
    </row>
    <row r="1601" spans="1:22" ht="15" customHeight="1">
      <c r="A1601" s="3">
        <v>38107</v>
      </c>
      <c r="B1601" s="4">
        <v>1025</v>
      </c>
      <c r="D1601" s="5">
        <v>56550</v>
      </c>
      <c r="E1601" s="5">
        <f t="shared" si="41"/>
        <v>12750</v>
      </c>
      <c r="F1601" s="5">
        <v>70325</v>
      </c>
      <c r="K1601" s="24">
        <v>735</v>
      </c>
      <c r="L1601" s="6">
        <v>718</v>
      </c>
      <c r="M1601" s="270">
        <f t="shared" si="42"/>
        <v>-17</v>
      </c>
      <c r="N1601" s="7"/>
      <c r="O1601" s="277"/>
      <c r="P1601" s="345"/>
      <c r="V1601" s="383"/>
    </row>
    <row r="1602" spans="1:22" ht="15" customHeight="1">
      <c r="A1602" s="3">
        <v>38110</v>
      </c>
      <c r="B1602" s="4">
        <v>1025</v>
      </c>
      <c r="D1602" s="5">
        <v>56550</v>
      </c>
      <c r="E1602" s="5">
        <f t="shared" si="41"/>
        <v>12750</v>
      </c>
      <c r="F1602" s="5">
        <v>70325</v>
      </c>
      <c r="K1602" s="24">
        <v>735</v>
      </c>
      <c r="L1602" s="6">
        <v>718</v>
      </c>
      <c r="M1602" s="270">
        <f t="shared" si="42"/>
        <v>-17</v>
      </c>
      <c r="N1602" s="7"/>
      <c r="O1602" s="277"/>
      <c r="P1602" s="345"/>
      <c r="V1602" s="383"/>
    </row>
    <row r="1603" spans="1:22" ht="15" customHeight="1">
      <c r="A1603" s="3">
        <v>38111</v>
      </c>
      <c r="B1603" s="4">
        <v>1025</v>
      </c>
      <c r="D1603" s="5">
        <v>55850</v>
      </c>
      <c r="E1603" s="5">
        <f t="shared" si="41"/>
        <v>12750</v>
      </c>
      <c r="F1603" s="5">
        <v>69625</v>
      </c>
      <c r="K1603" s="24">
        <v>751</v>
      </c>
      <c r="L1603" s="6">
        <v>736</v>
      </c>
      <c r="M1603" s="270">
        <f t="shared" si="42"/>
        <v>-15</v>
      </c>
      <c r="N1603" s="7"/>
      <c r="O1603" s="277"/>
      <c r="P1603" s="345"/>
      <c r="V1603" s="383"/>
    </row>
    <row r="1604" spans="1:22" ht="15" customHeight="1">
      <c r="A1604" s="3">
        <v>38112</v>
      </c>
      <c r="B1604" s="4">
        <v>3025</v>
      </c>
      <c r="D1604" s="5">
        <v>54750</v>
      </c>
      <c r="E1604" s="5">
        <f t="shared" si="41"/>
        <v>12750</v>
      </c>
      <c r="F1604" s="5">
        <v>70525</v>
      </c>
      <c r="K1604" s="24">
        <v>757</v>
      </c>
      <c r="L1604" s="6">
        <v>741</v>
      </c>
      <c r="M1604" s="270">
        <f t="shared" si="42"/>
        <v>-16</v>
      </c>
      <c r="N1604" s="7"/>
      <c r="O1604" s="277"/>
      <c r="P1604" s="345"/>
      <c r="V1604" s="383"/>
    </row>
    <row r="1605" spans="1:22" ht="15" customHeight="1">
      <c r="A1605" s="3">
        <v>38113</v>
      </c>
      <c r="B1605" s="4">
        <v>3025</v>
      </c>
      <c r="D1605" s="5">
        <v>54025</v>
      </c>
      <c r="E1605" s="5">
        <f t="shared" si="41"/>
        <v>12750</v>
      </c>
      <c r="F1605" s="5">
        <v>69800</v>
      </c>
      <c r="K1605" s="24">
        <v>795.5</v>
      </c>
      <c r="L1605" s="6">
        <v>764</v>
      </c>
      <c r="M1605" s="270">
        <f t="shared" si="42"/>
        <v>-31.5</v>
      </c>
      <c r="N1605" s="7"/>
      <c r="O1605" s="277"/>
      <c r="P1605" s="345"/>
      <c r="V1605" s="383"/>
    </row>
    <row r="1606" spans="1:22" ht="15" customHeight="1">
      <c r="A1606" s="3">
        <v>38114</v>
      </c>
      <c r="B1606" s="4">
        <v>3025</v>
      </c>
      <c r="D1606" s="5">
        <v>53375</v>
      </c>
      <c r="E1606" s="5">
        <f t="shared" si="41"/>
        <v>12750</v>
      </c>
      <c r="F1606" s="5">
        <v>69150</v>
      </c>
      <c r="K1606" s="24">
        <v>770</v>
      </c>
      <c r="L1606" s="6">
        <v>746</v>
      </c>
      <c r="M1606" s="270">
        <f t="shared" si="42"/>
        <v>-24</v>
      </c>
      <c r="N1606" s="7"/>
      <c r="O1606" s="277"/>
      <c r="P1606" s="345"/>
      <c r="V1606" s="383"/>
    </row>
    <row r="1607" spans="1:22" ht="15" customHeight="1">
      <c r="A1607" s="3">
        <v>38117</v>
      </c>
      <c r="B1607" s="4">
        <v>3025</v>
      </c>
      <c r="D1607" s="5">
        <v>52750</v>
      </c>
      <c r="E1607" s="5">
        <f t="shared" si="41"/>
        <v>12750</v>
      </c>
      <c r="F1607" s="5">
        <v>68525</v>
      </c>
      <c r="K1607" s="24">
        <v>736</v>
      </c>
      <c r="L1607" s="6">
        <v>713</v>
      </c>
      <c r="M1607" s="270">
        <f t="shared" si="42"/>
        <v>-23</v>
      </c>
      <c r="N1607" s="7"/>
      <c r="O1607" s="277"/>
      <c r="P1607" s="345"/>
      <c r="V1607" s="383"/>
    </row>
    <row r="1608" spans="1:22" ht="15" customHeight="1">
      <c r="A1608" s="3">
        <v>38118</v>
      </c>
      <c r="B1608" s="4">
        <v>5525</v>
      </c>
      <c r="D1608" s="5">
        <v>52250</v>
      </c>
      <c r="E1608" s="5">
        <f t="shared" si="41"/>
        <v>12750</v>
      </c>
      <c r="F1608" s="5">
        <v>70525</v>
      </c>
      <c r="K1608" s="24">
        <v>756</v>
      </c>
      <c r="L1608" s="6">
        <v>726</v>
      </c>
      <c r="M1608" s="270">
        <f t="shared" si="42"/>
        <v>-30</v>
      </c>
      <c r="N1608" s="7"/>
      <c r="O1608" s="277"/>
      <c r="P1608" s="345"/>
      <c r="V1608" s="383"/>
    </row>
    <row r="1609" spans="1:22" ht="15" customHeight="1">
      <c r="A1609" s="3">
        <v>38119</v>
      </c>
      <c r="B1609" s="4">
        <v>5425</v>
      </c>
      <c r="D1609" s="5">
        <v>51800</v>
      </c>
      <c r="E1609" s="5">
        <f t="shared" si="41"/>
        <v>12750</v>
      </c>
      <c r="F1609" s="5">
        <v>69975</v>
      </c>
      <c r="K1609" s="24">
        <v>770</v>
      </c>
      <c r="L1609" s="6">
        <v>731</v>
      </c>
      <c r="M1609" s="270">
        <f t="shared" si="42"/>
        <v>-39</v>
      </c>
      <c r="N1609" s="7"/>
      <c r="O1609" s="277"/>
      <c r="P1609" s="345"/>
      <c r="V1609" s="383"/>
    </row>
    <row r="1610" spans="1:22" ht="15" customHeight="1">
      <c r="A1610" s="3">
        <v>38120</v>
      </c>
      <c r="B1610" s="4">
        <v>5425</v>
      </c>
      <c r="D1610" s="5">
        <v>51175</v>
      </c>
      <c r="E1610" s="5">
        <f t="shared" si="41"/>
        <v>12750</v>
      </c>
      <c r="F1610" s="5">
        <v>69350</v>
      </c>
      <c r="K1610" s="24">
        <v>784.5</v>
      </c>
      <c r="L1610" s="6">
        <v>735</v>
      </c>
      <c r="M1610" s="270">
        <f t="shared" si="42"/>
        <v>-49.5</v>
      </c>
      <c r="N1610" s="7"/>
      <c r="O1610" s="277"/>
      <c r="P1610" s="345"/>
      <c r="V1610" s="383"/>
    </row>
    <row r="1611" spans="1:22" ht="15" customHeight="1">
      <c r="A1611" s="3">
        <v>38121</v>
      </c>
      <c r="B1611" s="4">
        <v>5425</v>
      </c>
      <c r="D1611" s="5">
        <v>50225</v>
      </c>
      <c r="E1611" s="5">
        <f t="shared" ref="E1611:E1654" si="43">F1611-(B1611+D1611)</f>
        <v>12750</v>
      </c>
      <c r="F1611" s="5">
        <v>68400</v>
      </c>
      <c r="K1611" s="24">
        <v>770</v>
      </c>
      <c r="L1611" s="6">
        <v>731</v>
      </c>
      <c r="M1611" s="270">
        <f t="shared" si="42"/>
        <v>-39</v>
      </c>
      <c r="N1611" s="7"/>
      <c r="O1611" s="277"/>
      <c r="P1611" s="345"/>
      <c r="V1611" s="383"/>
    </row>
    <row r="1612" spans="1:22" ht="15" customHeight="1">
      <c r="A1612" s="3">
        <v>38124</v>
      </c>
      <c r="B1612" s="4">
        <v>5425</v>
      </c>
      <c r="D1612" s="5">
        <v>49375</v>
      </c>
      <c r="E1612" s="5">
        <f t="shared" si="43"/>
        <v>12750</v>
      </c>
      <c r="F1612" s="5">
        <v>67550</v>
      </c>
      <c r="K1612" s="24">
        <v>788</v>
      </c>
      <c r="L1612" s="6">
        <v>746</v>
      </c>
      <c r="M1612" s="270">
        <f t="shared" si="42"/>
        <v>-42</v>
      </c>
      <c r="N1612" s="7"/>
      <c r="O1612" s="277"/>
      <c r="P1612" s="345"/>
      <c r="V1612" s="383"/>
    </row>
    <row r="1613" spans="1:22" ht="15" customHeight="1">
      <c r="A1613" s="3">
        <v>38125</v>
      </c>
      <c r="B1613" s="4">
        <v>5425</v>
      </c>
      <c r="D1613" s="5">
        <v>48800</v>
      </c>
      <c r="E1613" s="5">
        <f t="shared" si="43"/>
        <v>12750</v>
      </c>
      <c r="F1613" s="5">
        <v>66975</v>
      </c>
      <c r="K1613" s="24">
        <v>754.5</v>
      </c>
      <c r="L1613" s="6">
        <v>728</v>
      </c>
      <c r="M1613" s="270">
        <f t="shared" si="42"/>
        <v>-26.5</v>
      </c>
      <c r="N1613" s="7"/>
      <c r="O1613" s="277"/>
      <c r="P1613" s="345"/>
      <c r="V1613" s="383"/>
    </row>
    <row r="1614" spans="1:22" ht="15" customHeight="1">
      <c r="A1614" s="3">
        <v>38126</v>
      </c>
      <c r="B1614" s="4">
        <v>5425</v>
      </c>
      <c r="D1614" s="5">
        <v>47950</v>
      </c>
      <c r="E1614" s="5">
        <f t="shared" si="43"/>
        <v>11325</v>
      </c>
      <c r="F1614" s="5">
        <v>64700</v>
      </c>
      <c r="K1614" s="24">
        <v>804</v>
      </c>
      <c r="L1614" s="6">
        <v>758</v>
      </c>
      <c r="M1614" s="270">
        <f t="shared" si="42"/>
        <v>-46</v>
      </c>
      <c r="N1614" s="7"/>
      <c r="O1614" s="277"/>
      <c r="P1614" s="345"/>
      <c r="V1614" s="383"/>
    </row>
    <row r="1615" spans="1:22" ht="15" customHeight="1">
      <c r="A1615" s="3">
        <v>38127</v>
      </c>
      <c r="B1615" s="4">
        <v>5425</v>
      </c>
      <c r="D1615" s="5">
        <v>47400</v>
      </c>
      <c r="E1615" s="5">
        <f t="shared" si="43"/>
        <v>10750</v>
      </c>
      <c r="F1615" s="5">
        <v>63575</v>
      </c>
      <c r="K1615" s="24">
        <v>794.5</v>
      </c>
      <c r="L1615" s="6">
        <v>755</v>
      </c>
      <c r="M1615" s="270">
        <f t="shared" si="42"/>
        <v>-39.5</v>
      </c>
      <c r="N1615" s="7"/>
      <c r="O1615" s="277"/>
      <c r="P1615" s="345"/>
      <c r="V1615" s="383"/>
    </row>
    <row r="1616" spans="1:22" ht="15" customHeight="1">
      <c r="A1616" s="3">
        <v>38128</v>
      </c>
      <c r="B1616" s="4">
        <v>5425</v>
      </c>
      <c r="D1616" s="5">
        <v>46500</v>
      </c>
      <c r="E1616" s="5">
        <f t="shared" si="43"/>
        <v>10750</v>
      </c>
      <c r="F1616" s="5">
        <v>62675</v>
      </c>
      <c r="K1616" s="24">
        <v>845.5</v>
      </c>
      <c r="L1616" s="6">
        <v>796</v>
      </c>
      <c r="M1616" s="270">
        <f t="shared" si="42"/>
        <v>-49.5</v>
      </c>
      <c r="N1616" s="7"/>
      <c r="O1616" s="277"/>
      <c r="P1616" s="345"/>
      <c r="V1616" s="383"/>
    </row>
    <row r="1617" spans="1:22" ht="15" customHeight="1">
      <c r="A1617" s="3">
        <v>38129</v>
      </c>
      <c r="B1617" s="4">
        <v>5425</v>
      </c>
      <c r="D1617" s="5">
        <v>45875</v>
      </c>
      <c r="E1617" s="5">
        <f t="shared" si="43"/>
        <v>10750</v>
      </c>
      <c r="F1617" s="5">
        <v>62050</v>
      </c>
      <c r="K1617" s="24">
        <v>879</v>
      </c>
      <c r="L1617" s="6">
        <v>820</v>
      </c>
      <c r="M1617" s="270">
        <f t="shared" si="42"/>
        <v>-59</v>
      </c>
      <c r="N1617" s="7"/>
      <c r="O1617" s="277"/>
      <c r="P1617" s="345"/>
      <c r="V1617" s="383"/>
    </row>
    <row r="1618" spans="1:22" ht="15" customHeight="1">
      <c r="A1618" s="3">
        <v>38132</v>
      </c>
      <c r="B1618" s="4">
        <v>5425</v>
      </c>
      <c r="D1618" s="5">
        <v>45725</v>
      </c>
      <c r="E1618" s="5">
        <f t="shared" si="43"/>
        <v>10750</v>
      </c>
      <c r="F1618" s="5">
        <v>61900</v>
      </c>
      <c r="K1618" s="24">
        <v>880</v>
      </c>
      <c r="L1618" s="6">
        <v>831</v>
      </c>
      <c r="M1618" s="270">
        <f t="shared" si="42"/>
        <v>-49</v>
      </c>
      <c r="N1618" s="7"/>
      <c r="O1618" s="277"/>
      <c r="P1618" s="345"/>
      <c r="V1618" s="383"/>
    </row>
    <row r="1619" spans="1:22" ht="15" customHeight="1">
      <c r="A1619" s="3">
        <v>38133</v>
      </c>
      <c r="B1619" s="4">
        <v>5300</v>
      </c>
      <c r="D1619" s="5">
        <v>44775</v>
      </c>
      <c r="E1619" s="5">
        <f t="shared" si="43"/>
        <v>10750</v>
      </c>
      <c r="F1619" s="5">
        <v>60825</v>
      </c>
      <c r="K1619" s="24">
        <v>902.5</v>
      </c>
      <c r="L1619" s="6">
        <v>845</v>
      </c>
      <c r="M1619" s="270">
        <f t="shared" si="42"/>
        <v>-57.5</v>
      </c>
      <c r="N1619" s="7"/>
      <c r="O1619" s="277"/>
      <c r="P1619" s="345"/>
      <c r="V1619" s="383"/>
    </row>
    <row r="1620" spans="1:22" ht="15" customHeight="1">
      <c r="A1620" s="3">
        <v>38134</v>
      </c>
      <c r="B1620" s="4">
        <v>5275</v>
      </c>
      <c r="D1620" s="5">
        <v>44125</v>
      </c>
      <c r="E1620" s="5">
        <f t="shared" si="43"/>
        <v>10750</v>
      </c>
      <c r="F1620" s="5">
        <v>60150</v>
      </c>
      <c r="K1620" s="24">
        <v>925</v>
      </c>
      <c r="L1620" s="6">
        <v>855</v>
      </c>
      <c r="M1620" s="270">
        <f t="shared" si="42"/>
        <v>-70</v>
      </c>
      <c r="N1620" s="7"/>
      <c r="O1620" s="277"/>
      <c r="P1620" s="345"/>
      <c r="V1620" s="383"/>
    </row>
    <row r="1621" spans="1:22" ht="15" customHeight="1">
      <c r="A1621" s="3">
        <v>38135</v>
      </c>
      <c r="B1621" s="4">
        <v>5275</v>
      </c>
      <c r="D1621" s="5">
        <v>43525</v>
      </c>
      <c r="E1621" s="5">
        <f t="shared" si="43"/>
        <v>10750</v>
      </c>
      <c r="F1621" s="5">
        <v>59550</v>
      </c>
      <c r="K1621" s="24">
        <v>906</v>
      </c>
      <c r="L1621" s="6">
        <v>839.5</v>
      </c>
      <c r="M1621" s="270">
        <f t="shared" si="42"/>
        <v>-66.5</v>
      </c>
      <c r="N1621" s="7"/>
      <c r="O1621" s="277"/>
      <c r="P1621" s="345"/>
      <c r="V1621" s="383"/>
    </row>
    <row r="1622" spans="1:22" ht="15" customHeight="1">
      <c r="A1622" s="3">
        <v>38139</v>
      </c>
      <c r="B1622" s="4">
        <v>5275</v>
      </c>
      <c r="D1622" s="5">
        <v>43050</v>
      </c>
      <c r="E1622" s="5">
        <f t="shared" si="43"/>
        <v>10750</v>
      </c>
      <c r="F1622" s="5">
        <v>59075</v>
      </c>
      <c r="K1622" s="24">
        <v>887.5</v>
      </c>
      <c r="L1622" s="6">
        <v>827</v>
      </c>
      <c r="M1622" s="270">
        <f t="shared" si="42"/>
        <v>-60.5</v>
      </c>
      <c r="N1622" s="7"/>
      <c r="O1622" s="277"/>
      <c r="P1622" s="345"/>
      <c r="V1622" s="383"/>
    </row>
    <row r="1623" spans="1:22" ht="15" customHeight="1">
      <c r="A1623" s="3">
        <v>38140</v>
      </c>
      <c r="B1623" s="4">
        <v>5025</v>
      </c>
      <c r="D1623" s="5">
        <v>42475</v>
      </c>
      <c r="E1623" s="5">
        <f t="shared" si="43"/>
        <v>10750</v>
      </c>
      <c r="F1623" s="5">
        <v>58250</v>
      </c>
      <c r="K1623" s="24">
        <v>925</v>
      </c>
      <c r="L1623" s="6">
        <v>850</v>
      </c>
      <c r="M1623" s="270">
        <f t="shared" si="42"/>
        <v>-75</v>
      </c>
      <c r="N1623" s="7"/>
      <c r="O1623" s="277"/>
      <c r="P1623" s="345"/>
      <c r="V1623" s="383"/>
    </row>
    <row r="1624" spans="1:22" ht="15" customHeight="1">
      <c r="A1624" s="3">
        <v>38141</v>
      </c>
      <c r="B1624" s="4">
        <v>5025</v>
      </c>
      <c r="D1624" s="5">
        <v>41675</v>
      </c>
      <c r="E1624" s="5">
        <f t="shared" si="43"/>
        <v>10750</v>
      </c>
      <c r="F1624" s="5">
        <v>57450</v>
      </c>
      <c r="K1624" s="24">
        <v>885</v>
      </c>
      <c r="L1624" s="6">
        <v>822</v>
      </c>
      <c r="M1624" s="270">
        <f t="shared" si="42"/>
        <v>-63</v>
      </c>
      <c r="N1624" s="7"/>
      <c r="O1624" s="277"/>
      <c r="P1624" s="345"/>
      <c r="V1624" s="383"/>
    </row>
    <row r="1625" spans="1:22" ht="15" customHeight="1">
      <c r="A1625" s="3">
        <v>38142</v>
      </c>
      <c r="B1625" s="4">
        <v>4900</v>
      </c>
      <c r="D1625" s="5">
        <v>41225</v>
      </c>
      <c r="E1625" s="5">
        <f t="shared" si="43"/>
        <v>10750</v>
      </c>
      <c r="F1625" s="5">
        <v>56875</v>
      </c>
      <c r="K1625" s="24">
        <v>871</v>
      </c>
      <c r="L1625" s="6">
        <v>811</v>
      </c>
      <c r="M1625" s="270">
        <f t="shared" si="42"/>
        <v>-60</v>
      </c>
      <c r="N1625" s="7"/>
      <c r="O1625" s="277"/>
      <c r="P1625" s="345"/>
      <c r="V1625" s="383"/>
    </row>
    <row r="1626" spans="1:22" ht="15" customHeight="1">
      <c r="A1626" s="3">
        <v>38145</v>
      </c>
      <c r="B1626" s="4">
        <v>4650</v>
      </c>
      <c r="D1626" s="5">
        <v>40700</v>
      </c>
      <c r="E1626" s="5">
        <f t="shared" si="43"/>
        <v>10750</v>
      </c>
      <c r="F1626" s="5">
        <v>56100</v>
      </c>
      <c r="K1626" s="24">
        <v>880</v>
      </c>
      <c r="L1626" s="6">
        <v>833</v>
      </c>
      <c r="M1626" s="270">
        <f t="shared" si="42"/>
        <v>-47</v>
      </c>
      <c r="N1626" s="7"/>
      <c r="O1626" s="277"/>
      <c r="P1626" s="345"/>
      <c r="V1626" s="383"/>
    </row>
    <row r="1627" spans="1:22" ht="15" customHeight="1">
      <c r="A1627" s="3">
        <v>38146</v>
      </c>
      <c r="B1627" s="4">
        <v>4400</v>
      </c>
      <c r="D1627" s="5">
        <v>40325</v>
      </c>
      <c r="E1627" s="5">
        <f t="shared" si="43"/>
        <v>10750</v>
      </c>
      <c r="F1627" s="5">
        <v>55475</v>
      </c>
      <c r="K1627" s="24">
        <v>895</v>
      </c>
      <c r="L1627" s="6">
        <v>854</v>
      </c>
      <c r="M1627" s="270">
        <f t="shared" si="42"/>
        <v>-41</v>
      </c>
      <c r="N1627" s="7"/>
      <c r="O1627" s="277"/>
      <c r="P1627" s="345"/>
      <c r="V1627" s="383"/>
    </row>
    <row r="1628" spans="1:22" ht="15" customHeight="1">
      <c r="A1628" s="3">
        <v>38147</v>
      </c>
      <c r="B1628" s="4">
        <v>4350</v>
      </c>
      <c r="D1628" s="5">
        <v>39750</v>
      </c>
      <c r="E1628" s="5">
        <f t="shared" si="43"/>
        <v>10750</v>
      </c>
      <c r="F1628" s="5">
        <v>54850</v>
      </c>
      <c r="K1628" s="24">
        <v>875</v>
      </c>
      <c r="L1628" s="6">
        <v>835</v>
      </c>
      <c r="M1628" s="270">
        <f t="shared" si="42"/>
        <v>-40</v>
      </c>
      <c r="N1628" s="7"/>
      <c r="O1628" s="277"/>
      <c r="P1628" s="345"/>
      <c r="V1628" s="383"/>
    </row>
    <row r="1629" spans="1:22" ht="15" customHeight="1">
      <c r="A1629" s="3">
        <v>38148</v>
      </c>
      <c r="B1629" s="4">
        <v>4350</v>
      </c>
      <c r="D1629" s="5">
        <v>39100</v>
      </c>
      <c r="E1629" s="5">
        <f t="shared" si="43"/>
        <v>10725</v>
      </c>
      <c r="F1629" s="5">
        <v>54175</v>
      </c>
      <c r="K1629" s="24">
        <v>812</v>
      </c>
      <c r="L1629" s="6">
        <v>767</v>
      </c>
      <c r="M1629" s="270">
        <f t="shared" si="42"/>
        <v>-45</v>
      </c>
      <c r="N1629" s="7"/>
      <c r="O1629" s="277"/>
      <c r="P1629" s="345"/>
      <c r="V1629" s="383"/>
    </row>
    <row r="1630" spans="1:22" ht="15" customHeight="1">
      <c r="A1630" s="3">
        <v>38149</v>
      </c>
      <c r="B1630" s="4">
        <v>4350</v>
      </c>
      <c r="D1630" s="5">
        <v>38800</v>
      </c>
      <c r="E1630" s="5">
        <f t="shared" si="43"/>
        <v>10725</v>
      </c>
      <c r="F1630" s="5">
        <v>53875</v>
      </c>
      <c r="K1630" s="24">
        <v>801</v>
      </c>
      <c r="L1630" s="6">
        <v>764</v>
      </c>
      <c r="M1630" s="270">
        <f t="shared" si="42"/>
        <v>-37</v>
      </c>
      <c r="N1630" s="7"/>
      <c r="O1630" s="277"/>
      <c r="P1630" s="345"/>
      <c r="V1630" s="383"/>
    </row>
    <row r="1631" spans="1:22" ht="15" customHeight="1">
      <c r="A1631" s="3">
        <v>38152</v>
      </c>
      <c r="B1631" s="4">
        <v>4225</v>
      </c>
      <c r="D1631" s="5">
        <v>38350</v>
      </c>
      <c r="E1631" s="5">
        <f t="shared" si="43"/>
        <v>10725</v>
      </c>
      <c r="F1631" s="5">
        <v>53300</v>
      </c>
      <c r="K1631" s="24">
        <v>832</v>
      </c>
      <c r="L1631" s="6">
        <v>774</v>
      </c>
      <c r="M1631" s="270">
        <f t="shared" si="42"/>
        <v>-58</v>
      </c>
      <c r="N1631" s="7"/>
      <c r="O1631" s="277"/>
      <c r="P1631" s="345"/>
      <c r="V1631" s="383"/>
    </row>
    <row r="1632" spans="1:22" ht="15" customHeight="1">
      <c r="A1632" s="3">
        <v>38153</v>
      </c>
      <c r="B1632" s="4">
        <v>3925</v>
      </c>
      <c r="D1632" s="5">
        <v>38025</v>
      </c>
      <c r="E1632" s="5">
        <f t="shared" si="43"/>
        <v>10725</v>
      </c>
      <c r="F1632" s="5">
        <v>52675</v>
      </c>
      <c r="K1632" s="24">
        <v>823</v>
      </c>
      <c r="L1632" s="6">
        <v>784</v>
      </c>
      <c r="M1632" s="270">
        <f t="shared" si="42"/>
        <v>-39</v>
      </c>
      <c r="N1632" s="7"/>
      <c r="O1632" s="277"/>
      <c r="P1632" s="345"/>
      <c r="V1632" s="383"/>
    </row>
    <row r="1633" spans="1:22" ht="15" customHeight="1">
      <c r="A1633" s="3">
        <v>38154</v>
      </c>
      <c r="B1633" s="4">
        <v>3825</v>
      </c>
      <c r="D1633" s="5">
        <v>37325</v>
      </c>
      <c r="E1633" s="5">
        <f t="shared" si="43"/>
        <v>10725</v>
      </c>
      <c r="F1633" s="5">
        <v>51875</v>
      </c>
      <c r="K1633" s="24">
        <v>849</v>
      </c>
      <c r="L1633" s="6">
        <v>815</v>
      </c>
      <c r="M1633" s="270">
        <f t="shared" si="42"/>
        <v>-34</v>
      </c>
      <c r="N1633" s="7"/>
      <c r="O1633" s="277"/>
      <c r="P1633" s="345"/>
      <c r="V1633" s="383"/>
    </row>
    <row r="1634" spans="1:22" ht="15" customHeight="1">
      <c r="A1634" s="3">
        <v>38155</v>
      </c>
      <c r="B1634" s="4">
        <v>3750</v>
      </c>
      <c r="D1634" s="5">
        <v>36600</v>
      </c>
      <c r="E1634" s="5">
        <f t="shared" si="43"/>
        <v>10725</v>
      </c>
      <c r="F1634" s="5">
        <v>51075</v>
      </c>
      <c r="K1634" s="24">
        <v>865</v>
      </c>
      <c r="L1634" s="6">
        <v>827</v>
      </c>
      <c r="M1634" s="270">
        <f t="shared" si="42"/>
        <v>-38</v>
      </c>
      <c r="N1634" s="7"/>
      <c r="O1634" s="277"/>
      <c r="P1634" s="345"/>
      <c r="V1634" s="383"/>
    </row>
    <row r="1635" spans="1:22" ht="15" customHeight="1">
      <c r="A1635" s="3">
        <v>38156</v>
      </c>
      <c r="B1635" s="4">
        <v>3750</v>
      </c>
      <c r="D1635" s="5">
        <v>36050</v>
      </c>
      <c r="E1635" s="5">
        <f t="shared" si="43"/>
        <v>10725</v>
      </c>
      <c r="F1635" s="5">
        <v>50525</v>
      </c>
      <c r="K1635" s="24">
        <v>900</v>
      </c>
      <c r="L1635" s="6">
        <v>847</v>
      </c>
      <c r="M1635" s="270">
        <f t="shared" si="42"/>
        <v>-53</v>
      </c>
      <c r="N1635" s="7"/>
      <c r="O1635" s="277"/>
      <c r="P1635" s="345"/>
      <c r="V1635" s="383"/>
    </row>
    <row r="1636" spans="1:22" ht="15" customHeight="1">
      <c r="A1636" s="3">
        <v>38159</v>
      </c>
      <c r="B1636" s="4">
        <v>3675</v>
      </c>
      <c r="D1636" s="5">
        <v>35600</v>
      </c>
      <c r="E1636" s="5">
        <f t="shared" si="43"/>
        <v>10725</v>
      </c>
      <c r="F1636" s="5">
        <v>50000</v>
      </c>
      <c r="K1636" s="24">
        <v>900</v>
      </c>
      <c r="L1636" s="6">
        <v>845</v>
      </c>
      <c r="M1636" s="270">
        <f t="shared" si="42"/>
        <v>-55</v>
      </c>
      <c r="N1636" s="7"/>
      <c r="O1636" s="277"/>
      <c r="P1636" s="345"/>
      <c r="V1636" s="383"/>
    </row>
    <row r="1637" spans="1:22" ht="15" customHeight="1">
      <c r="A1637" s="3">
        <v>38160</v>
      </c>
      <c r="B1637" s="4">
        <v>3625</v>
      </c>
      <c r="D1637" s="5">
        <v>35000</v>
      </c>
      <c r="E1637" s="5">
        <f t="shared" si="43"/>
        <v>10725</v>
      </c>
      <c r="F1637" s="5">
        <v>49350</v>
      </c>
      <c r="K1637" s="24">
        <v>834.5</v>
      </c>
      <c r="L1637" s="6">
        <v>785</v>
      </c>
      <c r="M1637" s="270">
        <f t="shared" si="42"/>
        <v>-49.5</v>
      </c>
      <c r="N1637" s="7"/>
      <c r="O1637" s="277"/>
      <c r="P1637" s="345"/>
      <c r="V1637" s="383"/>
    </row>
    <row r="1638" spans="1:22" ht="15" customHeight="1">
      <c r="A1638" s="3">
        <v>38161</v>
      </c>
      <c r="B1638" s="4">
        <v>3625</v>
      </c>
      <c r="D1638" s="5">
        <v>34475</v>
      </c>
      <c r="E1638" s="5">
        <f t="shared" si="43"/>
        <v>10725</v>
      </c>
      <c r="F1638" s="5">
        <v>48825</v>
      </c>
      <c r="K1638" s="24">
        <v>860</v>
      </c>
      <c r="L1638" s="6">
        <v>796</v>
      </c>
      <c r="M1638" s="270">
        <f t="shared" si="42"/>
        <v>-64</v>
      </c>
      <c r="N1638" s="7"/>
      <c r="O1638" s="277"/>
      <c r="P1638" s="345"/>
      <c r="V1638" s="383"/>
    </row>
    <row r="1639" spans="1:22" ht="15" customHeight="1">
      <c r="A1639" s="3">
        <v>38162</v>
      </c>
      <c r="B1639" s="4">
        <v>3600</v>
      </c>
      <c r="D1639" s="5">
        <v>33800</v>
      </c>
      <c r="E1639" s="5">
        <f t="shared" si="43"/>
        <v>10725</v>
      </c>
      <c r="F1639" s="5">
        <v>48125</v>
      </c>
      <c r="K1639" s="24">
        <v>898</v>
      </c>
      <c r="L1639" s="6">
        <v>827</v>
      </c>
      <c r="M1639" s="270">
        <f t="shared" si="42"/>
        <v>-71</v>
      </c>
      <c r="N1639" s="7"/>
      <c r="O1639" s="277"/>
      <c r="P1639" s="345"/>
      <c r="V1639" s="383"/>
    </row>
    <row r="1640" spans="1:22" ht="15" customHeight="1">
      <c r="A1640" s="3">
        <v>38163</v>
      </c>
      <c r="B1640" s="4">
        <v>3225</v>
      </c>
      <c r="D1640" s="5">
        <v>33350</v>
      </c>
      <c r="E1640" s="5">
        <f t="shared" si="43"/>
        <v>10725</v>
      </c>
      <c r="F1640" s="5">
        <v>47300</v>
      </c>
      <c r="K1640" s="24">
        <v>898</v>
      </c>
      <c r="L1640" s="6">
        <v>830</v>
      </c>
      <c r="M1640" s="270">
        <f t="shared" si="42"/>
        <v>-68</v>
      </c>
      <c r="N1640" s="7"/>
      <c r="O1640" s="277"/>
      <c r="P1640" s="345"/>
      <c r="V1640" s="383"/>
    </row>
    <row r="1641" spans="1:22" ht="15" customHeight="1">
      <c r="A1641" s="3">
        <v>38164</v>
      </c>
      <c r="B1641" s="4">
        <v>3225</v>
      </c>
      <c r="D1641" s="5">
        <v>32325</v>
      </c>
      <c r="E1641" s="5">
        <f t="shared" si="43"/>
        <v>10725</v>
      </c>
      <c r="F1641" s="5">
        <v>46275</v>
      </c>
      <c r="K1641" s="24">
        <v>902</v>
      </c>
      <c r="L1641" s="6">
        <v>825</v>
      </c>
      <c r="M1641" s="270">
        <f t="shared" si="42"/>
        <v>-77</v>
      </c>
      <c r="N1641" s="7"/>
      <c r="O1641" s="277"/>
      <c r="P1641" s="345"/>
      <c r="V1641" s="383"/>
    </row>
    <row r="1642" spans="1:22" ht="15" customHeight="1">
      <c r="A1642" s="3">
        <v>38167</v>
      </c>
      <c r="B1642" s="4">
        <v>3175</v>
      </c>
      <c r="D1642" s="5">
        <v>31925</v>
      </c>
      <c r="E1642" s="5">
        <f t="shared" si="43"/>
        <v>10725</v>
      </c>
      <c r="F1642" s="5">
        <v>45825</v>
      </c>
      <c r="K1642" s="24">
        <v>886</v>
      </c>
      <c r="L1642" s="6">
        <v>820</v>
      </c>
      <c r="M1642" s="270">
        <f t="shared" si="42"/>
        <v>-66</v>
      </c>
      <c r="N1642" s="7"/>
      <c r="O1642" s="277"/>
      <c r="P1642" s="345"/>
      <c r="V1642" s="383"/>
    </row>
    <row r="1643" spans="1:22" ht="15" customHeight="1">
      <c r="A1643" s="3">
        <v>38168</v>
      </c>
      <c r="B1643" s="4">
        <v>3175</v>
      </c>
      <c r="D1643" s="5">
        <v>31575</v>
      </c>
      <c r="E1643" s="5">
        <f t="shared" si="43"/>
        <v>10725</v>
      </c>
      <c r="F1643" s="5">
        <v>45475</v>
      </c>
      <c r="K1643" s="24">
        <v>868</v>
      </c>
      <c r="L1643" s="6">
        <v>818</v>
      </c>
      <c r="M1643" s="270">
        <f t="shared" si="42"/>
        <v>-50</v>
      </c>
      <c r="N1643" s="7"/>
      <c r="O1643" s="277"/>
      <c r="P1643" s="345"/>
      <c r="V1643" s="383"/>
    </row>
    <row r="1644" spans="1:22" ht="15" customHeight="1">
      <c r="A1644" s="3">
        <v>38169</v>
      </c>
      <c r="B1644" s="4">
        <v>3150</v>
      </c>
      <c r="D1644" s="5">
        <v>31250</v>
      </c>
      <c r="E1644" s="5">
        <f t="shared" si="43"/>
        <v>10725</v>
      </c>
      <c r="F1644" s="5">
        <v>45125</v>
      </c>
      <c r="K1644" s="24">
        <v>890</v>
      </c>
      <c r="L1644" s="6">
        <v>830</v>
      </c>
      <c r="M1644" s="270">
        <f t="shared" si="42"/>
        <v>-60</v>
      </c>
      <c r="N1644" s="7"/>
      <c r="O1644" s="277"/>
      <c r="P1644" s="345"/>
      <c r="V1644" s="383"/>
    </row>
    <row r="1645" spans="1:22" ht="15" customHeight="1">
      <c r="A1645" s="3">
        <v>38170</v>
      </c>
      <c r="B1645" s="4">
        <v>3075</v>
      </c>
      <c r="D1645" s="5">
        <v>30900</v>
      </c>
      <c r="E1645" s="5">
        <f t="shared" si="43"/>
        <v>10725</v>
      </c>
      <c r="F1645" s="5">
        <v>44700</v>
      </c>
      <c r="K1645" s="24">
        <v>885</v>
      </c>
      <c r="L1645" s="6">
        <v>840</v>
      </c>
      <c r="M1645" s="270">
        <f t="shared" si="42"/>
        <v>-45</v>
      </c>
      <c r="N1645" s="7"/>
      <c r="O1645" s="277"/>
      <c r="P1645" s="345"/>
      <c r="V1645" s="383"/>
    </row>
    <row r="1646" spans="1:22" ht="15" customHeight="1">
      <c r="A1646" s="3">
        <v>38173</v>
      </c>
      <c r="B1646" s="4">
        <v>2850</v>
      </c>
      <c r="D1646" s="5">
        <v>30500</v>
      </c>
      <c r="E1646" s="5">
        <f t="shared" si="43"/>
        <v>10725</v>
      </c>
      <c r="F1646" s="5">
        <v>44075</v>
      </c>
      <c r="K1646" s="24">
        <v>915</v>
      </c>
      <c r="L1646" s="6">
        <v>867</v>
      </c>
      <c r="M1646" s="270">
        <f t="shared" si="42"/>
        <v>-48</v>
      </c>
      <c r="N1646" s="7"/>
      <c r="O1646" s="277"/>
      <c r="P1646" s="345"/>
      <c r="V1646" s="383"/>
    </row>
    <row r="1647" spans="1:22" ht="15" customHeight="1">
      <c r="A1647" s="3">
        <v>38174</v>
      </c>
      <c r="B1647" s="4">
        <v>2850</v>
      </c>
      <c r="D1647" s="5">
        <v>30225</v>
      </c>
      <c r="E1647" s="5">
        <f t="shared" si="43"/>
        <v>10725</v>
      </c>
      <c r="F1647" s="5">
        <v>43800</v>
      </c>
      <c r="K1647" s="24">
        <v>919</v>
      </c>
      <c r="L1647" s="6">
        <v>867</v>
      </c>
      <c r="M1647" s="270">
        <f t="shared" si="42"/>
        <v>-52</v>
      </c>
      <c r="N1647" s="7"/>
      <c r="O1647" s="277"/>
      <c r="P1647" s="345"/>
      <c r="V1647" s="383"/>
    </row>
    <row r="1648" spans="1:22" ht="15" customHeight="1">
      <c r="A1648" s="3">
        <v>38175</v>
      </c>
      <c r="B1648" s="4">
        <v>2725</v>
      </c>
      <c r="D1648" s="5">
        <v>30225</v>
      </c>
      <c r="E1648" s="5">
        <f t="shared" si="43"/>
        <v>10625</v>
      </c>
      <c r="F1648" s="5">
        <v>43575</v>
      </c>
      <c r="K1648" s="24">
        <v>934</v>
      </c>
      <c r="L1648" s="6">
        <v>880</v>
      </c>
      <c r="M1648" s="270">
        <f t="shared" si="42"/>
        <v>-54</v>
      </c>
      <c r="N1648" s="7"/>
      <c r="O1648" s="277"/>
      <c r="P1648" s="345"/>
      <c r="V1648" s="383"/>
    </row>
    <row r="1649" spans="1:22" ht="15" customHeight="1">
      <c r="A1649" s="3">
        <v>38176</v>
      </c>
      <c r="B1649" s="4">
        <v>2700</v>
      </c>
      <c r="D1649" s="5">
        <v>29900</v>
      </c>
      <c r="E1649" s="5">
        <f t="shared" si="43"/>
        <v>10575</v>
      </c>
      <c r="F1649" s="5">
        <v>43175</v>
      </c>
      <c r="K1649" s="24">
        <v>901</v>
      </c>
      <c r="L1649" s="6">
        <v>859</v>
      </c>
      <c r="M1649" s="270">
        <f t="shared" si="42"/>
        <v>-42</v>
      </c>
      <c r="N1649" s="7"/>
      <c r="O1649" s="277"/>
      <c r="P1649" s="345"/>
      <c r="V1649" s="383"/>
    </row>
    <row r="1650" spans="1:22" ht="15" customHeight="1">
      <c r="A1650" s="3">
        <v>38177</v>
      </c>
      <c r="B1650" s="4">
        <v>2700</v>
      </c>
      <c r="D1650" s="5">
        <v>29350</v>
      </c>
      <c r="E1650" s="5">
        <f t="shared" si="43"/>
        <v>10575</v>
      </c>
      <c r="F1650" s="5">
        <v>42625</v>
      </c>
      <c r="K1650" s="24">
        <v>926</v>
      </c>
      <c r="L1650" s="6">
        <v>875</v>
      </c>
      <c r="M1650" s="270">
        <f t="shared" si="42"/>
        <v>-51</v>
      </c>
      <c r="N1650" s="7"/>
      <c r="O1650" s="277"/>
      <c r="P1650" s="345"/>
      <c r="V1650" s="383"/>
    </row>
    <row r="1651" spans="1:22" ht="15" customHeight="1">
      <c r="A1651" s="3">
        <v>38180</v>
      </c>
      <c r="B1651" s="4">
        <v>3250</v>
      </c>
      <c r="D1651" s="5">
        <v>29050</v>
      </c>
      <c r="E1651" s="5">
        <f t="shared" si="43"/>
        <v>10575</v>
      </c>
      <c r="F1651" s="5">
        <v>42875</v>
      </c>
      <c r="K1651" s="24">
        <v>925</v>
      </c>
      <c r="L1651" s="6">
        <v>872</v>
      </c>
      <c r="M1651" s="270">
        <f t="shared" si="42"/>
        <v>-53</v>
      </c>
      <c r="N1651" s="7"/>
      <c r="O1651" s="277"/>
      <c r="P1651" s="345"/>
      <c r="V1651" s="383"/>
    </row>
    <row r="1652" spans="1:22" ht="15" customHeight="1">
      <c r="A1652" s="3">
        <v>38181</v>
      </c>
      <c r="B1652" s="4">
        <v>3175</v>
      </c>
      <c r="D1652" s="5">
        <v>28650</v>
      </c>
      <c r="E1652" s="5">
        <f t="shared" si="43"/>
        <v>10575</v>
      </c>
      <c r="F1652" s="5">
        <v>42400</v>
      </c>
      <c r="K1652" s="24">
        <v>907.5</v>
      </c>
      <c r="L1652" s="6">
        <v>855</v>
      </c>
      <c r="M1652" s="270">
        <f t="shared" si="42"/>
        <v>-52.5</v>
      </c>
      <c r="N1652" s="7"/>
      <c r="O1652" s="277"/>
      <c r="P1652" s="345"/>
      <c r="V1652" s="383"/>
    </row>
    <row r="1653" spans="1:22" ht="15" customHeight="1">
      <c r="A1653" s="3">
        <v>38182</v>
      </c>
      <c r="B1653" s="4">
        <v>3175</v>
      </c>
      <c r="D1653" s="5">
        <v>28450</v>
      </c>
      <c r="E1653" s="5">
        <f t="shared" si="43"/>
        <v>10575</v>
      </c>
      <c r="F1653" s="5">
        <v>42200</v>
      </c>
      <c r="K1653" s="24">
        <v>896</v>
      </c>
      <c r="L1653" s="6">
        <v>851</v>
      </c>
      <c r="M1653" s="270">
        <f t="shared" si="42"/>
        <v>-45</v>
      </c>
      <c r="N1653" s="7"/>
      <c r="O1653" s="277"/>
      <c r="P1653" s="345"/>
      <c r="V1653" s="383"/>
    </row>
    <row r="1654" spans="1:22" ht="15" customHeight="1">
      <c r="A1654" s="3">
        <v>38183</v>
      </c>
      <c r="B1654" s="4">
        <v>3175</v>
      </c>
      <c r="D1654" s="5">
        <v>28275</v>
      </c>
      <c r="E1654" s="5">
        <f t="shared" si="43"/>
        <v>10500</v>
      </c>
      <c r="F1654" s="5">
        <v>41950</v>
      </c>
      <c r="K1654" s="24">
        <v>919</v>
      </c>
      <c r="L1654" s="6">
        <v>866</v>
      </c>
      <c r="M1654" s="270">
        <f t="shared" si="42"/>
        <v>-53</v>
      </c>
      <c r="N1654" s="7"/>
      <c r="O1654" s="277"/>
      <c r="P1654" s="345"/>
      <c r="V1654" s="383"/>
    </row>
    <row r="1655" spans="1:22" ht="15" customHeight="1">
      <c r="A1655" s="3">
        <v>38186</v>
      </c>
      <c r="B1655" s="4">
        <v>3175</v>
      </c>
      <c r="D1655" s="5">
        <v>27875</v>
      </c>
      <c r="E1655" s="5">
        <f t="shared" ref="E1655:E1699" si="44">F1655-(B1655+D1655)</f>
        <v>10250</v>
      </c>
      <c r="F1655" s="5">
        <v>41300</v>
      </c>
      <c r="K1655" s="24">
        <v>938</v>
      </c>
      <c r="L1655" s="6">
        <v>883</v>
      </c>
      <c r="M1655" s="270">
        <f t="shared" ref="M1655:M1718" si="45">L1655-K1655</f>
        <v>-55</v>
      </c>
      <c r="N1655" s="7"/>
      <c r="O1655" s="277"/>
      <c r="P1655" s="345"/>
      <c r="V1655" s="383"/>
    </row>
    <row r="1656" spans="1:22" ht="15" customHeight="1">
      <c r="A1656" s="3">
        <v>38187</v>
      </c>
      <c r="B1656" s="4">
        <v>3175</v>
      </c>
      <c r="D1656" s="5">
        <v>27500</v>
      </c>
      <c r="E1656" s="5">
        <f t="shared" si="44"/>
        <v>10200</v>
      </c>
      <c r="F1656" s="5">
        <v>40875</v>
      </c>
      <c r="K1656" s="24">
        <v>934</v>
      </c>
      <c r="L1656" s="6">
        <v>880</v>
      </c>
      <c r="M1656" s="270">
        <f t="shared" si="45"/>
        <v>-54</v>
      </c>
      <c r="N1656" s="7"/>
      <c r="O1656" s="277"/>
      <c r="P1656" s="345"/>
      <c r="V1656" s="383"/>
    </row>
    <row r="1657" spans="1:22" ht="15" customHeight="1">
      <c r="A1657" s="3">
        <v>38188</v>
      </c>
      <c r="B1657" s="4">
        <v>3600</v>
      </c>
      <c r="D1657" s="5">
        <v>27325</v>
      </c>
      <c r="E1657" s="5">
        <f t="shared" si="44"/>
        <v>10050</v>
      </c>
      <c r="F1657" s="5">
        <v>40975</v>
      </c>
      <c r="K1657" s="24">
        <v>919</v>
      </c>
      <c r="L1657" s="6">
        <v>866.5</v>
      </c>
      <c r="M1657" s="270">
        <f t="shared" si="45"/>
        <v>-52.5</v>
      </c>
      <c r="N1657" s="7"/>
      <c r="O1657" s="277"/>
      <c r="P1657" s="345"/>
      <c r="V1657" s="383"/>
    </row>
    <row r="1658" spans="1:22" ht="15" customHeight="1">
      <c r="A1658" s="3">
        <v>38189</v>
      </c>
      <c r="B1658" s="4">
        <v>3600</v>
      </c>
      <c r="D1658" s="5">
        <v>27000</v>
      </c>
      <c r="E1658" s="5">
        <f t="shared" si="44"/>
        <v>9725</v>
      </c>
      <c r="F1658" s="5">
        <v>40325</v>
      </c>
      <c r="K1658" s="24">
        <v>936</v>
      </c>
      <c r="L1658" s="6">
        <v>875</v>
      </c>
      <c r="M1658" s="270">
        <f t="shared" si="45"/>
        <v>-61</v>
      </c>
      <c r="N1658" s="7"/>
      <c r="O1658" s="277"/>
      <c r="P1658" s="345"/>
      <c r="V1658" s="383"/>
    </row>
    <row r="1659" spans="1:22" ht="15" customHeight="1">
      <c r="A1659" s="3">
        <v>38190</v>
      </c>
      <c r="B1659" s="4">
        <v>3525</v>
      </c>
      <c r="D1659" s="5">
        <v>26550</v>
      </c>
      <c r="E1659" s="5">
        <f t="shared" si="44"/>
        <v>9625</v>
      </c>
      <c r="F1659" s="5">
        <v>39700</v>
      </c>
      <c r="K1659" s="24">
        <v>945</v>
      </c>
      <c r="L1659" s="6">
        <v>880</v>
      </c>
      <c r="M1659" s="270">
        <f t="shared" si="45"/>
        <v>-65</v>
      </c>
      <c r="N1659" s="7"/>
      <c r="O1659" s="277"/>
      <c r="P1659" s="345"/>
      <c r="V1659" s="383"/>
    </row>
    <row r="1660" spans="1:22" ht="15" customHeight="1">
      <c r="A1660" s="3">
        <v>38191</v>
      </c>
      <c r="B1660" s="4">
        <v>3525</v>
      </c>
      <c r="D1660" s="5">
        <v>26175</v>
      </c>
      <c r="E1660" s="5">
        <f t="shared" si="44"/>
        <v>9575</v>
      </c>
      <c r="F1660" s="5">
        <v>39275</v>
      </c>
      <c r="K1660" s="24">
        <v>938</v>
      </c>
      <c r="L1660" s="6">
        <v>852</v>
      </c>
      <c r="M1660" s="270">
        <f t="shared" si="45"/>
        <v>-86</v>
      </c>
      <c r="N1660" s="7"/>
      <c r="O1660" s="277"/>
      <c r="P1660" s="345"/>
      <c r="V1660" s="383"/>
    </row>
    <row r="1661" spans="1:22" ht="15" customHeight="1">
      <c r="A1661" s="3">
        <v>38194</v>
      </c>
      <c r="B1661" s="4">
        <v>3525</v>
      </c>
      <c r="D1661" s="5">
        <v>25825</v>
      </c>
      <c r="E1661" s="5">
        <f t="shared" si="44"/>
        <v>9575</v>
      </c>
      <c r="F1661" s="5">
        <v>38925</v>
      </c>
      <c r="K1661" s="24">
        <v>975.5</v>
      </c>
      <c r="L1661" s="6">
        <v>879</v>
      </c>
      <c r="M1661" s="270">
        <f t="shared" si="45"/>
        <v>-96.5</v>
      </c>
      <c r="N1661" s="7"/>
      <c r="O1661" s="277"/>
      <c r="P1661" s="345"/>
      <c r="V1661" s="383"/>
    </row>
    <row r="1662" spans="1:22" ht="15" customHeight="1">
      <c r="A1662" s="3">
        <v>38195</v>
      </c>
      <c r="B1662" s="4">
        <v>3525</v>
      </c>
      <c r="D1662" s="5">
        <v>25125</v>
      </c>
      <c r="E1662" s="5">
        <f t="shared" si="44"/>
        <v>9575</v>
      </c>
      <c r="F1662" s="5">
        <v>38225</v>
      </c>
      <c r="K1662" s="24">
        <v>995</v>
      </c>
      <c r="L1662" s="6">
        <v>892</v>
      </c>
      <c r="M1662" s="270">
        <f t="shared" si="45"/>
        <v>-103</v>
      </c>
      <c r="N1662" s="7"/>
      <c r="O1662" s="277"/>
      <c r="P1662" s="345"/>
      <c r="V1662" s="383"/>
    </row>
    <row r="1663" spans="1:22" ht="15" customHeight="1">
      <c r="A1663" s="3">
        <v>38196</v>
      </c>
      <c r="B1663" s="4">
        <v>3525</v>
      </c>
      <c r="D1663" s="5">
        <v>24625</v>
      </c>
      <c r="E1663" s="5">
        <f t="shared" si="44"/>
        <v>9575</v>
      </c>
      <c r="F1663" s="5">
        <v>37725</v>
      </c>
      <c r="K1663" s="24">
        <v>1020</v>
      </c>
      <c r="L1663" s="6">
        <v>910</v>
      </c>
      <c r="M1663" s="270">
        <f t="shared" si="45"/>
        <v>-110</v>
      </c>
      <c r="N1663" s="7"/>
      <c r="O1663" s="277"/>
      <c r="P1663" s="345"/>
      <c r="V1663" s="383"/>
    </row>
    <row r="1664" spans="1:22" ht="15" customHeight="1">
      <c r="A1664" s="3">
        <v>38197</v>
      </c>
      <c r="B1664" s="4">
        <v>3525</v>
      </c>
      <c r="D1664" s="5">
        <v>24375</v>
      </c>
      <c r="E1664" s="5">
        <f t="shared" si="44"/>
        <v>9575</v>
      </c>
      <c r="F1664" s="5">
        <v>37475</v>
      </c>
      <c r="K1664" s="24">
        <v>1014</v>
      </c>
      <c r="L1664" s="6">
        <v>908</v>
      </c>
      <c r="M1664" s="270">
        <f t="shared" si="45"/>
        <v>-106</v>
      </c>
      <c r="N1664" s="7"/>
      <c r="O1664" s="277"/>
      <c r="P1664" s="345"/>
      <c r="V1664" s="383"/>
    </row>
    <row r="1665" spans="1:22" ht="15" customHeight="1">
      <c r="A1665" s="3">
        <v>38198</v>
      </c>
      <c r="B1665" s="4">
        <v>3525</v>
      </c>
      <c r="D1665" s="5">
        <v>23975</v>
      </c>
      <c r="E1665" s="5">
        <f t="shared" si="44"/>
        <v>9675</v>
      </c>
      <c r="F1665" s="5">
        <v>37175</v>
      </c>
      <c r="K1665" s="24">
        <v>1039</v>
      </c>
      <c r="L1665" s="6">
        <v>895</v>
      </c>
      <c r="M1665" s="270">
        <f t="shared" si="45"/>
        <v>-144</v>
      </c>
      <c r="N1665" s="7"/>
      <c r="O1665" s="277"/>
      <c r="P1665" s="345"/>
      <c r="V1665" s="383"/>
    </row>
    <row r="1666" spans="1:22" ht="15" customHeight="1">
      <c r="A1666" s="3">
        <v>38201</v>
      </c>
      <c r="B1666" s="4">
        <v>4025</v>
      </c>
      <c r="D1666" s="5">
        <v>23650</v>
      </c>
      <c r="E1666" s="5">
        <f t="shared" si="44"/>
        <v>9775</v>
      </c>
      <c r="F1666" s="5">
        <v>37450</v>
      </c>
      <c r="K1666" s="24">
        <v>961</v>
      </c>
      <c r="L1666" s="6">
        <v>874</v>
      </c>
      <c r="M1666" s="270">
        <f t="shared" si="45"/>
        <v>-87</v>
      </c>
      <c r="N1666" s="7"/>
      <c r="O1666" s="277"/>
      <c r="P1666" s="345"/>
      <c r="V1666" s="383"/>
    </row>
    <row r="1667" spans="1:22" ht="15" customHeight="1">
      <c r="A1667" s="3">
        <v>38202</v>
      </c>
      <c r="B1667" s="4">
        <v>4025</v>
      </c>
      <c r="D1667" s="5">
        <v>23125</v>
      </c>
      <c r="E1667" s="5">
        <f t="shared" si="44"/>
        <v>9825</v>
      </c>
      <c r="F1667" s="5">
        <v>36975</v>
      </c>
      <c r="K1667" s="24">
        <v>950</v>
      </c>
      <c r="L1667" s="6">
        <v>868</v>
      </c>
      <c r="M1667" s="270">
        <f t="shared" si="45"/>
        <v>-82</v>
      </c>
      <c r="N1667" s="7"/>
      <c r="O1667" s="277"/>
      <c r="P1667" s="345"/>
      <c r="V1667" s="383"/>
    </row>
    <row r="1668" spans="1:22" ht="15" customHeight="1">
      <c r="A1668" s="3">
        <v>38203</v>
      </c>
      <c r="B1668" s="4">
        <v>4025</v>
      </c>
      <c r="D1668" s="5">
        <v>22775</v>
      </c>
      <c r="E1668" s="5">
        <f t="shared" si="44"/>
        <v>11050</v>
      </c>
      <c r="F1668" s="5">
        <v>37850</v>
      </c>
      <c r="K1668" s="24">
        <v>966</v>
      </c>
      <c r="L1668" s="6">
        <v>887</v>
      </c>
      <c r="M1668" s="270">
        <f t="shared" si="45"/>
        <v>-79</v>
      </c>
      <c r="N1668" s="7"/>
      <c r="O1668" s="277"/>
      <c r="P1668" s="345"/>
      <c r="V1668" s="383"/>
    </row>
    <row r="1669" spans="1:22" ht="15" customHeight="1">
      <c r="A1669" s="3">
        <v>38204</v>
      </c>
      <c r="B1669" s="4">
        <v>4025</v>
      </c>
      <c r="D1669" s="5">
        <v>22525</v>
      </c>
      <c r="E1669" s="5">
        <f t="shared" si="44"/>
        <v>13100</v>
      </c>
      <c r="F1669" s="5">
        <v>39650</v>
      </c>
      <c r="K1669" s="24">
        <v>980</v>
      </c>
      <c r="L1669" s="6">
        <v>900</v>
      </c>
      <c r="M1669" s="270">
        <f t="shared" si="45"/>
        <v>-80</v>
      </c>
      <c r="N1669" s="7"/>
      <c r="O1669" s="277"/>
      <c r="P1669" s="345"/>
      <c r="V1669" s="383"/>
    </row>
    <row r="1670" spans="1:22" ht="15" customHeight="1">
      <c r="A1670" s="3">
        <v>38205</v>
      </c>
      <c r="B1670" s="4">
        <v>4325</v>
      </c>
      <c r="D1670" s="5">
        <v>22000</v>
      </c>
      <c r="E1670" s="5">
        <f t="shared" si="44"/>
        <v>13800</v>
      </c>
      <c r="F1670" s="5">
        <v>40125</v>
      </c>
      <c r="K1670" s="24">
        <v>889</v>
      </c>
      <c r="L1670" s="6">
        <v>861.5</v>
      </c>
      <c r="M1670" s="270">
        <f t="shared" si="45"/>
        <v>-27.5</v>
      </c>
      <c r="N1670" s="7"/>
      <c r="O1670" s="277"/>
      <c r="P1670" s="345"/>
      <c r="V1670" s="383"/>
    </row>
    <row r="1671" spans="1:22" ht="15" customHeight="1">
      <c r="A1671" s="3">
        <v>38208</v>
      </c>
      <c r="B1671" s="4">
        <v>4825</v>
      </c>
      <c r="D1671" s="5">
        <v>21725</v>
      </c>
      <c r="E1671" s="5">
        <f t="shared" si="44"/>
        <v>14125</v>
      </c>
      <c r="F1671" s="5">
        <v>40675</v>
      </c>
      <c r="K1671" s="24">
        <v>873.5</v>
      </c>
      <c r="L1671" s="6">
        <v>836</v>
      </c>
      <c r="M1671" s="270">
        <f t="shared" si="45"/>
        <v>-37.5</v>
      </c>
      <c r="N1671" s="7"/>
      <c r="O1671" s="277"/>
      <c r="P1671" s="345"/>
      <c r="V1671" s="383"/>
    </row>
    <row r="1672" spans="1:22" ht="15" customHeight="1">
      <c r="A1672" s="3">
        <v>38209</v>
      </c>
      <c r="B1672" s="4">
        <v>4825</v>
      </c>
      <c r="D1672" s="5">
        <v>20950</v>
      </c>
      <c r="E1672" s="5">
        <f t="shared" si="44"/>
        <v>14275</v>
      </c>
      <c r="F1672" s="5">
        <v>40050</v>
      </c>
      <c r="K1672" s="24">
        <v>899.5</v>
      </c>
      <c r="L1672" s="6">
        <v>856</v>
      </c>
      <c r="M1672" s="270">
        <f t="shared" si="45"/>
        <v>-43.5</v>
      </c>
      <c r="N1672" s="7"/>
      <c r="O1672" s="277"/>
      <c r="P1672" s="345"/>
      <c r="V1672" s="383"/>
    </row>
    <row r="1673" spans="1:22" ht="15" customHeight="1">
      <c r="A1673" s="3">
        <v>38210</v>
      </c>
      <c r="B1673" s="4">
        <v>4500</v>
      </c>
      <c r="D1673" s="5">
        <v>20850</v>
      </c>
      <c r="E1673" s="5">
        <f t="shared" si="44"/>
        <v>14275</v>
      </c>
      <c r="F1673" s="5">
        <v>39625</v>
      </c>
      <c r="K1673" s="24">
        <v>945</v>
      </c>
      <c r="L1673" s="6">
        <v>871</v>
      </c>
      <c r="M1673" s="270">
        <f t="shared" si="45"/>
        <v>-74</v>
      </c>
      <c r="N1673" s="7"/>
      <c r="O1673" s="277"/>
      <c r="P1673" s="345"/>
      <c r="V1673" s="383"/>
    </row>
    <row r="1674" spans="1:22" ht="15" customHeight="1">
      <c r="A1674" s="3">
        <v>38211</v>
      </c>
      <c r="B1674" s="4">
        <v>4500</v>
      </c>
      <c r="D1674" s="5">
        <v>20775</v>
      </c>
      <c r="E1674" s="5">
        <f t="shared" si="44"/>
        <v>14275</v>
      </c>
      <c r="F1674" s="5">
        <v>39550</v>
      </c>
      <c r="K1674" s="24">
        <v>940</v>
      </c>
      <c r="L1674" s="6">
        <v>880</v>
      </c>
      <c r="M1674" s="270">
        <f t="shared" si="45"/>
        <v>-60</v>
      </c>
      <c r="N1674" s="7"/>
      <c r="O1674" s="277"/>
      <c r="P1674" s="345"/>
      <c r="V1674" s="383"/>
    </row>
    <row r="1675" spans="1:22" ht="15" customHeight="1">
      <c r="A1675" s="3">
        <v>38212</v>
      </c>
      <c r="B1675" s="4">
        <v>4800</v>
      </c>
      <c r="D1675" s="5">
        <v>20750</v>
      </c>
      <c r="E1675" s="5">
        <f t="shared" si="44"/>
        <v>14275</v>
      </c>
      <c r="F1675" s="5">
        <v>39825</v>
      </c>
      <c r="K1675" s="24">
        <v>920</v>
      </c>
      <c r="L1675" s="6">
        <v>866</v>
      </c>
      <c r="M1675" s="270">
        <f t="shared" si="45"/>
        <v>-54</v>
      </c>
      <c r="N1675" s="7"/>
      <c r="O1675" s="277"/>
      <c r="P1675" s="345"/>
      <c r="V1675" s="383"/>
    </row>
    <row r="1676" spans="1:22" ht="15" customHeight="1">
      <c r="A1676" s="3">
        <v>38215</v>
      </c>
      <c r="B1676" s="4">
        <v>4800</v>
      </c>
      <c r="D1676" s="5">
        <v>20450</v>
      </c>
      <c r="E1676" s="5">
        <f t="shared" si="44"/>
        <v>14275</v>
      </c>
      <c r="F1676" s="5">
        <v>39525</v>
      </c>
      <c r="K1676" s="24">
        <v>944</v>
      </c>
      <c r="L1676" s="6">
        <v>889</v>
      </c>
      <c r="M1676" s="270">
        <f t="shared" si="45"/>
        <v>-55</v>
      </c>
      <c r="N1676" s="7"/>
      <c r="O1676" s="277"/>
      <c r="P1676" s="345"/>
      <c r="V1676" s="383"/>
    </row>
    <row r="1677" spans="1:22" ht="15" customHeight="1">
      <c r="A1677" s="3">
        <v>38216</v>
      </c>
      <c r="B1677" s="4">
        <v>4800</v>
      </c>
      <c r="D1677" s="5">
        <v>20225</v>
      </c>
      <c r="E1677" s="5">
        <f t="shared" si="44"/>
        <v>14275</v>
      </c>
      <c r="F1677" s="5">
        <v>39300</v>
      </c>
      <c r="K1677" s="24">
        <v>912</v>
      </c>
      <c r="L1677" s="6">
        <v>864</v>
      </c>
      <c r="M1677" s="270">
        <f t="shared" si="45"/>
        <v>-48</v>
      </c>
      <c r="N1677" s="7"/>
      <c r="O1677" s="277"/>
      <c r="P1677" s="345"/>
      <c r="V1677" s="383"/>
    </row>
    <row r="1678" spans="1:22" ht="15" customHeight="1">
      <c r="A1678" s="3">
        <v>38217</v>
      </c>
      <c r="B1678" s="4">
        <v>4800</v>
      </c>
      <c r="D1678" s="5">
        <v>19800</v>
      </c>
      <c r="E1678" s="5">
        <f t="shared" si="44"/>
        <v>14275</v>
      </c>
      <c r="F1678" s="5">
        <v>38875</v>
      </c>
      <c r="K1678" s="24">
        <v>882.5</v>
      </c>
      <c r="L1678" s="6">
        <v>843</v>
      </c>
      <c r="M1678" s="270">
        <f t="shared" si="45"/>
        <v>-39.5</v>
      </c>
      <c r="N1678" s="7"/>
      <c r="O1678" s="277"/>
      <c r="P1678" s="345"/>
      <c r="V1678" s="383"/>
    </row>
    <row r="1679" spans="1:22" ht="15" customHeight="1">
      <c r="A1679" s="3">
        <v>38218</v>
      </c>
      <c r="B1679" s="4">
        <v>4675</v>
      </c>
      <c r="D1679" s="5">
        <v>19575</v>
      </c>
      <c r="E1679" s="5">
        <f t="shared" si="44"/>
        <v>14275</v>
      </c>
      <c r="F1679" s="5">
        <v>38525</v>
      </c>
      <c r="K1679" s="24">
        <v>910</v>
      </c>
      <c r="L1679" s="6">
        <v>862</v>
      </c>
      <c r="M1679" s="270">
        <f t="shared" si="45"/>
        <v>-48</v>
      </c>
      <c r="N1679" s="7"/>
      <c r="O1679" s="277"/>
      <c r="P1679" s="345"/>
      <c r="V1679" s="383"/>
    </row>
    <row r="1680" spans="1:22" ht="15" customHeight="1">
      <c r="A1680" s="3">
        <v>38219</v>
      </c>
      <c r="B1680" s="4">
        <v>4675</v>
      </c>
      <c r="D1680" s="5">
        <v>19225</v>
      </c>
      <c r="E1680" s="5">
        <f t="shared" si="44"/>
        <v>14275</v>
      </c>
      <c r="F1680" s="5">
        <v>38175</v>
      </c>
      <c r="K1680" s="24">
        <v>904</v>
      </c>
      <c r="L1680" s="6">
        <v>851</v>
      </c>
      <c r="M1680" s="270">
        <f t="shared" si="45"/>
        <v>-53</v>
      </c>
      <c r="N1680" s="7"/>
      <c r="O1680" s="277"/>
      <c r="P1680" s="345"/>
      <c r="V1680" s="383"/>
    </row>
    <row r="1681" spans="1:23" ht="15" customHeight="1">
      <c r="A1681" s="3">
        <v>38222</v>
      </c>
      <c r="B1681" s="4">
        <v>4575</v>
      </c>
      <c r="D1681" s="5">
        <v>18925</v>
      </c>
      <c r="E1681" s="5">
        <f t="shared" si="44"/>
        <v>14275</v>
      </c>
      <c r="F1681" s="5">
        <v>37775</v>
      </c>
      <c r="K1681" s="24">
        <v>913</v>
      </c>
      <c r="L1681" s="6">
        <v>851</v>
      </c>
      <c r="M1681" s="270">
        <f t="shared" si="45"/>
        <v>-62</v>
      </c>
      <c r="N1681" s="7"/>
      <c r="O1681" s="277"/>
      <c r="P1681" s="345"/>
      <c r="V1681" s="383"/>
    </row>
    <row r="1682" spans="1:23" ht="15" customHeight="1">
      <c r="A1682" s="3">
        <v>38223</v>
      </c>
      <c r="B1682" s="4">
        <v>4575</v>
      </c>
      <c r="D1682" s="5">
        <v>18425</v>
      </c>
      <c r="E1682" s="5">
        <f t="shared" si="44"/>
        <v>14275</v>
      </c>
      <c r="F1682" s="5">
        <v>37275</v>
      </c>
      <c r="K1682" s="24">
        <v>903</v>
      </c>
      <c r="L1682" s="6">
        <v>848</v>
      </c>
      <c r="M1682" s="270">
        <f t="shared" si="45"/>
        <v>-55</v>
      </c>
      <c r="N1682" s="7"/>
      <c r="O1682" s="277"/>
      <c r="P1682" s="345"/>
      <c r="V1682" s="383"/>
    </row>
    <row r="1683" spans="1:23" ht="15" customHeight="1">
      <c r="A1683" s="3">
        <v>38224</v>
      </c>
      <c r="B1683" s="4">
        <v>4575</v>
      </c>
      <c r="D1683" s="5">
        <v>18300</v>
      </c>
      <c r="E1683" s="5">
        <f t="shared" si="44"/>
        <v>14250</v>
      </c>
      <c r="F1683" s="5">
        <v>37125</v>
      </c>
      <c r="K1683" s="24">
        <v>904</v>
      </c>
      <c r="L1683" s="6">
        <v>844</v>
      </c>
      <c r="M1683" s="270">
        <f t="shared" si="45"/>
        <v>-60</v>
      </c>
      <c r="N1683" s="7"/>
      <c r="O1683" s="277"/>
      <c r="P1683" s="345"/>
      <c r="V1683" s="383"/>
    </row>
    <row r="1684" spans="1:23" ht="15" customHeight="1">
      <c r="A1684" s="3">
        <v>38225</v>
      </c>
      <c r="B1684" s="4">
        <v>4575</v>
      </c>
      <c r="D1684" s="5">
        <v>18125</v>
      </c>
      <c r="E1684" s="5">
        <f t="shared" si="44"/>
        <v>14250</v>
      </c>
      <c r="F1684" s="5">
        <v>36950</v>
      </c>
      <c r="K1684" s="24">
        <v>921</v>
      </c>
      <c r="L1684" s="6">
        <v>860</v>
      </c>
      <c r="M1684" s="270">
        <f t="shared" si="45"/>
        <v>-61</v>
      </c>
      <c r="N1684" s="7"/>
      <c r="O1684" s="277"/>
      <c r="P1684" s="345"/>
      <c r="V1684" s="383"/>
    </row>
    <row r="1685" spans="1:23" ht="15" customHeight="1">
      <c r="A1685" s="3">
        <v>38226</v>
      </c>
      <c r="B1685" s="4">
        <v>4475</v>
      </c>
      <c r="D1685" s="5">
        <v>17800</v>
      </c>
      <c r="E1685" s="5">
        <f t="shared" si="44"/>
        <v>14250</v>
      </c>
      <c r="F1685" s="5">
        <v>36525</v>
      </c>
      <c r="K1685" s="24">
        <v>919</v>
      </c>
      <c r="L1685" s="6">
        <v>858</v>
      </c>
      <c r="M1685" s="270">
        <f t="shared" si="45"/>
        <v>-61</v>
      </c>
      <c r="N1685" s="7"/>
      <c r="O1685" s="277"/>
      <c r="P1685" s="345"/>
      <c r="V1685" s="383"/>
    </row>
    <row r="1686" spans="1:23" ht="15" customHeight="1" thickBot="1">
      <c r="A1686" s="12">
        <v>38230</v>
      </c>
      <c r="B1686" s="13">
        <v>4475</v>
      </c>
      <c r="C1686" s="13"/>
      <c r="D1686" s="14">
        <v>17800</v>
      </c>
      <c r="E1686" s="14">
        <f t="shared" si="44"/>
        <v>14250</v>
      </c>
      <c r="F1686" s="14">
        <v>36525</v>
      </c>
      <c r="G1686" s="14"/>
      <c r="H1686" s="14"/>
      <c r="I1686" s="14"/>
      <c r="J1686" s="264"/>
      <c r="K1686" s="25">
        <v>919</v>
      </c>
      <c r="L1686" s="15">
        <v>858</v>
      </c>
      <c r="M1686" s="271">
        <f t="shared" si="45"/>
        <v>-61</v>
      </c>
      <c r="N1686" s="22"/>
      <c r="O1686" s="278"/>
      <c r="P1686" s="346"/>
      <c r="Q1686" s="30"/>
      <c r="R1686" s="30"/>
      <c r="S1686" s="30"/>
      <c r="T1686" s="30"/>
      <c r="U1686" s="31"/>
      <c r="V1686" s="740"/>
      <c r="W1686" s="742"/>
    </row>
    <row r="1687" spans="1:23" ht="15" customHeight="1">
      <c r="A1687" s="3">
        <v>38231</v>
      </c>
      <c r="B1687" s="4">
        <v>4375</v>
      </c>
      <c r="D1687" s="5">
        <v>17025</v>
      </c>
      <c r="E1687" s="5">
        <f t="shared" si="44"/>
        <v>14225</v>
      </c>
      <c r="F1687" s="5">
        <v>35625</v>
      </c>
      <c r="K1687" s="24">
        <v>893.5</v>
      </c>
      <c r="L1687" s="6">
        <v>846</v>
      </c>
      <c r="M1687" s="270">
        <f t="shared" si="45"/>
        <v>-47.5</v>
      </c>
      <c r="N1687" s="7"/>
      <c r="O1687" s="277"/>
      <c r="P1687" s="345"/>
      <c r="V1687" s="383"/>
    </row>
    <row r="1688" spans="1:23" ht="15" customHeight="1">
      <c r="A1688" s="3">
        <v>38232</v>
      </c>
      <c r="B1688" s="4">
        <v>3450</v>
      </c>
      <c r="D1688" s="5">
        <v>16925</v>
      </c>
      <c r="E1688" s="5">
        <f t="shared" si="44"/>
        <v>14225</v>
      </c>
      <c r="F1688" s="5">
        <v>34600</v>
      </c>
      <c r="K1688" s="24">
        <v>877</v>
      </c>
      <c r="L1688" s="6">
        <v>843</v>
      </c>
      <c r="M1688" s="270">
        <f t="shared" si="45"/>
        <v>-34</v>
      </c>
      <c r="N1688" s="7"/>
      <c r="O1688" s="277"/>
      <c r="P1688" s="345"/>
      <c r="V1688" s="383"/>
    </row>
    <row r="1689" spans="1:23" ht="15" customHeight="1">
      <c r="A1689" s="3">
        <v>38233</v>
      </c>
      <c r="B1689" s="4">
        <v>3300</v>
      </c>
      <c r="D1689" s="5">
        <v>16625</v>
      </c>
      <c r="E1689" s="5">
        <f t="shared" si="44"/>
        <v>14225</v>
      </c>
      <c r="F1689" s="5">
        <v>34150</v>
      </c>
      <c r="K1689" s="24">
        <v>891</v>
      </c>
      <c r="L1689" s="6">
        <v>850</v>
      </c>
      <c r="M1689" s="270">
        <f t="shared" si="45"/>
        <v>-41</v>
      </c>
      <c r="N1689" s="7"/>
      <c r="O1689" s="277"/>
      <c r="P1689" s="345"/>
      <c r="V1689" s="383"/>
    </row>
    <row r="1690" spans="1:23" ht="15" customHeight="1">
      <c r="A1690" s="3">
        <v>38236</v>
      </c>
      <c r="B1690" s="4">
        <v>3275</v>
      </c>
      <c r="D1690" s="5">
        <v>16375</v>
      </c>
      <c r="E1690" s="5">
        <f t="shared" si="44"/>
        <v>14225</v>
      </c>
      <c r="F1690" s="5">
        <v>33875</v>
      </c>
      <c r="K1690" s="24">
        <v>897.5</v>
      </c>
      <c r="L1690" s="6">
        <v>853</v>
      </c>
      <c r="M1690" s="270">
        <f t="shared" si="45"/>
        <v>-44.5</v>
      </c>
      <c r="N1690" s="7"/>
      <c r="O1690" s="277"/>
      <c r="P1690" s="345"/>
      <c r="V1690" s="383"/>
    </row>
    <row r="1691" spans="1:23" ht="15" customHeight="1">
      <c r="A1691" s="3">
        <v>38237</v>
      </c>
      <c r="B1691" s="4">
        <v>3175</v>
      </c>
      <c r="D1691" s="5">
        <v>16375</v>
      </c>
      <c r="E1691" s="5">
        <f t="shared" si="44"/>
        <v>14225</v>
      </c>
      <c r="F1691" s="5">
        <v>33775</v>
      </c>
      <c r="K1691" s="24">
        <v>916</v>
      </c>
      <c r="L1691" s="6">
        <v>867</v>
      </c>
      <c r="M1691" s="270">
        <f t="shared" si="45"/>
        <v>-49</v>
      </c>
      <c r="N1691" s="7"/>
      <c r="O1691" s="277"/>
      <c r="P1691" s="345"/>
      <c r="V1691" s="383"/>
    </row>
    <row r="1692" spans="1:23" ht="15" customHeight="1">
      <c r="A1692" s="3">
        <v>38238</v>
      </c>
      <c r="B1692" s="4">
        <v>3175</v>
      </c>
      <c r="D1692" s="5">
        <v>16375</v>
      </c>
      <c r="E1692" s="5">
        <f t="shared" si="44"/>
        <v>14225</v>
      </c>
      <c r="F1692" s="5">
        <v>33775</v>
      </c>
      <c r="K1692" s="24">
        <v>924</v>
      </c>
      <c r="L1692" s="6">
        <v>870</v>
      </c>
      <c r="M1692" s="270">
        <f t="shared" si="45"/>
        <v>-54</v>
      </c>
      <c r="N1692" s="7"/>
      <c r="O1692" s="277"/>
      <c r="P1692" s="345"/>
      <c r="V1692" s="383"/>
    </row>
    <row r="1693" spans="1:23" ht="15" customHeight="1">
      <c r="A1693" s="3">
        <v>38239</v>
      </c>
      <c r="B1693" s="4">
        <v>3175</v>
      </c>
      <c r="D1693" s="5">
        <v>16300</v>
      </c>
      <c r="E1693" s="5">
        <f t="shared" si="44"/>
        <v>14225</v>
      </c>
      <c r="F1693" s="5">
        <v>33700</v>
      </c>
      <c r="K1693" s="24">
        <v>931.5</v>
      </c>
      <c r="L1693" s="6">
        <v>880</v>
      </c>
      <c r="M1693" s="270">
        <f t="shared" si="45"/>
        <v>-51.5</v>
      </c>
      <c r="N1693" s="7"/>
      <c r="O1693" s="277"/>
      <c r="P1693" s="345"/>
      <c r="V1693" s="383"/>
    </row>
    <row r="1694" spans="1:23" ht="15" customHeight="1">
      <c r="A1694" s="3">
        <v>38240</v>
      </c>
      <c r="B1694" s="4">
        <v>3175</v>
      </c>
      <c r="D1694" s="5">
        <v>16175</v>
      </c>
      <c r="E1694" s="5">
        <f t="shared" si="44"/>
        <v>14225</v>
      </c>
      <c r="F1694" s="5">
        <v>33575</v>
      </c>
      <c r="K1694" s="24">
        <v>927</v>
      </c>
      <c r="L1694" s="6">
        <v>877</v>
      </c>
      <c r="M1694" s="270">
        <f t="shared" si="45"/>
        <v>-50</v>
      </c>
      <c r="N1694" s="7"/>
      <c r="O1694" s="277"/>
      <c r="P1694" s="345"/>
      <c r="V1694" s="383"/>
    </row>
    <row r="1695" spans="1:23" ht="15" customHeight="1">
      <c r="A1695" s="3">
        <v>38241</v>
      </c>
      <c r="B1695" s="4">
        <v>3175</v>
      </c>
      <c r="D1695" s="5">
        <v>16075</v>
      </c>
      <c r="E1695" s="5">
        <f t="shared" si="44"/>
        <v>14225</v>
      </c>
      <c r="F1695" s="5">
        <v>33475</v>
      </c>
      <c r="K1695" s="24">
        <v>952.5</v>
      </c>
      <c r="L1695" s="6">
        <v>905</v>
      </c>
      <c r="M1695" s="270">
        <f t="shared" si="45"/>
        <v>-47.5</v>
      </c>
      <c r="N1695" s="7"/>
      <c r="O1695" s="277"/>
      <c r="P1695" s="345"/>
      <c r="V1695" s="383"/>
    </row>
    <row r="1696" spans="1:23" ht="15" customHeight="1">
      <c r="A1696" s="3">
        <v>38244</v>
      </c>
      <c r="B1696" s="4">
        <v>2825</v>
      </c>
      <c r="D1696" s="5">
        <v>16075</v>
      </c>
      <c r="E1696" s="5">
        <f t="shared" si="44"/>
        <v>14225</v>
      </c>
      <c r="F1696" s="5">
        <v>33125</v>
      </c>
      <c r="K1696" s="24">
        <v>942.5</v>
      </c>
      <c r="L1696" s="6">
        <v>902</v>
      </c>
      <c r="M1696" s="270">
        <f t="shared" si="45"/>
        <v>-40.5</v>
      </c>
      <c r="N1696" s="7"/>
      <c r="O1696" s="277"/>
      <c r="P1696" s="345"/>
      <c r="V1696" s="383"/>
    </row>
    <row r="1697" spans="1:24" ht="15" customHeight="1">
      <c r="A1697" s="3">
        <v>38245</v>
      </c>
      <c r="B1697" s="4">
        <v>2825</v>
      </c>
      <c r="D1697" s="5">
        <v>15800</v>
      </c>
      <c r="E1697" s="5">
        <f t="shared" si="44"/>
        <v>14225</v>
      </c>
      <c r="F1697" s="5">
        <v>32850</v>
      </c>
      <c r="K1697" s="24">
        <v>934</v>
      </c>
      <c r="L1697" s="6">
        <v>885</v>
      </c>
      <c r="M1697" s="270">
        <f t="shared" si="45"/>
        <v>-49</v>
      </c>
      <c r="N1697" s="7"/>
      <c r="O1697" s="277"/>
      <c r="P1697" s="345"/>
      <c r="V1697" s="383"/>
    </row>
    <row r="1698" spans="1:24" ht="15" customHeight="1">
      <c r="A1698" s="3">
        <v>38246</v>
      </c>
      <c r="B1698" s="4">
        <v>2775</v>
      </c>
      <c r="D1698" s="5">
        <v>15525</v>
      </c>
      <c r="E1698" s="5">
        <f t="shared" si="44"/>
        <v>14225</v>
      </c>
      <c r="F1698" s="5">
        <v>32525</v>
      </c>
      <c r="K1698" s="24">
        <v>947</v>
      </c>
      <c r="L1698" s="6">
        <v>895</v>
      </c>
      <c r="M1698" s="270">
        <f t="shared" si="45"/>
        <v>-52</v>
      </c>
      <c r="N1698" s="7"/>
      <c r="O1698" s="277"/>
      <c r="P1698" s="345"/>
      <c r="V1698" s="383"/>
    </row>
    <row r="1699" spans="1:24" ht="15" customHeight="1">
      <c r="A1699" s="3">
        <v>38247</v>
      </c>
      <c r="B1699" s="4">
        <v>2750</v>
      </c>
      <c r="D1699" s="5">
        <v>15450</v>
      </c>
      <c r="E1699" s="5">
        <f t="shared" si="44"/>
        <v>14225</v>
      </c>
      <c r="F1699" s="5">
        <v>32425</v>
      </c>
      <c r="K1699" s="24">
        <v>932</v>
      </c>
      <c r="L1699" s="6">
        <v>890</v>
      </c>
      <c r="M1699" s="270">
        <f t="shared" si="45"/>
        <v>-42</v>
      </c>
      <c r="N1699" s="7"/>
      <c r="O1699" s="277"/>
      <c r="P1699" s="345"/>
      <c r="V1699" s="383"/>
    </row>
    <row r="1700" spans="1:24" ht="15" customHeight="1">
      <c r="A1700" s="3">
        <v>38250</v>
      </c>
      <c r="B1700" s="4">
        <v>22975</v>
      </c>
      <c r="D1700" s="5">
        <v>15325</v>
      </c>
      <c r="E1700" s="5">
        <f t="shared" ref="E1700:E1724" si="46">F1700-(B1700+D1700)</f>
        <v>14225</v>
      </c>
      <c r="F1700" s="5">
        <v>52525</v>
      </c>
      <c r="K1700" s="24">
        <v>905</v>
      </c>
      <c r="L1700" s="6">
        <v>866.5</v>
      </c>
      <c r="M1700" s="270">
        <f t="shared" si="45"/>
        <v>-38.5</v>
      </c>
      <c r="N1700" s="7"/>
      <c r="O1700" s="277"/>
      <c r="P1700" s="345"/>
      <c r="V1700" s="383"/>
    </row>
    <row r="1701" spans="1:24" ht="15" customHeight="1">
      <c r="A1701" s="3">
        <v>38251</v>
      </c>
      <c r="B1701" s="4">
        <v>23550</v>
      </c>
      <c r="D1701" s="5">
        <v>15150</v>
      </c>
      <c r="E1701" s="5">
        <f t="shared" si="46"/>
        <v>14225</v>
      </c>
      <c r="F1701" s="5">
        <v>52925</v>
      </c>
      <c r="K1701" s="24">
        <v>941</v>
      </c>
      <c r="L1701" s="6">
        <v>894</v>
      </c>
      <c r="M1701" s="270">
        <f t="shared" si="45"/>
        <v>-47</v>
      </c>
      <c r="N1701" s="7"/>
      <c r="O1701" s="277"/>
      <c r="P1701" s="345"/>
      <c r="V1701" s="383"/>
    </row>
    <row r="1702" spans="1:24" ht="15" customHeight="1">
      <c r="A1702" s="3">
        <v>38252</v>
      </c>
      <c r="B1702" s="4">
        <v>23550</v>
      </c>
      <c r="D1702" s="5">
        <v>14975</v>
      </c>
      <c r="E1702" s="5">
        <f t="shared" si="46"/>
        <v>14225</v>
      </c>
      <c r="F1702" s="5">
        <v>52750</v>
      </c>
      <c r="K1702" s="24">
        <v>962</v>
      </c>
      <c r="L1702" s="6">
        <v>908.5</v>
      </c>
      <c r="M1702" s="270">
        <f t="shared" si="45"/>
        <v>-53.5</v>
      </c>
      <c r="N1702" s="7"/>
      <c r="O1702" s="277"/>
      <c r="P1702" s="345"/>
      <c r="V1702" s="383"/>
    </row>
    <row r="1703" spans="1:24" ht="15" customHeight="1">
      <c r="A1703" s="3">
        <v>38253</v>
      </c>
      <c r="B1703" s="4">
        <v>23550</v>
      </c>
      <c r="D1703" s="5">
        <v>14875</v>
      </c>
      <c r="E1703" s="5">
        <f t="shared" si="46"/>
        <v>14225</v>
      </c>
      <c r="F1703" s="5">
        <v>52650</v>
      </c>
      <c r="K1703" s="24">
        <v>955.5</v>
      </c>
      <c r="L1703" s="6">
        <v>904</v>
      </c>
      <c r="M1703" s="270">
        <f t="shared" si="45"/>
        <v>-51.5</v>
      </c>
      <c r="N1703" s="7"/>
      <c r="O1703" s="277"/>
      <c r="P1703" s="345">
        <v>9450</v>
      </c>
      <c r="Q1703" s="28">
        <v>0.1208</v>
      </c>
      <c r="U1703" s="29">
        <v>0</v>
      </c>
      <c r="V1703" s="383"/>
      <c r="W1703" s="741">
        <f t="shared" ref="W1703:W1708" si="47">(P1703*Q1703)*(1+U1703)</f>
        <v>1141.56</v>
      </c>
    </row>
    <row r="1704" spans="1:24" ht="15" customHeight="1">
      <c r="A1704" s="3">
        <v>38254</v>
      </c>
      <c r="B1704" s="4">
        <v>24050</v>
      </c>
      <c r="D1704" s="5">
        <v>14750</v>
      </c>
      <c r="E1704" s="5">
        <f t="shared" si="46"/>
        <v>14225</v>
      </c>
      <c r="F1704" s="5">
        <v>53025</v>
      </c>
      <c r="K1704" s="24">
        <v>969</v>
      </c>
      <c r="L1704" s="6">
        <v>915</v>
      </c>
      <c r="M1704" s="270">
        <f t="shared" si="45"/>
        <v>-54</v>
      </c>
      <c r="N1704" s="7"/>
      <c r="O1704" s="277"/>
      <c r="P1704" s="345">
        <v>9450</v>
      </c>
      <c r="Q1704" s="28">
        <v>0.1208</v>
      </c>
      <c r="U1704" s="29">
        <v>0</v>
      </c>
      <c r="V1704" s="383"/>
      <c r="W1704" s="741">
        <f t="shared" si="47"/>
        <v>1141.56</v>
      </c>
    </row>
    <row r="1705" spans="1:24" ht="15" customHeight="1">
      <c r="A1705" s="3">
        <v>38257</v>
      </c>
      <c r="B1705" s="4">
        <v>23950</v>
      </c>
      <c r="D1705" s="5">
        <v>14650</v>
      </c>
      <c r="E1705" s="5">
        <f t="shared" si="46"/>
        <v>14225</v>
      </c>
      <c r="F1705" s="5">
        <v>52825</v>
      </c>
      <c r="K1705" s="24">
        <v>980</v>
      </c>
      <c r="L1705" s="6">
        <v>929</v>
      </c>
      <c r="M1705" s="270">
        <f t="shared" si="45"/>
        <v>-51</v>
      </c>
      <c r="N1705" s="7"/>
      <c r="O1705" s="277"/>
      <c r="P1705" s="345">
        <v>9450</v>
      </c>
      <c r="Q1705" s="28">
        <v>0.1208</v>
      </c>
      <c r="U1705" s="29">
        <v>0</v>
      </c>
      <c r="V1705" s="383"/>
      <c r="W1705" s="741">
        <f t="shared" si="47"/>
        <v>1141.56</v>
      </c>
    </row>
    <row r="1706" spans="1:24" ht="15" customHeight="1">
      <c r="A1706" s="3">
        <v>38258</v>
      </c>
      <c r="B1706" s="4">
        <v>24150</v>
      </c>
      <c r="D1706" s="5">
        <v>14550</v>
      </c>
      <c r="E1706" s="5">
        <f t="shared" si="46"/>
        <v>14225</v>
      </c>
      <c r="F1706" s="5">
        <v>52925</v>
      </c>
      <c r="K1706" s="24">
        <v>987</v>
      </c>
      <c r="L1706" s="6">
        <v>934</v>
      </c>
      <c r="M1706" s="270">
        <f t="shared" si="45"/>
        <v>-53</v>
      </c>
      <c r="N1706" s="7"/>
      <c r="O1706" s="277"/>
      <c r="P1706" s="345">
        <v>9500</v>
      </c>
      <c r="Q1706" s="28">
        <v>0.1208</v>
      </c>
      <c r="U1706" s="29">
        <v>0</v>
      </c>
      <c r="V1706" s="383"/>
      <c r="W1706" s="741">
        <f t="shared" si="47"/>
        <v>1147.6000000000001</v>
      </c>
    </row>
    <row r="1707" spans="1:24" ht="15" customHeight="1">
      <c r="A1707" s="3">
        <v>38259</v>
      </c>
      <c r="B1707" s="4">
        <v>24650</v>
      </c>
      <c r="D1707" s="5">
        <v>14375</v>
      </c>
      <c r="E1707" s="5">
        <f t="shared" si="46"/>
        <v>14225</v>
      </c>
      <c r="F1707" s="5">
        <v>53250</v>
      </c>
      <c r="K1707" s="24">
        <v>948</v>
      </c>
      <c r="L1707" s="6">
        <v>909</v>
      </c>
      <c r="M1707" s="270">
        <f t="shared" si="45"/>
        <v>-39</v>
      </c>
      <c r="N1707" s="7"/>
      <c r="O1707" s="277"/>
      <c r="P1707" s="345">
        <v>9450</v>
      </c>
      <c r="Q1707" s="28">
        <v>0.1208</v>
      </c>
      <c r="U1707" s="29">
        <v>0</v>
      </c>
      <c r="V1707" s="383"/>
      <c r="W1707" s="741">
        <f t="shared" si="47"/>
        <v>1141.56</v>
      </c>
    </row>
    <row r="1708" spans="1:24" ht="15" customHeight="1" thickBot="1">
      <c r="A1708" s="12">
        <v>38260</v>
      </c>
      <c r="B1708" s="13">
        <v>25000</v>
      </c>
      <c r="C1708" s="13"/>
      <c r="D1708" s="14">
        <v>14125</v>
      </c>
      <c r="E1708" s="14">
        <f t="shared" si="46"/>
        <v>14225</v>
      </c>
      <c r="F1708" s="14">
        <v>53350</v>
      </c>
      <c r="G1708" s="14"/>
      <c r="H1708" s="14"/>
      <c r="I1708" s="14"/>
      <c r="J1708" s="264"/>
      <c r="K1708" s="25">
        <v>964</v>
      </c>
      <c r="L1708" s="15">
        <v>926</v>
      </c>
      <c r="M1708" s="271">
        <f t="shared" si="45"/>
        <v>-38</v>
      </c>
      <c r="N1708" s="22"/>
      <c r="O1708" s="278"/>
      <c r="P1708" s="346">
        <v>9450</v>
      </c>
      <c r="Q1708" s="30">
        <v>0.1208</v>
      </c>
      <c r="R1708" s="30"/>
      <c r="S1708" s="30"/>
      <c r="T1708" s="30"/>
      <c r="U1708" s="31">
        <v>0</v>
      </c>
      <c r="V1708" s="740"/>
      <c r="W1708" s="741">
        <f t="shared" si="47"/>
        <v>1141.56</v>
      </c>
      <c r="X1708" s="33"/>
    </row>
    <row r="1709" spans="1:24" ht="15" customHeight="1">
      <c r="A1709" s="3">
        <v>38261</v>
      </c>
      <c r="B1709" s="4">
        <v>25000</v>
      </c>
      <c r="D1709" s="5">
        <v>13850</v>
      </c>
      <c r="E1709" s="5">
        <f t="shared" si="46"/>
        <v>14225</v>
      </c>
      <c r="F1709" s="5">
        <v>53075</v>
      </c>
      <c r="K1709" s="24">
        <v>982</v>
      </c>
      <c r="L1709" s="6">
        <v>925</v>
      </c>
      <c r="M1709" s="270">
        <f t="shared" si="45"/>
        <v>-57</v>
      </c>
      <c r="N1709" s="34"/>
      <c r="O1709" s="277"/>
      <c r="P1709" s="347">
        <v>9450</v>
      </c>
      <c r="Q1709" s="28">
        <v>0.1208</v>
      </c>
      <c r="U1709" s="29">
        <v>0</v>
      </c>
      <c r="V1709" s="383"/>
      <c r="W1709" s="741">
        <f t="shared" ref="W1709:W1772" si="48">(P1709*Q1709)*(1+U1709)</f>
        <v>1141.56</v>
      </c>
    </row>
    <row r="1710" spans="1:24" ht="15" customHeight="1">
      <c r="A1710" s="3">
        <v>38264</v>
      </c>
      <c r="B1710" s="4">
        <v>24950</v>
      </c>
      <c r="D1710" s="5">
        <v>13600</v>
      </c>
      <c r="E1710" s="5">
        <f t="shared" si="46"/>
        <v>14225</v>
      </c>
      <c r="F1710" s="5">
        <v>52775</v>
      </c>
      <c r="K1710" s="24">
        <v>966</v>
      </c>
      <c r="L1710" s="6">
        <v>919</v>
      </c>
      <c r="M1710" s="270">
        <f t="shared" si="45"/>
        <v>-47</v>
      </c>
      <c r="N1710" s="34"/>
      <c r="O1710" s="277"/>
      <c r="P1710" s="347">
        <v>9450</v>
      </c>
      <c r="Q1710" s="28">
        <v>0.1208</v>
      </c>
      <c r="U1710" s="29">
        <v>0</v>
      </c>
      <c r="V1710" s="383"/>
      <c r="W1710" s="741">
        <f t="shared" si="48"/>
        <v>1141.56</v>
      </c>
    </row>
    <row r="1711" spans="1:24" ht="15" customHeight="1">
      <c r="A1711" s="3">
        <v>38265</v>
      </c>
      <c r="B1711" s="4">
        <v>24425</v>
      </c>
      <c r="D1711" s="5">
        <v>13525</v>
      </c>
      <c r="E1711" s="5">
        <f t="shared" si="46"/>
        <v>14100</v>
      </c>
      <c r="F1711" s="5">
        <v>52050</v>
      </c>
      <c r="K1711" s="24">
        <v>980</v>
      </c>
      <c r="L1711" s="6">
        <v>939</v>
      </c>
      <c r="M1711" s="270">
        <f t="shared" si="45"/>
        <v>-41</v>
      </c>
      <c r="N1711" s="34"/>
      <c r="O1711" s="277"/>
      <c r="P1711" s="345">
        <v>9500</v>
      </c>
      <c r="Q1711" s="28">
        <v>0.1208</v>
      </c>
      <c r="U1711" s="29">
        <v>0</v>
      </c>
      <c r="V1711" s="383"/>
      <c r="W1711" s="741">
        <f t="shared" si="48"/>
        <v>1147.6000000000001</v>
      </c>
    </row>
    <row r="1712" spans="1:24" ht="15" customHeight="1">
      <c r="A1712" s="3">
        <v>38266</v>
      </c>
      <c r="B1712" s="4">
        <v>24425</v>
      </c>
      <c r="D1712" s="5">
        <v>13325</v>
      </c>
      <c r="E1712" s="5">
        <f t="shared" si="46"/>
        <v>13775</v>
      </c>
      <c r="F1712" s="5">
        <v>51525</v>
      </c>
      <c r="K1712" s="24">
        <v>1012</v>
      </c>
      <c r="L1712" s="6">
        <v>947</v>
      </c>
      <c r="M1712" s="270">
        <f t="shared" si="45"/>
        <v>-65</v>
      </c>
      <c r="N1712" s="34"/>
      <c r="O1712" s="277"/>
      <c r="P1712" s="347">
        <v>9500</v>
      </c>
      <c r="Q1712" s="28">
        <v>0.1208</v>
      </c>
      <c r="U1712" s="29">
        <v>0</v>
      </c>
      <c r="V1712" s="383"/>
      <c r="W1712" s="741">
        <f t="shared" si="48"/>
        <v>1147.6000000000001</v>
      </c>
    </row>
    <row r="1713" spans="1:23" ht="15" customHeight="1">
      <c r="A1713" s="3">
        <v>38267</v>
      </c>
      <c r="B1713" s="4">
        <v>24400</v>
      </c>
      <c r="D1713" s="5">
        <v>13275</v>
      </c>
      <c r="E1713" s="5">
        <f t="shared" si="46"/>
        <v>13775</v>
      </c>
      <c r="F1713" s="5">
        <v>51450</v>
      </c>
      <c r="K1713" s="24">
        <v>1018</v>
      </c>
      <c r="L1713" s="6">
        <v>955.5</v>
      </c>
      <c r="M1713" s="270">
        <f t="shared" si="45"/>
        <v>-62.5</v>
      </c>
      <c r="N1713" s="34"/>
      <c r="O1713" s="277"/>
      <c r="P1713" s="347">
        <v>9500</v>
      </c>
      <c r="Q1713" s="28">
        <v>0.1208</v>
      </c>
      <c r="U1713" s="29">
        <v>0</v>
      </c>
      <c r="V1713" s="383"/>
      <c r="W1713" s="741">
        <f t="shared" si="48"/>
        <v>1147.6000000000001</v>
      </c>
    </row>
    <row r="1714" spans="1:23" ht="15" customHeight="1">
      <c r="A1714" s="3">
        <v>38268</v>
      </c>
      <c r="B1714" s="4">
        <v>24375</v>
      </c>
      <c r="D1714" s="5">
        <v>13275</v>
      </c>
      <c r="E1714" s="5">
        <f t="shared" si="46"/>
        <v>13775</v>
      </c>
      <c r="F1714" s="5">
        <v>51425</v>
      </c>
      <c r="K1714" s="24">
        <v>985</v>
      </c>
      <c r="L1714" s="6">
        <v>955</v>
      </c>
      <c r="M1714" s="270">
        <f t="shared" si="45"/>
        <v>-30</v>
      </c>
      <c r="N1714" s="34"/>
      <c r="O1714" s="277"/>
      <c r="P1714" s="345">
        <v>9650</v>
      </c>
      <c r="Q1714" s="28">
        <v>0.1208</v>
      </c>
      <c r="U1714" s="29">
        <v>0</v>
      </c>
      <c r="V1714" s="383"/>
      <c r="W1714" s="741">
        <f t="shared" si="48"/>
        <v>1165.72</v>
      </c>
    </row>
    <row r="1715" spans="1:23" ht="15" customHeight="1">
      <c r="A1715" s="3">
        <v>38271</v>
      </c>
      <c r="B1715" s="4">
        <v>24375</v>
      </c>
      <c r="D1715" s="5">
        <v>13275</v>
      </c>
      <c r="E1715" s="5">
        <f t="shared" si="46"/>
        <v>13750</v>
      </c>
      <c r="F1715" s="5">
        <v>51400</v>
      </c>
      <c r="K1715" s="24">
        <v>1015</v>
      </c>
      <c r="L1715" s="6">
        <v>969</v>
      </c>
      <c r="M1715" s="270">
        <f t="shared" si="45"/>
        <v>-46</v>
      </c>
      <c r="N1715" s="34"/>
      <c r="O1715" s="277"/>
      <c r="P1715" s="345">
        <v>9700</v>
      </c>
      <c r="Q1715" s="28">
        <v>0.1208</v>
      </c>
      <c r="U1715" s="29">
        <v>0</v>
      </c>
      <c r="V1715" s="383"/>
      <c r="W1715" s="741">
        <f t="shared" si="48"/>
        <v>1171.76</v>
      </c>
    </row>
    <row r="1716" spans="1:23" ht="15" customHeight="1">
      <c r="A1716" s="3">
        <v>38272</v>
      </c>
      <c r="B1716" s="4">
        <v>27375</v>
      </c>
      <c r="D1716" s="5">
        <v>13100</v>
      </c>
      <c r="E1716" s="5">
        <f t="shared" si="46"/>
        <v>10750</v>
      </c>
      <c r="F1716" s="5">
        <v>51225</v>
      </c>
      <c r="K1716" s="24">
        <v>1000</v>
      </c>
      <c r="L1716" s="6">
        <v>960</v>
      </c>
      <c r="M1716" s="270">
        <f t="shared" si="45"/>
        <v>-40</v>
      </c>
      <c r="N1716" s="34"/>
      <c r="O1716" s="277"/>
      <c r="P1716" s="345">
        <v>9700</v>
      </c>
      <c r="Q1716" s="28">
        <v>0.1208</v>
      </c>
      <c r="U1716" s="29">
        <v>0</v>
      </c>
      <c r="V1716" s="383"/>
      <c r="W1716" s="741">
        <f t="shared" si="48"/>
        <v>1171.76</v>
      </c>
    </row>
    <row r="1717" spans="1:23" ht="15" customHeight="1">
      <c r="A1717" s="3">
        <v>38273</v>
      </c>
      <c r="B1717" s="4">
        <v>24175</v>
      </c>
      <c r="D1717" s="5">
        <v>13050</v>
      </c>
      <c r="E1717" s="5">
        <f t="shared" si="46"/>
        <v>13750</v>
      </c>
      <c r="F1717" s="5">
        <v>50975</v>
      </c>
      <c r="K1717" s="24">
        <v>969.5</v>
      </c>
      <c r="L1717" s="6">
        <v>922</v>
      </c>
      <c r="M1717" s="270">
        <f t="shared" si="45"/>
        <v>-47.5</v>
      </c>
      <c r="N1717" s="34"/>
      <c r="O1717" s="277"/>
      <c r="P1717" s="345">
        <v>9700</v>
      </c>
      <c r="Q1717" s="28">
        <v>0.1208</v>
      </c>
      <c r="U1717" s="29">
        <v>0</v>
      </c>
      <c r="V1717" s="383"/>
      <c r="W1717" s="741">
        <f t="shared" si="48"/>
        <v>1171.76</v>
      </c>
    </row>
    <row r="1718" spans="1:23" ht="15" customHeight="1">
      <c r="A1718" s="3">
        <v>38274</v>
      </c>
      <c r="B1718" s="4">
        <v>24175</v>
      </c>
      <c r="D1718" s="5">
        <v>13025</v>
      </c>
      <c r="E1718" s="5">
        <f t="shared" si="46"/>
        <v>13750</v>
      </c>
      <c r="F1718" s="5">
        <v>50950</v>
      </c>
      <c r="K1718" s="24">
        <v>873</v>
      </c>
      <c r="L1718" s="6">
        <v>835</v>
      </c>
      <c r="M1718" s="270">
        <f t="shared" si="45"/>
        <v>-38</v>
      </c>
      <c r="N1718" s="34"/>
      <c r="O1718" s="277"/>
      <c r="P1718" s="345">
        <v>9650</v>
      </c>
      <c r="Q1718" s="28">
        <v>0.1208</v>
      </c>
      <c r="U1718" s="29">
        <v>0</v>
      </c>
      <c r="V1718" s="383"/>
      <c r="W1718" s="741">
        <f t="shared" si="48"/>
        <v>1165.72</v>
      </c>
    </row>
    <row r="1719" spans="1:23" ht="15" customHeight="1">
      <c r="A1719" s="3">
        <v>38275</v>
      </c>
      <c r="B1719" s="4">
        <v>24175</v>
      </c>
      <c r="D1719" s="5">
        <v>12850</v>
      </c>
      <c r="E1719" s="5">
        <f t="shared" si="46"/>
        <v>13675</v>
      </c>
      <c r="F1719" s="5">
        <v>50700</v>
      </c>
      <c r="K1719" s="24">
        <v>910</v>
      </c>
      <c r="L1719" s="6">
        <v>856</v>
      </c>
      <c r="M1719" s="270">
        <f t="shared" ref="M1719:M1782" si="49">L1719-K1719</f>
        <v>-54</v>
      </c>
      <c r="N1719" s="34"/>
      <c r="O1719" s="277"/>
      <c r="P1719" s="345">
        <v>9650</v>
      </c>
      <c r="Q1719" s="28">
        <v>0.1208</v>
      </c>
      <c r="U1719" s="29">
        <v>0</v>
      </c>
      <c r="V1719" s="383"/>
      <c r="W1719" s="741">
        <f t="shared" si="48"/>
        <v>1165.72</v>
      </c>
    </row>
    <row r="1720" spans="1:23" ht="15" customHeight="1">
      <c r="A1720" s="3">
        <v>38278</v>
      </c>
      <c r="B1720" s="4">
        <v>24150</v>
      </c>
      <c r="D1720" s="5">
        <v>12725</v>
      </c>
      <c r="E1720" s="5">
        <f t="shared" si="46"/>
        <v>13625</v>
      </c>
      <c r="F1720" s="5">
        <v>50500</v>
      </c>
      <c r="K1720" s="24">
        <v>919</v>
      </c>
      <c r="L1720" s="6">
        <v>866</v>
      </c>
      <c r="M1720" s="270">
        <f t="shared" si="49"/>
        <v>-53</v>
      </c>
      <c r="N1720" s="34"/>
      <c r="O1720" s="277"/>
      <c r="P1720" s="345">
        <v>9650</v>
      </c>
      <c r="Q1720" s="28">
        <v>0.1208</v>
      </c>
      <c r="U1720" s="29">
        <v>0</v>
      </c>
      <c r="V1720" s="383"/>
      <c r="W1720" s="741">
        <f t="shared" si="48"/>
        <v>1165.72</v>
      </c>
    </row>
    <row r="1721" spans="1:23" ht="15" customHeight="1">
      <c r="A1721" s="3">
        <v>38279</v>
      </c>
      <c r="B1721" s="4">
        <v>24125</v>
      </c>
      <c r="D1721" s="5">
        <v>12950</v>
      </c>
      <c r="E1721" s="5">
        <f t="shared" si="46"/>
        <v>13625</v>
      </c>
      <c r="F1721" s="5">
        <v>50700</v>
      </c>
      <c r="K1721" s="24">
        <v>881</v>
      </c>
      <c r="L1721" s="6">
        <v>845</v>
      </c>
      <c r="M1721" s="270">
        <f t="shared" si="49"/>
        <v>-36</v>
      </c>
      <c r="N1721" s="34"/>
      <c r="O1721" s="277"/>
      <c r="P1721" s="345">
        <v>9650</v>
      </c>
      <c r="Q1721" s="28">
        <v>0.1208</v>
      </c>
      <c r="U1721" s="29">
        <v>0</v>
      </c>
      <c r="V1721" s="383"/>
      <c r="W1721" s="741">
        <f t="shared" si="48"/>
        <v>1165.72</v>
      </c>
    </row>
    <row r="1722" spans="1:23" ht="15" customHeight="1">
      <c r="A1722" s="3">
        <v>38280</v>
      </c>
      <c r="B1722" s="4">
        <v>24125</v>
      </c>
      <c r="D1722" s="5">
        <v>12850</v>
      </c>
      <c r="E1722" s="5">
        <f t="shared" si="46"/>
        <v>13500</v>
      </c>
      <c r="F1722" s="5">
        <v>50475</v>
      </c>
      <c r="K1722" s="24">
        <v>879.5</v>
      </c>
      <c r="L1722" s="6">
        <v>846</v>
      </c>
      <c r="M1722" s="270">
        <f t="shared" si="49"/>
        <v>-33.5</v>
      </c>
      <c r="N1722" s="34"/>
      <c r="O1722" s="277"/>
      <c r="P1722" s="345">
        <v>9600</v>
      </c>
      <c r="Q1722" s="28">
        <v>0.1208</v>
      </c>
      <c r="U1722" s="29">
        <v>0</v>
      </c>
      <c r="V1722" s="383"/>
      <c r="W1722" s="741">
        <f t="shared" si="48"/>
        <v>1159.68</v>
      </c>
    </row>
    <row r="1723" spans="1:23" ht="15" customHeight="1">
      <c r="A1723" s="3">
        <v>38281</v>
      </c>
      <c r="B1723" s="4">
        <v>24125</v>
      </c>
      <c r="D1723" s="5">
        <v>12700</v>
      </c>
      <c r="E1723" s="5">
        <f t="shared" si="46"/>
        <v>13375</v>
      </c>
      <c r="F1723" s="5">
        <v>50200</v>
      </c>
      <c r="K1723" s="24">
        <v>881</v>
      </c>
      <c r="L1723" s="6">
        <v>858.5</v>
      </c>
      <c r="M1723" s="270">
        <f t="shared" si="49"/>
        <v>-22.5</v>
      </c>
      <c r="N1723" s="34"/>
      <c r="O1723" s="277"/>
      <c r="P1723" s="345">
        <v>9600</v>
      </c>
      <c r="Q1723" s="28">
        <v>0.1208</v>
      </c>
      <c r="U1723" s="29">
        <v>0</v>
      </c>
      <c r="V1723" s="383"/>
      <c r="W1723" s="741">
        <f t="shared" si="48"/>
        <v>1159.68</v>
      </c>
    </row>
    <row r="1724" spans="1:23" ht="15" customHeight="1">
      <c r="A1724" s="3">
        <v>38282</v>
      </c>
      <c r="B1724" s="4">
        <v>24100</v>
      </c>
      <c r="D1724" s="5">
        <v>12625</v>
      </c>
      <c r="E1724" s="5">
        <f t="shared" si="46"/>
        <v>12925</v>
      </c>
      <c r="F1724" s="5">
        <v>49650</v>
      </c>
      <c r="K1724" s="24">
        <v>885</v>
      </c>
      <c r="L1724" s="6">
        <v>859</v>
      </c>
      <c r="M1724" s="270">
        <f t="shared" si="49"/>
        <v>-26</v>
      </c>
      <c r="N1724" s="34"/>
      <c r="O1724" s="277"/>
      <c r="P1724" s="345">
        <v>9575</v>
      </c>
      <c r="Q1724" s="28">
        <v>0.1208</v>
      </c>
      <c r="U1724" s="29">
        <v>0</v>
      </c>
      <c r="V1724" s="383"/>
      <c r="W1724" s="741">
        <f t="shared" si="48"/>
        <v>1156.6600000000001</v>
      </c>
    </row>
    <row r="1725" spans="1:23" ht="15" customHeight="1">
      <c r="A1725" s="3">
        <v>38285</v>
      </c>
      <c r="B1725" s="4">
        <v>24050</v>
      </c>
      <c r="D1725" s="5">
        <v>12600</v>
      </c>
      <c r="E1725" s="5">
        <f t="shared" ref="E1725:E1788" si="50">F1725-(B1725+D1725)</f>
        <v>12825</v>
      </c>
      <c r="F1725" s="5">
        <v>49475</v>
      </c>
      <c r="K1725" s="24">
        <v>887</v>
      </c>
      <c r="L1725" s="6">
        <v>861</v>
      </c>
      <c r="M1725" s="270">
        <f t="shared" si="49"/>
        <v>-26</v>
      </c>
      <c r="N1725" s="34"/>
      <c r="O1725" s="277"/>
      <c r="P1725" s="345">
        <v>9575</v>
      </c>
      <c r="Q1725" s="28">
        <v>0.1208</v>
      </c>
      <c r="U1725" s="29">
        <v>0</v>
      </c>
      <c r="V1725" s="383"/>
      <c r="W1725" s="741">
        <f t="shared" si="48"/>
        <v>1156.6600000000001</v>
      </c>
    </row>
    <row r="1726" spans="1:23" ht="15" customHeight="1">
      <c r="A1726" s="3">
        <v>38286</v>
      </c>
      <c r="B1726" s="4">
        <v>23800</v>
      </c>
      <c r="D1726" s="5">
        <v>12500</v>
      </c>
      <c r="E1726" s="5">
        <f t="shared" si="50"/>
        <v>12750</v>
      </c>
      <c r="F1726" s="5">
        <v>49050</v>
      </c>
      <c r="K1726" s="24">
        <v>880</v>
      </c>
      <c r="L1726" s="6">
        <v>850.5</v>
      </c>
      <c r="M1726" s="270">
        <f t="shared" si="49"/>
        <v>-29.5</v>
      </c>
      <c r="N1726" s="34"/>
      <c r="O1726" s="277"/>
      <c r="P1726" s="345">
        <v>9575</v>
      </c>
      <c r="Q1726" s="28">
        <v>0.1208</v>
      </c>
      <c r="U1726" s="29">
        <v>0</v>
      </c>
      <c r="V1726" s="383"/>
      <c r="W1726" s="741">
        <f t="shared" si="48"/>
        <v>1156.6600000000001</v>
      </c>
    </row>
    <row r="1727" spans="1:23" ht="15" customHeight="1">
      <c r="A1727" s="3">
        <v>38287</v>
      </c>
      <c r="B1727" s="4">
        <v>24625</v>
      </c>
      <c r="D1727" s="5">
        <v>12475</v>
      </c>
      <c r="E1727" s="5">
        <f t="shared" si="50"/>
        <v>12625</v>
      </c>
      <c r="F1727" s="5">
        <v>49725</v>
      </c>
      <c r="K1727" s="24">
        <v>891</v>
      </c>
      <c r="L1727" s="6">
        <v>864</v>
      </c>
      <c r="M1727" s="270">
        <f t="shared" si="49"/>
        <v>-27</v>
      </c>
      <c r="N1727" s="34"/>
      <c r="O1727" s="277"/>
      <c r="P1727" s="345">
        <v>9575</v>
      </c>
      <c r="Q1727" s="28">
        <v>0.1208</v>
      </c>
      <c r="U1727" s="29">
        <v>0</v>
      </c>
      <c r="V1727" s="383"/>
      <c r="W1727" s="741">
        <f t="shared" si="48"/>
        <v>1156.6600000000001</v>
      </c>
    </row>
    <row r="1728" spans="1:23" ht="15" customHeight="1">
      <c r="A1728" s="3">
        <v>38288</v>
      </c>
      <c r="B1728" s="4">
        <v>24625</v>
      </c>
      <c r="D1728" s="5">
        <v>12450</v>
      </c>
      <c r="E1728" s="5">
        <f t="shared" si="50"/>
        <v>12625</v>
      </c>
      <c r="F1728" s="5">
        <v>49700</v>
      </c>
      <c r="K1728" s="24">
        <v>875.5</v>
      </c>
      <c r="L1728" s="6">
        <v>851</v>
      </c>
      <c r="M1728" s="270">
        <f t="shared" si="49"/>
        <v>-24.5</v>
      </c>
      <c r="N1728" s="34"/>
      <c r="O1728" s="277"/>
      <c r="P1728" s="345">
        <v>9575</v>
      </c>
      <c r="Q1728" s="28">
        <v>0.1208</v>
      </c>
      <c r="U1728" s="29">
        <v>0</v>
      </c>
      <c r="V1728" s="383"/>
      <c r="W1728" s="741">
        <f t="shared" si="48"/>
        <v>1156.6600000000001</v>
      </c>
    </row>
    <row r="1729" spans="1:24" ht="15" customHeight="1" thickBot="1">
      <c r="A1729" s="12">
        <v>38289</v>
      </c>
      <c r="B1729" s="13">
        <v>24525</v>
      </c>
      <c r="C1729" s="13"/>
      <c r="D1729" s="14">
        <v>12450</v>
      </c>
      <c r="E1729" s="14">
        <f t="shared" si="50"/>
        <v>12625</v>
      </c>
      <c r="F1729" s="14">
        <v>49600</v>
      </c>
      <c r="G1729" s="14"/>
      <c r="H1729" s="14"/>
      <c r="I1729" s="14"/>
      <c r="J1729" s="264"/>
      <c r="K1729" s="25">
        <v>898.5</v>
      </c>
      <c r="L1729" s="15">
        <v>870.5</v>
      </c>
      <c r="M1729" s="271">
        <f t="shared" si="49"/>
        <v>-28</v>
      </c>
      <c r="N1729" s="20">
        <f>AVERAGE(K1709:K1729)</f>
        <v>932.76190476190482</v>
      </c>
      <c r="O1729" s="279"/>
      <c r="P1729" s="346">
        <v>9575</v>
      </c>
      <c r="Q1729" s="30">
        <v>0.1208</v>
      </c>
      <c r="R1729" s="30"/>
      <c r="S1729" s="30"/>
      <c r="T1729" s="30"/>
      <c r="U1729" s="31">
        <v>0</v>
      </c>
      <c r="V1729" s="740">
        <f>AVERAGE(P1711,P1714:P1729)</f>
        <v>9617.6470588235297</v>
      </c>
      <c r="W1729" s="741">
        <f t="shared" si="48"/>
        <v>1156.6600000000001</v>
      </c>
      <c r="X1729" s="33"/>
    </row>
    <row r="1730" spans="1:24" ht="15" customHeight="1">
      <c r="A1730" s="3">
        <v>38292</v>
      </c>
      <c r="B1730" s="4">
        <v>24150</v>
      </c>
      <c r="D1730" s="5">
        <v>12425</v>
      </c>
      <c r="E1730" s="5">
        <f t="shared" si="50"/>
        <v>12625</v>
      </c>
      <c r="F1730" s="5">
        <v>49200</v>
      </c>
      <c r="K1730" s="24">
        <v>896</v>
      </c>
      <c r="L1730" s="6">
        <v>874</v>
      </c>
      <c r="M1730" s="270">
        <f t="shared" si="49"/>
        <v>-22</v>
      </c>
      <c r="N1730" s="7"/>
      <c r="O1730" s="277"/>
      <c r="P1730" s="345">
        <v>9575</v>
      </c>
      <c r="Q1730" s="28">
        <v>0.1208</v>
      </c>
      <c r="U1730" s="29">
        <v>0</v>
      </c>
      <c r="V1730" s="383"/>
      <c r="W1730" s="741">
        <f t="shared" si="48"/>
        <v>1156.6600000000001</v>
      </c>
    </row>
    <row r="1731" spans="1:24" ht="15" customHeight="1">
      <c r="A1731" s="3">
        <v>38293</v>
      </c>
      <c r="B1731" s="4">
        <v>23875</v>
      </c>
      <c r="D1731" s="5">
        <v>12350</v>
      </c>
      <c r="E1731" s="5">
        <f t="shared" si="50"/>
        <v>12625</v>
      </c>
      <c r="F1731" s="5">
        <v>48850</v>
      </c>
      <c r="K1731" s="24">
        <v>902</v>
      </c>
      <c r="L1731" s="6">
        <v>880</v>
      </c>
      <c r="M1731" s="270">
        <f t="shared" si="49"/>
        <v>-22</v>
      </c>
      <c r="N1731" s="7"/>
      <c r="O1731" s="277"/>
      <c r="P1731" s="345">
        <v>9550</v>
      </c>
      <c r="Q1731" s="28">
        <v>0.1208</v>
      </c>
      <c r="U1731" s="29">
        <v>0</v>
      </c>
      <c r="V1731" s="383"/>
      <c r="W1731" s="741">
        <f t="shared" si="48"/>
        <v>1153.6400000000001</v>
      </c>
    </row>
    <row r="1732" spans="1:24" ht="15" customHeight="1">
      <c r="A1732" s="3">
        <v>38294</v>
      </c>
      <c r="B1732" s="4">
        <v>23675</v>
      </c>
      <c r="D1732" s="5">
        <v>12350</v>
      </c>
      <c r="E1732" s="5">
        <f t="shared" si="50"/>
        <v>12625</v>
      </c>
      <c r="F1732" s="5">
        <v>48650</v>
      </c>
      <c r="K1732" s="24">
        <v>900</v>
      </c>
      <c r="L1732" s="6">
        <v>878</v>
      </c>
      <c r="M1732" s="270">
        <f t="shared" si="49"/>
        <v>-22</v>
      </c>
      <c r="N1732" s="7"/>
      <c r="O1732" s="277"/>
      <c r="P1732" s="345">
        <v>9550</v>
      </c>
      <c r="Q1732" s="28">
        <v>0.1208</v>
      </c>
      <c r="U1732" s="29">
        <v>0</v>
      </c>
      <c r="V1732" s="383"/>
      <c r="W1732" s="741">
        <f t="shared" si="48"/>
        <v>1153.6400000000001</v>
      </c>
    </row>
    <row r="1733" spans="1:24" ht="15" customHeight="1">
      <c r="A1733" s="3">
        <v>38295</v>
      </c>
      <c r="B1733" s="4">
        <v>23575</v>
      </c>
      <c r="D1733" s="5">
        <v>12275</v>
      </c>
      <c r="E1733" s="5">
        <f t="shared" si="50"/>
        <v>12625</v>
      </c>
      <c r="F1733" s="5">
        <v>48475</v>
      </c>
      <c r="K1733" s="24">
        <v>942.5</v>
      </c>
      <c r="L1733" s="6">
        <v>919</v>
      </c>
      <c r="M1733" s="270">
        <f t="shared" si="49"/>
        <v>-23.5</v>
      </c>
      <c r="N1733" s="7"/>
      <c r="O1733" s="277"/>
      <c r="P1733" s="345">
        <v>9525</v>
      </c>
      <c r="Q1733" s="28">
        <v>0.1208</v>
      </c>
      <c r="U1733" s="29">
        <v>0</v>
      </c>
      <c r="V1733" s="383"/>
      <c r="W1733" s="741">
        <f t="shared" si="48"/>
        <v>1150.6200000000001</v>
      </c>
    </row>
    <row r="1734" spans="1:24" ht="15" customHeight="1">
      <c r="A1734" s="3">
        <v>38296</v>
      </c>
      <c r="B1734" s="4">
        <v>23475</v>
      </c>
      <c r="D1734" s="5">
        <v>12225</v>
      </c>
      <c r="E1734" s="5">
        <f t="shared" si="50"/>
        <v>12625</v>
      </c>
      <c r="F1734" s="5">
        <v>48325</v>
      </c>
      <c r="K1734" s="24">
        <v>933</v>
      </c>
      <c r="L1734" s="6">
        <v>909.5</v>
      </c>
      <c r="M1734" s="270">
        <f t="shared" si="49"/>
        <v>-23.5</v>
      </c>
      <c r="N1734" s="7"/>
      <c r="O1734" s="277"/>
      <c r="P1734" s="345">
        <v>9525</v>
      </c>
      <c r="Q1734" s="28">
        <v>0.1208</v>
      </c>
      <c r="U1734" s="29">
        <v>0</v>
      </c>
      <c r="V1734" s="383"/>
      <c r="W1734" s="741">
        <f t="shared" si="48"/>
        <v>1150.6200000000001</v>
      </c>
    </row>
    <row r="1735" spans="1:24" ht="15" customHeight="1">
      <c r="A1735" s="3">
        <v>38299</v>
      </c>
      <c r="B1735" s="4">
        <v>23325</v>
      </c>
      <c r="D1735" s="5">
        <v>12100</v>
      </c>
      <c r="E1735" s="5">
        <f t="shared" si="50"/>
        <v>12625</v>
      </c>
      <c r="F1735" s="5">
        <v>48050</v>
      </c>
      <c r="K1735" s="24">
        <v>976</v>
      </c>
      <c r="L1735" s="6">
        <v>949</v>
      </c>
      <c r="M1735" s="270">
        <f t="shared" si="49"/>
        <v>-27</v>
      </c>
      <c r="N1735" s="7"/>
      <c r="O1735" s="277"/>
      <c r="P1735" s="345">
        <v>9525</v>
      </c>
      <c r="Q1735" s="28">
        <v>0.1208</v>
      </c>
      <c r="U1735" s="29">
        <v>0</v>
      </c>
      <c r="V1735" s="383"/>
      <c r="W1735" s="741">
        <f t="shared" si="48"/>
        <v>1150.6200000000001</v>
      </c>
    </row>
    <row r="1736" spans="1:24" ht="15" customHeight="1">
      <c r="A1736" s="3">
        <v>38300</v>
      </c>
      <c r="B1736" s="4">
        <v>23025</v>
      </c>
      <c r="D1736" s="5">
        <v>11775</v>
      </c>
      <c r="E1736" s="5">
        <f t="shared" si="50"/>
        <v>12600</v>
      </c>
      <c r="F1736" s="5">
        <v>47400</v>
      </c>
      <c r="K1736" s="24">
        <v>965</v>
      </c>
      <c r="L1736" s="6">
        <v>940</v>
      </c>
      <c r="M1736" s="270">
        <f t="shared" si="49"/>
        <v>-25</v>
      </c>
      <c r="N1736" s="7"/>
      <c r="O1736" s="277"/>
      <c r="P1736" s="345">
        <v>9525</v>
      </c>
      <c r="Q1736" s="28">
        <v>0.1208</v>
      </c>
      <c r="U1736" s="29">
        <v>0</v>
      </c>
      <c r="V1736" s="383"/>
      <c r="W1736" s="741">
        <f t="shared" si="48"/>
        <v>1150.6200000000001</v>
      </c>
    </row>
    <row r="1737" spans="1:24" ht="15" customHeight="1">
      <c r="A1737" s="3">
        <v>38301</v>
      </c>
      <c r="B1737" s="4">
        <v>23025</v>
      </c>
      <c r="D1737" s="5">
        <v>11350</v>
      </c>
      <c r="E1737" s="5">
        <f t="shared" si="50"/>
        <v>12600</v>
      </c>
      <c r="F1737" s="5">
        <v>46975</v>
      </c>
      <c r="K1737" s="24">
        <v>961</v>
      </c>
      <c r="L1737" s="6">
        <v>938</v>
      </c>
      <c r="M1737" s="270">
        <f t="shared" si="49"/>
        <v>-23</v>
      </c>
      <c r="N1737" s="7"/>
      <c r="O1737" s="277"/>
      <c r="P1737" s="345">
        <v>9500</v>
      </c>
      <c r="Q1737" s="28">
        <v>0.1208</v>
      </c>
      <c r="U1737" s="29">
        <v>0</v>
      </c>
      <c r="V1737" s="383"/>
      <c r="W1737" s="741">
        <f t="shared" si="48"/>
        <v>1147.6000000000001</v>
      </c>
    </row>
    <row r="1738" spans="1:24" ht="15" customHeight="1">
      <c r="A1738" s="3">
        <v>38302</v>
      </c>
      <c r="B1738" s="4">
        <v>23875</v>
      </c>
      <c r="D1738" s="5">
        <v>11175</v>
      </c>
      <c r="E1738" s="5">
        <f t="shared" si="50"/>
        <v>12500</v>
      </c>
      <c r="F1738" s="5">
        <v>47550</v>
      </c>
      <c r="K1738" s="24">
        <v>956</v>
      </c>
      <c r="L1738" s="6">
        <v>934</v>
      </c>
      <c r="M1738" s="270">
        <f t="shared" si="49"/>
        <v>-22</v>
      </c>
      <c r="N1738" s="7"/>
      <c r="O1738" s="277"/>
      <c r="P1738" s="345">
        <v>9475</v>
      </c>
      <c r="Q1738" s="28">
        <v>0.1208</v>
      </c>
      <c r="U1738" s="29">
        <v>0</v>
      </c>
      <c r="V1738" s="383"/>
      <c r="W1738" s="741">
        <f t="shared" si="48"/>
        <v>1144.5800000000002</v>
      </c>
    </row>
    <row r="1739" spans="1:24" ht="15" customHeight="1">
      <c r="A1739" s="3">
        <v>38303</v>
      </c>
      <c r="B1739" s="4">
        <v>23875</v>
      </c>
      <c r="D1739" s="5">
        <v>10775</v>
      </c>
      <c r="E1739" s="5">
        <f t="shared" si="50"/>
        <v>12400</v>
      </c>
      <c r="F1739" s="5">
        <v>47050</v>
      </c>
      <c r="K1739" s="24">
        <v>971.5</v>
      </c>
      <c r="L1739" s="6">
        <v>948</v>
      </c>
      <c r="M1739" s="270">
        <f t="shared" si="49"/>
        <v>-23.5</v>
      </c>
      <c r="N1739" s="7"/>
      <c r="O1739" s="277"/>
      <c r="P1739" s="345">
        <v>9500</v>
      </c>
      <c r="Q1739" s="28">
        <v>0.1208</v>
      </c>
      <c r="U1739" s="29">
        <v>0</v>
      </c>
      <c r="V1739" s="383"/>
      <c r="W1739" s="741">
        <f t="shared" si="48"/>
        <v>1147.6000000000001</v>
      </c>
    </row>
    <row r="1740" spans="1:24" ht="15" customHeight="1">
      <c r="A1740" s="3">
        <v>38306</v>
      </c>
      <c r="B1740" s="4">
        <v>23875</v>
      </c>
      <c r="D1740" s="5">
        <v>10750</v>
      </c>
      <c r="E1740" s="5">
        <f t="shared" si="50"/>
        <v>12250</v>
      </c>
      <c r="F1740" s="5">
        <v>46875</v>
      </c>
      <c r="K1740" s="24">
        <v>987</v>
      </c>
      <c r="L1740" s="6">
        <v>961</v>
      </c>
      <c r="M1740" s="270">
        <f t="shared" si="49"/>
        <v>-26</v>
      </c>
      <c r="N1740" s="7"/>
      <c r="O1740" s="277"/>
      <c r="P1740" s="345">
        <v>9575</v>
      </c>
      <c r="Q1740" s="28">
        <v>0.1208</v>
      </c>
      <c r="U1740" s="29">
        <v>0</v>
      </c>
      <c r="V1740" s="383"/>
      <c r="W1740" s="741">
        <f t="shared" si="48"/>
        <v>1156.6600000000001</v>
      </c>
    </row>
    <row r="1741" spans="1:24" ht="15" customHeight="1">
      <c r="A1741" s="3">
        <v>38307</v>
      </c>
      <c r="B1741" s="4">
        <v>23875</v>
      </c>
      <c r="D1741" s="5">
        <v>10500</v>
      </c>
      <c r="E1741" s="5">
        <f t="shared" si="50"/>
        <v>12200</v>
      </c>
      <c r="F1741" s="5">
        <v>46575</v>
      </c>
      <c r="K1741" s="24">
        <v>980</v>
      </c>
      <c r="L1741" s="6">
        <v>957.5</v>
      </c>
      <c r="M1741" s="270">
        <f t="shared" si="49"/>
        <v>-22.5</v>
      </c>
      <c r="N1741" s="7"/>
      <c r="O1741" s="277"/>
      <c r="P1741" s="345">
        <v>9525</v>
      </c>
      <c r="Q1741" s="28">
        <v>0.1208</v>
      </c>
      <c r="U1741" s="29">
        <v>0</v>
      </c>
      <c r="V1741" s="383"/>
      <c r="W1741" s="741">
        <f t="shared" si="48"/>
        <v>1150.6200000000001</v>
      </c>
    </row>
    <row r="1742" spans="1:24" ht="15" customHeight="1">
      <c r="A1742" s="3">
        <v>38308</v>
      </c>
      <c r="B1742" s="4">
        <v>23875</v>
      </c>
      <c r="D1742" s="5">
        <v>10200</v>
      </c>
      <c r="E1742" s="5">
        <f t="shared" si="50"/>
        <v>12125</v>
      </c>
      <c r="F1742" s="5">
        <v>46200</v>
      </c>
      <c r="K1742" s="24">
        <v>984</v>
      </c>
      <c r="L1742" s="6">
        <v>954</v>
      </c>
      <c r="M1742" s="270">
        <f t="shared" si="49"/>
        <v>-30</v>
      </c>
      <c r="N1742" s="7"/>
      <c r="O1742" s="277"/>
      <c r="P1742" s="345">
        <v>9500</v>
      </c>
      <c r="Q1742" s="28">
        <v>0.1208</v>
      </c>
      <c r="U1742" s="29">
        <v>0</v>
      </c>
      <c r="V1742" s="383"/>
      <c r="W1742" s="741">
        <f t="shared" si="48"/>
        <v>1147.6000000000001</v>
      </c>
    </row>
    <row r="1743" spans="1:24" ht="15" customHeight="1">
      <c r="A1743" s="3">
        <v>38309</v>
      </c>
      <c r="B1743" s="4">
        <v>23875</v>
      </c>
      <c r="D1743" s="5">
        <v>9850</v>
      </c>
      <c r="E1743" s="5">
        <f t="shared" si="50"/>
        <v>12050</v>
      </c>
      <c r="F1743" s="5">
        <v>45775</v>
      </c>
      <c r="K1743" s="24">
        <v>1002</v>
      </c>
      <c r="L1743" s="6">
        <v>978</v>
      </c>
      <c r="M1743" s="270">
        <f t="shared" si="49"/>
        <v>-24</v>
      </c>
      <c r="N1743" s="7"/>
      <c r="O1743" s="277"/>
      <c r="P1743" s="345">
        <v>9500</v>
      </c>
      <c r="Q1743" s="28">
        <v>0.1208</v>
      </c>
      <c r="U1743" s="29">
        <v>0</v>
      </c>
      <c r="V1743" s="383"/>
      <c r="W1743" s="741">
        <f t="shared" si="48"/>
        <v>1147.6000000000001</v>
      </c>
    </row>
    <row r="1744" spans="1:24" ht="15" customHeight="1">
      <c r="A1744" s="3">
        <v>38310</v>
      </c>
      <c r="B1744" s="4">
        <v>23675</v>
      </c>
      <c r="D1744" s="5">
        <v>9625</v>
      </c>
      <c r="E1744" s="5">
        <f t="shared" si="50"/>
        <v>11975</v>
      </c>
      <c r="F1744" s="5">
        <v>45275</v>
      </c>
      <c r="K1744" s="24">
        <v>991</v>
      </c>
      <c r="L1744" s="6">
        <v>961</v>
      </c>
      <c r="M1744" s="270">
        <f t="shared" si="49"/>
        <v>-30</v>
      </c>
      <c r="N1744" s="7"/>
      <c r="O1744" s="277"/>
      <c r="P1744" s="345">
        <v>9500</v>
      </c>
      <c r="Q1744" s="28">
        <v>0.1208</v>
      </c>
      <c r="U1744" s="29">
        <v>0</v>
      </c>
      <c r="V1744" s="383"/>
      <c r="W1744" s="741">
        <f t="shared" si="48"/>
        <v>1147.6000000000001</v>
      </c>
    </row>
    <row r="1745" spans="1:24" ht="15" customHeight="1">
      <c r="A1745" s="3">
        <v>38313</v>
      </c>
      <c r="B1745" s="4">
        <v>23425</v>
      </c>
      <c r="D1745" s="5">
        <v>9375</v>
      </c>
      <c r="E1745" s="5">
        <f t="shared" si="50"/>
        <v>11825</v>
      </c>
      <c r="F1745" s="5">
        <v>44625</v>
      </c>
      <c r="K1745" s="24">
        <v>986</v>
      </c>
      <c r="L1745" s="6">
        <v>958</v>
      </c>
      <c r="M1745" s="270">
        <f t="shared" si="49"/>
        <v>-28</v>
      </c>
      <c r="N1745" s="7"/>
      <c r="O1745" s="277"/>
      <c r="P1745" s="345">
        <v>9550</v>
      </c>
      <c r="Q1745" s="28">
        <v>0.1208</v>
      </c>
      <c r="U1745" s="29">
        <v>0</v>
      </c>
      <c r="V1745" s="383"/>
      <c r="W1745" s="741">
        <f t="shared" si="48"/>
        <v>1153.6400000000001</v>
      </c>
    </row>
    <row r="1746" spans="1:24" ht="15" customHeight="1">
      <c r="A1746" s="3">
        <v>38314</v>
      </c>
      <c r="B1746" s="4">
        <v>23325</v>
      </c>
      <c r="D1746" s="5">
        <v>8975</v>
      </c>
      <c r="E1746" s="5">
        <f t="shared" si="50"/>
        <v>11775</v>
      </c>
      <c r="F1746" s="5">
        <v>44075</v>
      </c>
      <c r="K1746" s="24">
        <v>1005</v>
      </c>
      <c r="L1746" s="6">
        <v>966</v>
      </c>
      <c r="M1746" s="270">
        <f t="shared" si="49"/>
        <v>-39</v>
      </c>
      <c r="N1746" s="7"/>
      <c r="O1746" s="277"/>
      <c r="P1746" s="345">
        <v>9550</v>
      </c>
      <c r="Q1746" s="28">
        <v>0.1208</v>
      </c>
      <c r="U1746" s="29">
        <v>0</v>
      </c>
      <c r="V1746" s="383"/>
      <c r="W1746" s="741">
        <f t="shared" si="48"/>
        <v>1153.6400000000001</v>
      </c>
    </row>
    <row r="1747" spans="1:24" ht="15" customHeight="1">
      <c r="A1747" s="3">
        <v>38315</v>
      </c>
      <c r="B1747" s="4">
        <v>23025</v>
      </c>
      <c r="D1747" s="5">
        <v>8725</v>
      </c>
      <c r="E1747" s="5">
        <f t="shared" si="50"/>
        <v>11725</v>
      </c>
      <c r="F1747" s="5">
        <v>43475</v>
      </c>
      <c r="K1747" s="24">
        <v>996</v>
      </c>
      <c r="L1747" s="6">
        <v>975</v>
      </c>
      <c r="M1747" s="270">
        <f t="shared" si="49"/>
        <v>-21</v>
      </c>
      <c r="N1747" s="7"/>
      <c r="O1747" s="277"/>
      <c r="P1747" s="345">
        <v>9550</v>
      </c>
      <c r="Q1747" s="28">
        <v>0.1208</v>
      </c>
      <c r="U1747" s="29">
        <v>0</v>
      </c>
      <c r="V1747" s="383"/>
      <c r="W1747" s="741">
        <f t="shared" si="48"/>
        <v>1153.6400000000001</v>
      </c>
    </row>
    <row r="1748" spans="1:24" ht="15" customHeight="1">
      <c r="A1748" s="3">
        <v>38316</v>
      </c>
      <c r="B1748" s="4">
        <v>22525</v>
      </c>
      <c r="D1748" s="5">
        <v>8550</v>
      </c>
      <c r="E1748" s="5">
        <f t="shared" si="50"/>
        <v>11650</v>
      </c>
      <c r="F1748" s="5">
        <v>42725</v>
      </c>
      <c r="K1748" s="24">
        <v>999.5</v>
      </c>
      <c r="L1748" s="6">
        <v>968.5</v>
      </c>
      <c r="M1748" s="270">
        <f t="shared" si="49"/>
        <v>-31</v>
      </c>
      <c r="N1748" s="7"/>
      <c r="O1748" s="277"/>
      <c r="P1748" s="345">
        <v>9600</v>
      </c>
      <c r="Q1748" s="28">
        <v>0.1208</v>
      </c>
      <c r="U1748" s="29">
        <v>0</v>
      </c>
      <c r="V1748" s="383"/>
      <c r="W1748" s="741">
        <f t="shared" si="48"/>
        <v>1159.68</v>
      </c>
    </row>
    <row r="1749" spans="1:24" ht="15" customHeight="1">
      <c r="A1749" s="3">
        <v>38317</v>
      </c>
      <c r="B1749" s="4">
        <v>22500</v>
      </c>
      <c r="D1749" s="5">
        <v>8375</v>
      </c>
      <c r="E1749" s="5">
        <f t="shared" si="50"/>
        <v>11650</v>
      </c>
      <c r="F1749" s="5">
        <v>42525</v>
      </c>
      <c r="K1749" s="24">
        <v>979</v>
      </c>
      <c r="L1749" s="6">
        <v>951</v>
      </c>
      <c r="M1749" s="270">
        <f t="shared" si="49"/>
        <v>-28</v>
      </c>
      <c r="N1749" s="7"/>
      <c r="O1749" s="277"/>
      <c r="P1749" s="345">
        <v>9560</v>
      </c>
      <c r="Q1749" s="28">
        <v>0.1208</v>
      </c>
      <c r="U1749" s="29">
        <v>0</v>
      </c>
      <c r="V1749" s="383"/>
      <c r="W1749" s="741">
        <f t="shared" si="48"/>
        <v>1154.848</v>
      </c>
    </row>
    <row r="1750" spans="1:24" ht="15" customHeight="1">
      <c r="A1750" s="3">
        <v>38320</v>
      </c>
      <c r="B1750" s="4">
        <v>22175</v>
      </c>
      <c r="D1750" s="5">
        <v>8375</v>
      </c>
      <c r="E1750" s="5">
        <f t="shared" si="50"/>
        <v>11650</v>
      </c>
      <c r="F1750" s="5">
        <v>42200</v>
      </c>
      <c r="K1750" s="24">
        <v>988</v>
      </c>
      <c r="L1750" s="6">
        <v>959</v>
      </c>
      <c r="M1750" s="270">
        <f t="shared" si="49"/>
        <v>-29</v>
      </c>
      <c r="N1750" s="7"/>
      <c r="O1750" s="277"/>
      <c r="P1750" s="345">
        <v>9560</v>
      </c>
      <c r="Q1750" s="28">
        <v>0.1208</v>
      </c>
      <c r="U1750" s="29">
        <v>0</v>
      </c>
      <c r="V1750" s="383"/>
      <c r="W1750" s="741">
        <f t="shared" si="48"/>
        <v>1154.848</v>
      </c>
    </row>
    <row r="1751" spans="1:24" ht="15" customHeight="1" thickBot="1">
      <c r="A1751" s="12">
        <v>38321</v>
      </c>
      <c r="B1751" s="13">
        <v>21300</v>
      </c>
      <c r="C1751" s="13"/>
      <c r="D1751" s="14">
        <v>8375</v>
      </c>
      <c r="E1751" s="14">
        <f t="shared" si="50"/>
        <v>11625</v>
      </c>
      <c r="F1751" s="14">
        <v>41300</v>
      </c>
      <c r="G1751" s="14"/>
      <c r="H1751" s="14"/>
      <c r="I1751" s="14"/>
      <c r="J1751" s="264"/>
      <c r="K1751" s="25">
        <v>991</v>
      </c>
      <c r="L1751" s="15">
        <v>960</v>
      </c>
      <c r="M1751" s="271">
        <f t="shared" si="49"/>
        <v>-31</v>
      </c>
      <c r="N1751" s="20">
        <f>AVERAGE(K1730:K1751)</f>
        <v>967.7954545454545</v>
      </c>
      <c r="O1751" s="278"/>
      <c r="P1751" s="346">
        <v>9570</v>
      </c>
      <c r="Q1751" s="30">
        <v>0.1208</v>
      </c>
      <c r="R1751" s="30"/>
      <c r="S1751" s="30"/>
      <c r="T1751" s="30"/>
      <c r="U1751" s="31">
        <v>0</v>
      </c>
      <c r="V1751" s="740">
        <f>AVERAGE(P1730:P1751)</f>
        <v>9535.9090909090901</v>
      </c>
      <c r="W1751" s="741">
        <f t="shared" si="48"/>
        <v>1156.056</v>
      </c>
      <c r="X1751" s="33"/>
    </row>
    <row r="1752" spans="1:24" ht="15" customHeight="1">
      <c r="A1752" s="3">
        <v>38322</v>
      </c>
      <c r="B1752" s="4">
        <v>23025</v>
      </c>
      <c r="D1752" s="5">
        <v>8275</v>
      </c>
      <c r="E1752" s="5">
        <f t="shared" si="50"/>
        <v>11600</v>
      </c>
      <c r="F1752" s="5">
        <v>42900</v>
      </c>
      <c r="K1752" s="24">
        <v>998</v>
      </c>
      <c r="L1752" s="6">
        <v>996</v>
      </c>
      <c r="M1752" s="270">
        <f t="shared" si="49"/>
        <v>-2</v>
      </c>
      <c r="N1752" s="7"/>
      <c r="O1752" s="277"/>
      <c r="P1752" s="345">
        <v>9550</v>
      </c>
      <c r="Q1752" s="28">
        <v>0.1208</v>
      </c>
      <c r="U1752" s="29">
        <v>0</v>
      </c>
      <c r="V1752" s="383"/>
      <c r="W1752" s="741">
        <f t="shared" si="48"/>
        <v>1153.6400000000001</v>
      </c>
    </row>
    <row r="1753" spans="1:24" ht="15" customHeight="1">
      <c r="A1753" s="3">
        <v>38323</v>
      </c>
      <c r="B1753" s="4">
        <v>22950</v>
      </c>
      <c r="D1753" s="5">
        <v>8175</v>
      </c>
      <c r="E1753" s="5">
        <f t="shared" si="50"/>
        <v>11600</v>
      </c>
      <c r="F1753" s="5">
        <v>42725</v>
      </c>
      <c r="K1753" s="24">
        <v>988</v>
      </c>
      <c r="L1753" s="6">
        <v>958</v>
      </c>
      <c r="M1753" s="270">
        <f t="shared" si="49"/>
        <v>-30</v>
      </c>
      <c r="N1753" s="7"/>
      <c r="O1753" s="277"/>
      <c r="P1753" s="345">
        <v>9500</v>
      </c>
      <c r="Q1753" s="28">
        <v>0.1208</v>
      </c>
      <c r="U1753" s="29">
        <v>0</v>
      </c>
      <c r="V1753" s="383"/>
      <c r="W1753" s="741">
        <f t="shared" si="48"/>
        <v>1147.6000000000001</v>
      </c>
    </row>
    <row r="1754" spans="1:24" ht="15" customHeight="1">
      <c r="A1754" s="3">
        <v>38324</v>
      </c>
      <c r="B1754" s="4">
        <v>22950</v>
      </c>
      <c r="D1754" s="5">
        <v>8000</v>
      </c>
      <c r="E1754" s="5">
        <f t="shared" si="50"/>
        <v>11600</v>
      </c>
      <c r="F1754" s="5">
        <v>42550</v>
      </c>
      <c r="K1754" s="24">
        <v>981</v>
      </c>
      <c r="L1754" s="6">
        <v>951</v>
      </c>
      <c r="M1754" s="270">
        <f t="shared" si="49"/>
        <v>-30</v>
      </c>
      <c r="N1754" s="7"/>
      <c r="O1754" s="277"/>
      <c r="P1754" s="345">
        <v>9500</v>
      </c>
      <c r="Q1754" s="28">
        <v>0.1208</v>
      </c>
      <c r="U1754" s="29">
        <v>0</v>
      </c>
      <c r="V1754" s="383"/>
      <c r="W1754" s="741">
        <f t="shared" si="48"/>
        <v>1147.6000000000001</v>
      </c>
    </row>
    <row r="1755" spans="1:24" ht="15" customHeight="1">
      <c r="A1755" s="3">
        <v>38327</v>
      </c>
      <c r="B1755" s="4">
        <v>22950</v>
      </c>
      <c r="D1755" s="5">
        <v>7925</v>
      </c>
      <c r="E1755" s="5">
        <f t="shared" si="50"/>
        <v>11575</v>
      </c>
      <c r="F1755" s="5">
        <v>42450</v>
      </c>
      <c r="K1755" s="24">
        <v>975</v>
      </c>
      <c r="L1755" s="6">
        <v>947</v>
      </c>
      <c r="M1755" s="270">
        <f t="shared" si="49"/>
        <v>-28</v>
      </c>
      <c r="N1755" s="7"/>
      <c r="O1755" s="277"/>
      <c r="P1755" s="345">
        <v>9500</v>
      </c>
      <c r="Q1755" s="28">
        <v>0.1208</v>
      </c>
      <c r="U1755" s="29">
        <v>0</v>
      </c>
      <c r="V1755" s="383"/>
      <c r="W1755" s="741">
        <f t="shared" si="48"/>
        <v>1147.6000000000001</v>
      </c>
    </row>
    <row r="1756" spans="1:24" ht="15" customHeight="1">
      <c r="A1756" s="3">
        <v>38328</v>
      </c>
      <c r="B1756" s="4">
        <v>22750</v>
      </c>
      <c r="D1756" s="5">
        <v>7775</v>
      </c>
      <c r="E1756" s="5">
        <f t="shared" si="50"/>
        <v>11550</v>
      </c>
      <c r="F1756" s="5">
        <v>42075</v>
      </c>
      <c r="K1756" s="24">
        <v>986.5</v>
      </c>
      <c r="L1756" s="6">
        <v>959</v>
      </c>
      <c r="M1756" s="270">
        <f t="shared" si="49"/>
        <v>-27.5</v>
      </c>
      <c r="N1756" s="7"/>
      <c r="O1756" s="277"/>
      <c r="P1756" s="345">
        <v>9500</v>
      </c>
      <c r="Q1756" s="28">
        <v>0.1208</v>
      </c>
      <c r="U1756" s="29">
        <v>0</v>
      </c>
      <c r="V1756" s="383"/>
      <c r="W1756" s="741">
        <f t="shared" si="48"/>
        <v>1147.6000000000001</v>
      </c>
    </row>
    <row r="1757" spans="1:24" ht="15" customHeight="1">
      <c r="A1757" s="3">
        <v>38329</v>
      </c>
      <c r="B1757" s="4">
        <v>22750</v>
      </c>
      <c r="D1757" s="5">
        <v>7775</v>
      </c>
      <c r="E1757" s="5">
        <f t="shared" si="50"/>
        <v>11525</v>
      </c>
      <c r="F1757" s="5">
        <v>42050</v>
      </c>
      <c r="K1757" s="24">
        <v>966.5</v>
      </c>
      <c r="L1757" s="6">
        <v>937.5</v>
      </c>
      <c r="M1757" s="270">
        <f t="shared" si="49"/>
        <v>-29</v>
      </c>
      <c r="N1757" s="7"/>
      <c r="O1757" s="277"/>
      <c r="P1757" s="345">
        <v>9500</v>
      </c>
      <c r="Q1757" s="28">
        <v>0.1208</v>
      </c>
      <c r="U1757" s="29">
        <v>0</v>
      </c>
      <c r="V1757" s="383"/>
      <c r="W1757" s="741">
        <f t="shared" si="48"/>
        <v>1147.6000000000001</v>
      </c>
    </row>
    <row r="1758" spans="1:24" ht="15" customHeight="1">
      <c r="A1758" s="3">
        <v>38330</v>
      </c>
      <c r="B1758" s="4">
        <v>22750</v>
      </c>
      <c r="D1758" s="5">
        <v>7750</v>
      </c>
      <c r="E1758" s="5">
        <f t="shared" si="50"/>
        <v>11525</v>
      </c>
      <c r="F1758" s="5">
        <v>42025</v>
      </c>
      <c r="K1758" s="24">
        <v>943</v>
      </c>
      <c r="L1758" s="6">
        <v>915</v>
      </c>
      <c r="M1758" s="270">
        <f t="shared" si="49"/>
        <v>-28</v>
      </c>
      <c r="N1758" s="7"/>
      <c r="O1758" s="277"/>
      <c r="P1758" s="345">
        <v>9400</v>
      </c>
      <c r="Q1758" s="28">
        <v>0.1208</v>
      </c>
      <c r="U1758" s="29">
        <v>0</v>
      </c>
      <c r="V1758" s="383"/>
      <c r="W1758" s="741">
        <f t="shared" si="48"/>
        <v>1135.52</v>
      </c>
      <c r="X1758" s="35"/>
    </row>
    <row r="1759" spans="1:24" ht="15" customHeight="1">
      <c r="A1759" s="3">
        <v>38331</v>
      </c>
      <c r="B1759" s="4">
        <v>22700</v>
      </c>
      <c r="D1759" s="5">
        <v>7750</v>
      </c>
      <c r="E1759" s="5">
        <f t="shared" si="50"/>
        <v>11400</v>
      </c>
      <c r="F1759" s="5">
        <v>41850</v>
      </c>
      <c r="K1759" s="24">
        <v>960</v>
      </c>
      <c r="L1759" s="6">
        <v>913</v>
      </c>
      <c r="M1759" s="270">
        <f t="shared" si="49"/>
        <v>-47</v>
      </c>
      <c r="N1759" s="7"/>
      <c r="O1759" s="277"/>
      <c r="P1759" s="345">
        <v>9400</v>
      </c>
      <c r="Q1759" s="28">
        <v>0.1208</v>
      </c>
      <c r="U1759" s="29">
        <v>0</v>
      </c>
      <c r="V1759" s="383"/>
      <c r="W1759" s="741">
        <f t="shared" si="48"/>
        <v>1135.52</v>
      </c>
      <c r="X1759" s="35"/>
    </row>
    <row r="1760" spans="1:24" ht="15" customHeight="1">
      <c r="A1760" s="3">
        <v>38334</v>
      </c>
      <c r="B1760" s="4">
        <v>22700</v>
      </c>
      <c r="D1760" s="5">
        <v>7750</v>
      </c>
      <c r="E1760" s="5">
        <f t="shared" si="50"/>
        <v>11275</v>
      </c>
      <c r="F1760" s="5">
        <v>41725</v>
      </c>
      <c r="K1760" s="24">
        <v>959</v>
      </c>
      <c r="L1760" s="6">
        <v>926</v>
      </c>
      <c r="M1760" s="270">
        <f t="shared" si="49"/>
        <v>-33</v>
      </c>
      <c r="N1760" s="7"/>
      <c r="O1760" s="277"/>
      <c r="P1760" s="345">
        <v>9350</v>
      </c>
      <c r="Q1760" s="28">
        <v>0.1208</v>
      </c>
      <c r="U1760" s="29">
        <v>0</v>
      </c>
      <c r="V1760" s="383"/>
      <c r="W1760" s="741">
        <f t="shared" si="48"/>
        <v>1129.48</v>
      </c>
      <c r="X1760" s="35"/>
    </row>
    <row r="1761" spans="1:24" ht="15" customHeight="1">
      <c r="A1761" s="3">
        <v>38335</v>
      </c>
      <c r="B1761" s="4">
        <v>22600</v>
      </c>
      <c r="D1761" s="5">
        <v>7600</v>
      </c>
      <c r="E1761" s="5">
        <f t="shared" si="50"/>
        <v>11150</v>
      </c>
      <c r="F1761" s="5">
        <v>41350</v>
      </c>
      <c r="K1761" s="24">
        <v>970.5</v>
      </c>
      <c r="L1761" s="6">
        <v>937</v>
      </c>
      <c r="M1761" s="270">
        <f t="shared" si="49"/>
        <v>-33.5</v>
      </c>
      <c r="N1761" s="7"/>
      <c r="O1761" s="277"/>
      <c r="P1761" s="345">
        <v>9400</v>
      </c>
      <c r="Q1761" s="28">
        <v>0.1208</v>
      </c>
      <c r="U1761" s="29">
        <v>0</v>
      </c>
      <c r="V1761" s="383"/>
      <c r="W1761" s="741">
        <f t="shared" si="48"/>
        <v>1135.52</v>
      </c>
      <c r="X1761" s="35"/>
    </row>
    <row r="1762" spans="1:24" ht="15" customHeight="1">
      <c r="A1762" s="3">
        <v>38336</v>
      </c>
      <c r="B1762" s="4">
        <v>22475</v>
      </c>
      <c r="D1762" s="5">
        <v>7500</v>
      </c>
      <c r="E1762" s="5">
        <f t="shared" si="50"/>
        <v>11150</v>
      </c>
      <c r="F1762" s="5">
        <v>41125</v>
      </c>
      <c r="K1762" s="24">
        <v>966</v>
      </c>
      <c r="L1762" s="6">
        <v>936</v>
      </c>
      <c r="M1762" s="270">
        <f t="shared" si="49"/>
        <v>-30</v>
      </c>
      <c r="N1762" s="7"/>
      <c r="O1762" s="277"/>
      <c r="P1762" s="345">
        <v>9375</v>
      </c>
      <c r="Q1762" s="28">
        <v>0.1208</v>
      </c>
      <c r="U1762" s="29">
        <v>0</v>
      </c>
      <c r="V1762" s="383"/>
      <c r="W1762" s="741">
        <f t="shared" si="48"/>
        <v>1132.5</v>
      </c>
      <c r="X1762" s="35"/>
    </row>
    <row r="1763" spans="1:24" ht="15" customHeight="1">
      <c r="A1763" s="3">
        <v>38337</v>
      </c>
      <c r="B1763" s="4">
        <v>22475</v>
      </c>
      <c r="D1763" s="5">
        <v>7500</v>
      </c>
      <c r="E1763" s="5">
        <f t="shared" si="50"/>
        <v>11150</v>
      </c>
      <c r="F1763" s="5">
        <v>41125</v>
      </c>
      <c r="K1763" s="24">
        <v>959</v>
      </c>
      <c r="L1763" s="6">
        <v>937</v>
      </c>
      <c r="M1763" s="270">
        <f t="shared" si="49"/>
        <v>-22</v>
      </c>
      <c r="N1763" s="7"/>
      <c r="O1763" s="277"/>
      <c r="P1763" s="345">
        <v>9375</v>
      </c>
      <c r="Q1763" s="28">
        <v>0.1208</v>
      </c>
      <c r="U1763" s="29">
        <v>0</v>
      </c>
      <c r="V1763" s="383"/>
      <c r="W1763" s="741">
        <f t="shared" si="48"/>
        <v>1132.5</v>
      </c>
      <c r="X1763" s="35"/>
    </row>
    <row r="1764" spans="1:24" ht="15" customHeight="1">
      <c r="A1764" s="3">
        <v>38338</v>
      </c>
      <c r="B1764" s="4">
        <v>22375</v>
      </c>
      <c r="D1764" s="5">
        <v>7500</v>
      </c>
      <c r="E1764" s="5">
        <f t="shared" si="50"/>
        <v>11150</v>
      </c>
      <c r="F1764" s="5">
        <v>41025</v>
      </c>
      <c r="K1764" s="24">
        <v>953.5</v>
      </c>
      <c r="L1764" s="6">
        <v>930</v>
      </c>
      <c r="M1764" s="270">
        <f t="shared" si="49"/>
        <v>-23.5</v>
      </c>
      <c r="N1764" s="7"/>
      <c r="O1764" s="277"/>
      <c r="P1764" s="345">
        <v>9375</v>
      </c>
      <c r="Q1764" s="28">
        <v>0.1208</v>
      </c>
      <c r="U1764" s="29">
        <v>0</v>
      </c>
      <c r="V1764" s="383"/>
      <c r="W1764" s="741">
        <f t="shared" si="48"/>
        <v>1132.5</v>
      </c>
      <c r="X1764" s="35"/>
    </row>
    <row r="1765" spans="1:24" ht="15" customHeight="1">
      <c r="A1765" s="3">
        <v>38341</v>
      </c>
      <c r="B1765" s="4">
        <v>22375</v>
      </c>
      <c r="D1765" s="5">
        <v>7500</v>
      </c>
      <c r="E1765" s="5">
        <f t="shared" si="50"/>
        <v>11150</v>
      </c>
      <c r="F1765" s="5">
        <v>41025</v>
      </c>
      <c r="K1765" s="24">
        <v>951</v>
      </c>
      <c r="L1765" s="6">
        <v>932</v>
      </c>
      <c r="M1765" s="270">
        <f t="shared" si="49"/>
        <v>-19</v>
      </c>
      <c r="N1765" s="7"/>
      <c r="O1765" s="277"/>
      <c r="P1765" s="345">
        <v>9375</v>
      </c>
      <c r="Q1765" s="28">
        <v>0.1208</v>
      </c>
      <c r="U1765" s="29">
        <v>0</v>
      </c>
      <c r="V1765" s="383"/>
      <c r="W1765" s="741">
        <f t="shared" si="48"/>
        <v>1132.5</v>
      </c>
      <c r="X1765" s="35"/>
    </row>
    <row r="1766" spans="1:24" ht="15" customHeight="1">
      <c r="A1766" s="3">
        <v>38342</v>
      </c>
      <c r="B1766" s="4">
        <v>22175</v>
      </c>
      <c r="D1766" s="5">
        <v>7475</v>
      </c>
      <c r="E1766" s="5">
        <f t="shared" si="50"/>
        <v>11150</v>
      </c>
      <c r="F1766" s="5">
        <v>40800</v>
      </c>
      <c r="K1766" s="24">
        <v>961</v>
      </c>
      <c r="L1766" s="6">
        <v>944</v>
      </c>
      <c r="M1766" s="270">
        <f t="shared" si="49"/>
        <v>-17</v>
      </c>
      <c r="N1766" s="7"/>
      <c r="O1766" s="277"/>
      <c r="P1766" s="345">
        <v>9375</v>
      </c>
      <c r="Q1766" s="28">
        <v>0.1208</v>
      </c>
      <c r="U1766" s="29">
        <v>0</v>
      </c>
      <c r="V1766" s="383"/>
      <c r="W1766" s="741">
        <f t="shared" si="48"/>
        <v>1132.5</v>
      </c>
      <c r="X1766" s="35"/>
    </row>
    <row r="1767" spans="1:24" ht="15" customHeight="1">
      <c r="A1767" s="3">
        <v>38343</v>
      </c>
      <c r="B1767" s="4">
        <v>22175</v>
      </c>
      <c r="D1767" s="5">
        <v>7450</v>
      </c>
      <c r="E1767" s="5">
        <f t="shared" si="50"/>
        <v>11150</v>
      </c>
      <c r="F1767" s="5">
        <v>40775</v>
      </c>
      <c r="K1767" s="24">
        <v>965.5</v>
      </c>
      <c r="L1767" s="6">
        <v>955</v>
      </c>
      <c r="M1767" s="270">
        <f t="shared" si="49"/>
        <v>-10.5</v>
      </c>
      <c r="N1767" s="7"/>
      <c r="O1767" s="277"/>
      <c r="P1767" s="345">
        <v>9375</v>
      </c>
      <c r="Q1767" s="28">
        <v>0.1208</v>
      </c>
      <c r="U1767" s="29">
        <v>0</v>
      </c>
      <c r="V1767" s="383"/>
      <c r="W1767" s="741">
        <f t="shared" si="48"/>
        <v>1132.5</v>
      </c>
      <c r="X1767" s="35"/>
    </row>
    <row r="1768" spans="1:24" ht="15" customHeight="1">
      <c r="A1768" s="3">
        <v>38344</v>
      </c>
      <c r="B1768" s="4">
        <v>22175</v>
      </c>
      <c r="D1768" s="5">
        <v>7350</v>
      </c>
      <c r="E1768" s="5">
        <f t="shared" si="50"/>
        <v>11150</v>
      </c>
      <c r="F1768" s="5">
        <v>40675</v>
      </c>
      <c r="K1768" s="24">
        <v>976.5</v>
      </c>
      <c r="L1768" s="6">
        <v>948</v>
      </c>
      <c r="M1768" s="270">
        <f t="shared" si="49"/>
        <v>-28.5</v>
      </c>
      <c r="N1768" s="7"/>
      <c r="O1768" s="277"/>
      <c r="P1768" s="345">
        <v>9375</v>
      </c>
      <c r="Q1768" s="28">
        <v>0.1208</v>
      </c>
      <c r="U1768" s="29">
        <v>0</v>
      </c>
      <c r="V1768" s="383"/>
      <c r="W1768" s="741">
        <f t="shared" si="48"/>
        <v>1132.5</v>
      </c>
    </row>
    <row r="1769" spans="1:24" ht="15" customHeight="1">
      <c r="A1769" s="3">
        <v>38345</v>
      </c>
      <c r="B1769" s="4">
        <v>22075</v>
      </c>
      <c r="D1769" s="5">
        <v>7325</v>
      </c>
      <c r="E1769" s="5">
        <f t="shared" si="50"/>
        <v>11150</v>
      </c>
      <c r="F1769" s="5">
        <v>40550</v>
      </c>
      <c r="K1769" s="24">
        <v>975.5</v>
      </c>
      <c r="L1769" s="6">
        <v>950</v>
      </c>
      <c r="M1769" s="270">
        <f t="shared" si="49"/>
        <v>-25.5</v>
      </c>
      <c r="N1769" s="7"/>
      <c r="O1769" s="277"/>
      <c r="P1769" s="345">
        <v>9375</v>
      </c>
      <c r="Q1769" s="28">
        <v>0.1208</v>
      </c>
      <c r="U1769" s="29">
        <v>0</v>
      </c>
      <c r="V1769" s="383"/>
      <c r="W1769" s="741">
        <f t="shared" si="48"/>
        <v>1132.5</v>
      </c>
    </row>
    <row r="1770" spans="1:24" ht="15" customHeight="1">
      <c r="A1770" s="3">
        <v>38350</v>
      </c>
      <c r="B1770" s="4">
        <v>21825</v>
      </c>
      <c r="D1770" s="5">
        <v>7325</v>
      </c>
      <c r="E1770" s="5">
        <f t="shared" si="50"/>
        <v>11150</v>
      </c>
      <c r="F1770" s="5">
        <v>40300</v>
      </c>
      <c r="K1770" s="24">
        <v>990</v>
      </c>
      <c r="L1770" s="6">
        <v>955</v>
      </c>
      <c r="M1770" s="270">
        <f t="shared" si="49"/>
        <v>-35</v>
      </c>
      <c r="N1770" s="7"/>
      <c r="O1770" s="277"/>
      <c r="P1770" s="345">
        <v>9325</v>
      </c>
      <c r="Q1770" s="28">
        <v>0.1208</v>
      </c>
      <c r="U1770" s="29">
        <v>0</v>
      </c>
      <c r="V1770" s="383"/>
      <c r="W1770" s="741">
        <f t="shared" si="48"/>
        <v>1126.46</v>
      </c>
    </row>
    <row r="1771" spans="1:24" ht="15" customHeight="1">
      <c r="A1771" s="3">
        <v>38351</v>
      </c>
      <c r="B1771" s="4">
        <v>22775</v>
      </c>
      <c r="D1771" s="5">
        <v>7075</v>
      </c>
      <c r="E1771" s="5">
        <f t="shared" si="50"/>
        <v>11150</v>
      </c>
      <c r="F1771" s="5">
        <v>41000</v>
      </c>
      <c r="K1771" s="24">
        <v>991.5</v>
      </c>
      <c r="L1771" s="6">
        <v>959</v>
      </c>
      <c r="M1771" s="270">
        <f t="shared" si="49"/>
        <v>-32.5</v>
      </c>
      <c r="N1771" s="7"/>
      <c r="O1771" s="277"/>
      <c r="P1771" s="345">
        <v>9325</v>
      </c>
      <c r="Q1771" s="28">
        <v>0.1208</v>
      </c>
      <c r="U1771" s="29">
        <v>0</v>
      </c>
      <c r="V1771" s="383"/>
      <c r="W1771" s="741">
        <f t="shared" si="48"/>
        <v>1126.46</v>
      </c>
    </row>
    <row r="1772" spans="1:24" ht="15" customHeight="1" thickBot="1">
      <c r="A1772" s="12">
        <v>38352</v>
      </c>
      <c r="B1772" s="13">
        <v>22500</v>
      </c>
      <c r="C1772" s="13"/>
      <c r="D1772" s="14">
        <v>7050</v>
      </c>
      <c r="E1772" s="14">
        <f t="shared" si="50"/>
        <v>11150</v>
      </c>
      <c r="F1772" s="14">
        <v>40700</v>
      </c>
      <c r="G1772" s="14"/>
      <c r="H1772" s="14"/>
      <c r="I1772" s="14"/>
      <c r="J1772" s="264"/>
      <c r="K1772" s="25">
        <v>1056</v>
      </c>
      <c r="L1772" s="15">
        <v>1011</v>
      </c>
      <c r="M1772" s="271">
        <f t="shared" si="49"/>
        <v>-45</v>
      </c>
      <c r="N1772" s="20">
        <f>AVERAGE(K1752:K1772)</f>
        <v>974.90476190476193</v>
      </c>
      <c r="O1772" s="278"/>
      <c r="P1772" s="346">
        <v>9500</v>
      </c>
      <c r="Q1772" s="30">
        <v>0.1208</v>
      </c>
      <c r="R1772" s="30"/>
      <c r="S1772" s="30"/>
      <c r="T1772" s="30"/>
      <c r="U1772" s="31">
        <v>0</v>
      </c>
      <c r="V1772" s="740">
        <f>AVERAGE(P1752:P1772)</f>
        <v>9416.6666666666661</v>
      </c>
      <c r="W1772" s="741">
        <f t="shared" si="48"/>
        <v>1147.6000000000001</v>
      </c>
      <c r="X1772" s="33"/>
    </row>
    <row r="1773" spans="1:24" ht="15" customHeight="1">
      <c r="A1773" s="3">
        <v>38356</v>
      </c>
      <c r="B1773" s="4">
        <v>22300</v>
      </c>
      <c r="D1773" s="5">
        <v>7050</v>
      </c>
      <c r="E1773" s="5">
        <f t="shared" si="50"/>
        <v>11125</v>
      </c>
      <c r="F1773" s="5">
        <v>40475</v>
      </c>
      <c r="K1773" s="24">
        <v>1000</v>
      </c>
      <c r="L1773" s="6">
        <v>980</v>
      </c>
      <c r="M1773" s="270">
        <f t="shared" si="49"/>
        <v>-20</v>
      </c>
      <c r="N1773" s="7"/>
      <c r="O1773" s="277"/>
      <c r="P1773" s="345">
        <v>9475</v>
      </c>
      <c r="Q1773" s="28">
        <v>0.1208</v>
      </c>
      <c r="U1773" s="29">
        <v>0</v>
      </c>
      <c r="V1773" s="383"/>
      <c r="W1773" s="741">
        <f t="shared" ref="W1773:W1836" si="51">(P1773*Q1773)*(1+U1773)</f>
        <v>1144.5800000000002</v>
      </c>
    </row>
    <row r="1774" spans="1:24" ht="15" customHeight="1">
      <c r="A1774" s="3">
        <v>38357</v>
      </c>
      <c r="B1774" s="4">
        <v>21925</v>
      </c>
      <c r="D1774" s="5">
        <v>6875</v>
      </c>
      <c r="E1774" s="5">
        <f t="shared" si="50"/>
        <v>11125</v>
      </c>
      <c r="F1774" s="5">
        <v>39925</v>
      </c>
      <c r="K1774" s="24">
        <v>938</v>
      </c>
      <c r="L1774" s="6">
        <v>903</v>
      </c>
      <c r="M1774" s="270">
        <f t="shared" si="49"/>
        <v>-35</v>
      </c>
      <c r="N1774" s="7"/>
      <c r="O1774" s="277"/>
      <c r="P1774" s="345">
        <v>9400</v>
      </c>
      <c r="Q1774" s="28">
        <v>0.1208</v>
      </c>
      <c r="U1774" s="29">
        <v>0</v>
      </c>
      <c r="V1774" s="383"/>
      <c r="W1774" s="741">
        <f t="shared" si="51"/>
        <v>1135.52</v>
      </c>
    </row>
    <row r="1775" spans="1:24" ht="15" customHeight="1">
      <c r="A1775" s="3">
        <v>38358</v>
      </c>
      <c r="B1775" s="4">
        <v>21925</v>
      </c>
      <c r="D1775" s="5">
        <v>6700</v>
      </c>
      <c r="E1775" s="5">
        <f t="shared" si="50"/>
        <v>11125</v>
      </c>
      <c r="F1775" s="5">
        <v>39750</v>
      </c>
      <c r="K1775" s="24">
        <v>912</v>
      </c>
      <c r="L1775" s="6">
        <v>870</v>
      </c>
      <c r="M1775" s="270">
        <f t="shared" si="49"/>
        <v>-42</v>
      </c>
      <c r="N1775" s="7"/>
      <c r="O1775" s="277"/>
      <c r="P1775" s="345">
        <v>9400</v>
      </c>
      <c r="Q1775" s="28">
        <v>0.1208</v>
      </c>
      <c r="U1775" s="29">
        <v>0</v>
      </c>
      <c r="V1775" s="383"/>
      <c r="W1775" s="741">
        <f t="shared" si="51"/>
        <v>1135.52</v>
      </c>
    </row>
    <row r="1776" spans="1:24" ht="15" customHeight="1">
      <c r="A1776" s="3">
        <v>38359</v>
      </c>
      <c r="B1776" s="4">
        <v>21925</v>
      </c>
      <c r="D1776" s="5">
        <v>6625</v>
      </c>
      <c r="E1776" s="5">
        <f t="shared" si="50"/>
        <v>11125</v>
      </c>
      <c r="F1776" s="5">
        <v>39675</v>
      </c>
      <c r="K1776" s="24">
        <v>959.5</v>
      </c>
      <c r="L1776" s="6">
        <v>910</v>
      </c>
      <c r="M1776" s="270">
        <f t="shared" si="49"/>
        <v>-49.5</v>
      </c>
      <c r="N1776" s="7"/>
      <c r="O1776" s="277"/>
      <c r="P1776" s="345">
        <v>9400</v>
      </c>
      <c r="Q1776" s="28">
        <v>0.1208</v>
      </c>
      <c r="U1776" s="29">
        <v>0</v>
      </c>
      <c r="V1776" s="383"/>
      <c r="W1776" s="741">
        <f t="shared" si="51"/>
        <v>1135.52</v>
      </c>
    </row>
    <row r="1777" spans="1:24" ht="15" customHeight="1">
      <c r="A1777" s="3">
        <v>38362</v>
      </c>
      <c r="B1777" s="4">
        <v>21925</v>
      </c>
      <c r="D1777" s="5">
        <v>6252</v>
      </c>
      <c r="E1777" s="5">
        <f t="shared" si="50"/>
        <v>11398</v>
      </c>
      <c r="F1777" s="5">
        <v>39575</v>
      </c>
      <c r="K1777" s="24">
        <v>950</v>
      </c>
      <c r="L1777" s="6">
        <v>898.5</v>
      </c>
      <c r="M1777" s="270">
        <f t="shared" si="49"/>
        <v>-51.5</v>
      </c>
      <c r="N1777" s="7"/>
      <c r="O1777" s="277"/>
      <c r="P1777" s="345">
        <v>9500</v>
      </c>
      <c r="Q1777" s="28">
        <v>0.1208</v>
      </c>
      <c r="U1777" s="29">
        <v>0</v>
      </c>
      <c r="V1777" s="383"/>
      <c r="W1777" s="741">
        <f t="shared" si="51"/>
        <v>1147.6000000000001</v>
      </c>
    </row>
    <row r="1778" spans="1:24" ht="15" customHeight="1">
      <c r="A1778" s="3">
        <v>38363</v>
      </c>
      <c r="B1778" s="4">
        <v>21925</v>
      </c>
      <c r="D1778" s="5">
        <v>6525</v>
      </c>
      <c r="E1778" s="5">
        <f t="shared" si="50"/>
        <v>11125</v>
      </c>
      <c r="F1778" s="5">
        <v>39575</v>
      </c>
      <c r="K1778" s="24">
        <v>955.5</v>
      </c>
      <c r="L1778" s="6">
        <v>908</v>
      </c>
      <c r="M1778" s="270">
        <f t="shared" si="49"/>
        <v>-47.5</v>
      </c>
      <c r="N1778" s="7"/>
      <c r="O1778" s="277"/>
      <c r="P1778" s="345">
        <v>9425</v>
      </c>
      <c r="Q1778" s="28">
        <v>0.1208</v>
      </c>
      <c r="U1778" s="29">
        <v>0</v>
      </c>
      <c r="V1778" s="383"/>
      <c r="W1778" s="741">
        <f t="shared" si="51"/>
        <v>1138.54</v>
      </c>
    </row>
    <row r="1779" spans="1:24" ht="15" customHeight="1">
      <c r="A1779" s="3">
        <v>38364</v>
      </c>
      <c r="B1779" s="4">
        <v>21900</v>
      </c>
      <c r="D1779" s="5">
        <v>6252</v>
      </c>
      <c r="E1779" s="5">
        <f t="shared" si="50"/>
        <v>11398</v>
      </c>
      <c r="F1779" s="5">
        <v>39550</v>
      </c>
      <c r="K1779" s="24">
        <v>940</v>
      </c>
      <c r="L1779" s="6">
        <v>903.5</v>
      </c>
      <c r="M1779" s="270">
        <f t="shared" si="49"/>
        <v>-36.5</v>
      </c>
      <c r="N1779" s="7"/>
      <c r="O1779" s="277"/>
      <c r="P1779" s="345">
        <v>9475</v>
      </c>
      <c r="Q1779" s="28">
        <v>0.1208</v>
      </c>
      <c r="U1779" s="29">
        <v>0</v>
      </c>
      <c r="V1779" s="383"/>
      <c r="W1779" s="741">
        <f t="shared" si="51"/>
        <v>1144.5800000000002</v>
      </c>
    </row>
    <row r="1780" spans="1:24" ht="15" customHeight="1">
      <c r="A1780" s="3">
        <v>38365</v>
      </c>
      <c r="B1780" s="4">
        <v>21900</v>
      </c>
      <c r="D1780" s="5">
        <v>6325</v>
      </c>
      <c r="E1780" s="5">
        <f t="shared" si="50"/>
        <v>10950</v>
      </c>
      <c r="F1780" s="5">
        <v>39175</v>
      </c>
      <c r="K1780" s="24">
        <v>950</v>
      </c>
      <c r="L1780" s="6">
        <v>907</v>
      </c>
      <c r="M1780" s="270">
        <f t="shared" si="49"/>
        <v>-43</v>
      </c>
      <c r="N1780" s="7"/>
      <c r="O1780" s="277"/>
      <c r="P1780" s="345">
        <v>9450</v>
      </c>
      <c r="Q1780" s="28">
        <v>0.1208</v>
      </c>
      <c r="U1780" s="29">
        <v>0</v>
      </c>
      <c r="V1780" s="383"/>
      <c r="W1780" s="741">
        <f t="shared" si="51"/>
        <v>1141.56</v>
      </c>
    </row>
    <row r="1781" spans="1:24" ht="15" customHeight="1">
      <c r="A1781" s="3">
        <v>38366</v>
      </c>
      <c r="B1781" s="4">
        <v>21875</v>
      </c>
      <c r="D1781" s="5">
        <v>6125</v>
      </c>
      <c r="E1781" s="5">
        <f t="shared" si="50"/>
        <v>10900</v>
      </c>
      <c r="F1781" s="5">
        <v>38900</v>
      </c>
      <c r="K1781" s="24">
        <v>918</v>
      </c>
      <c r="L1781" s="6">
        <v>881</v>
      </c>
      <c r="M1781" s="270">
        <f t="shared" si="49"/>
        <v>-37</v>
      </c>
      <c r="N1781" s="7"/>
      <c r="O1781" s="277"/>
      <c r="P1781" s="345">
        <v>9375</v>
      </c>
      <c r="Q1781" s="28">
        <v>0.1208</v>
      </c>
      <c r="U1781" s="29">
        <v>0</v>
      </c>
      <c r="V1781" s="383"/>
      <c r="W1781" s="741">
        <f t="shared" si="51"/>
        <v>1132.5</v>
      </c>
    </row>
    <row r="1782" spans="1:24" ht="15" customHeight="1">
      <c r="A1782" s="3">
        <v>38369</v>
      </c>
      <c r="B1782" s="4">
        <v>21350</v>
      </c>
      <c r="D1782" s="5">
        <v>6125</v>
      </c>
      <c r="E1782" s="5">
        <f t="shared" si="50"/>
        <v>10850</v>
      </c>
      <c r="F1782" s="5">
        <v>38325</v>
      </c>
      <c r="K1782" s="24">
        <v>939</v>
      </c>
      <c r="L1782" s="6">
        <v>900.5</v>
      </c>
      <c r="M1782" s="270">
        <f t="shared" si="49"/>
        <v>-38.5</v>
      </c>
      <c r="N1782" s="7"/>
      <c r="O1782" s="277"/>
      <c r="P1782" s="345">
        <v>9425</v>
      </c>
      <c r="Q1782" s="28">
        <v>0.1208</v>
      </c>
      <c r="U1782" s="29">
        <v>0</v>
      </c>
      <c r="V1782" s="383"/>
      <c r="W1782" s="741">
        <f t="shared" si="51"/>
        <v>1138.54</v>
      </c>
    </row>
    <row r="1783" spans="1:24" ht="15" customHeight="1">
      <c r="A1783" s="3">
        <v>38370</v>
      </c>
      <c r="B1783" s="4">
        <v>21325</v>
      </c>
      <c r="D1783" s="5">
        <v>5800</v>
      </c>
      <c r="E1783" s="5">
        <f t="shared" si="50"/>
        <v>10800</v>
      </c>
      <c r="F1783" s="5">
        <v>37925</v>
      </c>
      <c r="K1783" s="24">
        <v>921.5</v>
      </c>
      <c r="L1783" s="6">
        <v>895</v>
      </c>
      <c r="M1783" s="270">
        <f t="shared" ref="M1783:M1846" si="52">L1783-K1783</f>
        <v>-26.5</v>
      </c>
      <c r="N1783" s="7"/>
      <c r="O1783" s="277"/>
      <c r="P1783" s="345">
        <v>9450</v>
      </c>
      <c r="Q1783" s="28">
        <v>0.1208</v>
      </c>
      <c r="U1783" s="29">
        <v>0</v>
      </c>
      <c r="V1783" s="383"/>
      <c r="W1783" s="741">
        <f t="shared" si="51"/>
        <v>1141.56</v>
      </c>
    </row>
    <row r="1784" spans="1:24" ht="15" customHeight="1">
      <c r="A1784" s="3">
        <v>38371</v>
      </c>
      <c r="B1784" s="4">
        <v>21325</v>
      </c>
      <c r="D1784" s="5">
        <v>5800</v>
      </c>
      <c r="E1784" s="5">
        <f t="shared" si="50"/>
        <v>10750</v>
      </c>
      <c r="F1784" s="5">
        <v>37875</v>
      </c>
      <c r="K1784" s="24">
        <v>952</v>
      </c>
      <c r="L1784" s="6">
        <v>906</v>
      </c>
      <c r="M1784" s="270">
        <f t="shared" si="52"/>
        <v>-46</v>
      </c>
      <c r="N1784" s="7"/>
      <c r="O1784" s="277"/>
      <c r="P1784" s="345">
        <v>9400</v>
      </c>
      <c r="Q1784" s="28">
        <v>0.1208</v>
      </c>
      <c r="U1784" s="29">
        <v>0</v>
      </c>
      <c r="V1784" s="383"/>
      <c r="W1784" s="741">
        <f t="shared" si="51"/>
        <v>1135.52</v>
      </c>
      <c r="X1784" s="35"/>
    </row>
    <row r="1785" spans="1:24" ht="15" customHeight="1">
      <c r="A1785" s="3">
        <v>38372</v>
      </c>
      <c r="B1785" s="4">
        <v>21325</v>
      </c>
      <c r="D1785" s="5">
        <v>5775</v>
      </c>
      <c r="E1785" s="5">
        <f t="shared" si="50"/>
        <v>10700</v>
      </c>
      <c r="F1785" s="5">
        <v>37800</v>
      </c>
      <c r="K1785" s="24">
        <v>932</v>
      </c>
      <c r="L1785" s="6">
        <v>915</v>
      </c>
      <c r="M1785" s="270">
        <f t="shared" si="52"/>
        <v>-17</v>
      </c>
      <c r="N1785" s="7"/>
      <c r="O1785" s="277"/>
      <c r="P1785" s="345">
        <v>9400</v>
      </c>
      <c r="Q1785" s="28">
        <v>0.1208</v>
      </c>
      <c r="U1785" s="29">
        <v>0</v>
      </c>
      <c r="V1785" s="383"/>
      <c r="W1785" s="741">
        <f t="shared" si="51"/>
        <v>1135.52</v>
      </c>
    </row>
    <row r="1786" spans="1:24" ht="15" customHeight="1">
      <c r="A1786" s="3">
        <v>38373</v>
      </c>
      <c r="B1786" s="4">
        <v>21300</v>
      </c>
      <c r="D1786" s="5">
        <v>5725</v>
      </c>
      <c r="E1786" s="5">
        <f t="shared" si="50"/>
        <v>10650</v>
      </c>
      <c r="F1786" s="5">
        <v>37675</v>
      </c>
      <c r="K1786" s="24">
        <v>955</v>
      </c>
      <c r="L1786" s="6">
        <v>925</v>
      </c>
      <c r="M1786" s="270">
        <f t="shared" si="52"/>
        <v>-30</v>
      </c>
      <c r="N1786" s="7"/>
      <c r="O1786" s="277"/>
      <c r="P1786" s="345">
        <v>9390</v>
      </c>
      <c r="Q1786" s="28">
        <v>0.1208</v>
      </c>
      <c r="U1786" s="29">
        <v>0</v>
      </c>
      <c r="V1786" s="383"/>
      <c r="W1786" s="741">
        <f t="shared" si="51"/>
        <v>1134.3120000000001</v>
      </c>
    </row>
    <row r="1787" spans="1:24" ht="15" customHeight="1">
      <c r="A1787" s="3">
        <v>38376</v>
      </c>
      <c r="B1787" s="4">
        <v>21300</v>
      </c>
      <c r="D1787" s="5">
        <v>5675</v>
      </c>
      <c r="E1787" s="5">
        <f t="shared" si="50"/>
        <v>10600</v>
      </c>
      <c r="F1787" s="5">
        <v>37575</v>
      </c>
      <c r="K1787" s="24">
        <v>971</v>
      </c>
      <c r="L1787" s="6">
        <v>930.5</v>
      </c>
      <c r="M1787" s="270">
        <f t="shared" si="52"/>
        <v>-40.5</v>
      </c>
      <c r="N1787" s="7"/>
      <c r="O1787" s="277"/>
      <c r="P1787" s="345">
        <v>9450</v>
      </c>
      <c r="Q1787" s="28">
        <v>0.1208</v>
      </c>
      <c r="U1787" s="29">
        <v>0</v>
      </c>
      <c r="V1787" s="383"/>
      <c r="W1787" s="741">
        <f t="shared" si="51"/>
        <v>1141.56</v>
      </c>
    </row>
    <row r="1788" spans="1:24" ht="15" customHeight="1">
      <c r="A1788" s="3">
        <v>38377</v>
      </c>
      <c r="B1788" s="4">
        <v>21275</v>
      </c>
      <c r="D1788" s="5">
        <v>5550</v>
      </c>
      <c r="E1788" s="5">
        <f t="shared" si="50"/>
        <v>10550</v>
      </c>
      <c r="F1788" s="5">
        <v>37375</v>
      </c>
      <c r="K1788" s="24">
        <v>951</v>
      </c>
      <c r="L1788" s="6">
        <v>912</v>
      </c>
      <c r="M1788" s="270">
        <f t="shared" si="52"/>
        <v>-39</v>
      </c>
      <c r="N1788" s="7"/>
      <c r="O1788" s="277"/>
      <c r="P1788" s="345">
        <v>9425</v>
      </c>
      <c r="Q1788" s="28">
        <v>0.1208</v>
      </c>
      <c r="U1788" s="29">
        <v>0</v>
      </c>
      <c r="V1788" s="383"/>
      <c r="W1788" s="741">
        <f t="shared" si="51"/>
        <v>1138.54</v>
      </c>
    </row>
    <row r="1789" spans="1:24" ht="15" customHeight="1">
      <c r="A1789" s="3">
        <v>38378</v>
      </c>
      <c r="B1789" s="4">
        <v>21225</v>
      </c>
      <c r="D1789" s="5">
        <v>5400</v>
      </c>
      <c r="E1789" s="5">
        <f t="shared" ref="E1789:E1849" si="53">F1789-(B1789+D1789)</f>
        <v>10575</v>
      </c>
      <c r="F1789" s="5">
        <v>37200</v>
      </c>
      <c r="K1789" s="24">
        <v>954.5</v>
      </c>
      <c r="L1789" s="6">
        <v>913</v>
      </c>
      <c r="M1789" s="270">
        <f t="shared" si="52"/>
        <v>-41.5</v>
      </c>
      <c r="N1789" s="7"/>
      <c r="O1789" s="277"/>
      <c r="P1789" s="345">
        <v>9425</v>
      </c>
      <c r="Q1789" s="28">
        <v>0.1208</v>
      </c>
      <c r="U1789" s="29">
        <v>0</v>
      </c>
      <c r="V1789" s="383"/>
      <c r="W1789" s="741">
        <f t="shared" si="51"/>
        <v>1138.54</v>
      </c>
    </row>
    <row r="1790" spans="1:24" ht="15" customHeight="1">
      <c r="A1790" s="3">
        <v>38379</v>
      </c>
      <c r="B1790" s="4">
        <v>20600</v>
      </c>
      <c r="D1790" s="5">
        <v>5225</v>
      </c>
      <c r="E1790" s="5">
        <f t="shared" si="53"/>
        <v>10500</v>
      </c>
      <c r="F1790" s="5">
        <v>36325</v>
      </c>
      <c r="K1790" s="24">
        <v>974</v>
      </c>
      <c r="L1790" s="6">
        <v>922</v>
      </c>
      <c r="M1790" s="270">
        <f t="shared" si="52"/>
        <v>-52</v>
      </c>
      <c r="N1790" s="7"/>
      <c r="O1790" s="277"/>
      <c r="P1790" s="345">
        <v>9350</v>
      </c>
      <c r="Q1790" s="28">
        <v>0.1208</v>
      </c>
      <c r="U1790" s="29">
        <v>0</v>
      </c>
      <c r="V1790" s="383"/>
      <c r="W1790" s="741">
        <f t="shared" si="51"/>
        <v>1129.48</v>
      </c>
    </row>
    <row r="1791" spans="1:24" ht="15" customHeight="1">
      <c r="A1791" s="3">
        <v>38380</v>
      </c>
      <c r="B1791" s="4">
        <v>20400</v>
      </c>
      <c r="D1791" s="5">
        <v>5225</v>
      </c>
      <c r="E1791" s="5">
        <f t="shared" si="53"/>
        <v>10500</v>
      </c>
      <c r="F1791" s="5">
        <v>36125</v>
      </c>
      <c r="K1791" s="24">
        <v>980</v>
      </c>
      <c r="L1791" s="6">
        <v>935</v>
      </c>
      <c r="M1791" s="270">
        <f t="shared" si="52"/>
        <v>-45</v>
      </c>
      <c r="N1791" s="7"/>
      <c r="O1791" s="277"/>
      <c r="P1791" s="345">
        <v>9350</v>
      </c>
      <c r="Q1791" s="28">
        <v>0.1208</v>
      </c>
      <c r="U1791" s="29">
        <v>0</v>
      </c>
      <c r="V1791" s="383"/>
      <c r="W1791" s="741">
        <f t="shared" si="51"/>
        <v>1129.48</v>
      </c>
    </row>
    <row r="1792" spans="1:24" ht="15" customHeight="1" thickBot="1">
      <c r="A1792" s="12">
        <v>38383</v>
      </c>
      <c r="B1792" s="13">
        <v>20200</v>
      </c>
      <c r="C1792" s="13"/>
      <c r="D1792" s="14">
        <v>5075</v>
      </c>
      <c r="E1792" s="14">
        <f t="shared" si="53"/>
        <v>10450</v>
      </c>
      <c r="F1792" s="14">
        <v>35725</v>
      </c>
      <c r="G1792" s="14"/>
      <c r="H1792" s="14"/>
      <c r="I1792" s="14"/>
      <c r="J1792" s="264"/>
      <c r="K1792" s="25">
        <v>1010</v>
      </c>
      <c r="L1792" s="15">
        <v>929</v>
      </c>
      <c r="M1792" s="271">
        <f t="shared" si="52"/>
        <v>-81</v>
      </c>
      <c r="N1792" s="20">
        <f>AVERAGE(K1773:K1792)</f>
        <v>953.15</v>
      </c>
      <c r="O1792" s="278"/>
      <c r="P1792" s="346">
        <v>9350</v>
      </c>
      <c r="Q1792" s="30">
        <v>0.1208</v>
      </c>
      <c r="R1792" s="30"/>
      <c r="S1792" s="30"/>
      <c r="T1792" s="30"/>
      <c r="U1792" s="31">
        <v>0</v>
      </c>
      <c r="V1792" s="740">
        <f>AVERAGE(P1773:P1792)</f>
        <v>9415.75</v>
      </c>
      <c r="W1792" s="741">
        <f t="shared" si="51"/>
        <v>1129.48</v>
      </c>
      <c r="X1792" s="33"/>
    </row>
    <row r="1793" spans="1:23" ht="15" customHeight="1">
      <c r="A1793" s="3">
        <v>38384</v>
      </c>
      <c r="B1793" s="4">
        <v>19825</v>
      </c>
      <c r="D1793" s="5">
        <v>4925</v>
      </c>
      <c r="E1793" s="5">
        <f t="shared" si="53"/>
        <v>10450</v>
      </c>
      <c r="F1793" s="5">
        <v>35200</v>
      </c>
      <c r="K1793" s="24">
        <v>984.5</v>
      </c>
      <c r="L1793" s="6">
        <v>930</v>
      </c>
      <c r="M1793" s="270">
        <f t="shared" si="52"/>
        <v>-54.5</v>
      </c>
      <c r="N1793" s="7"/>
      <c r="O1793" s="277"/>
      <c r="P1793" s="345">
        <v>9375</v>
      </c>
      <c r="Q1793" s="28">
        <v>0.1208</v>
      </c>
      <c r="U1793" s="29">
        <v>0</v>
      </c>
      <c r="V1793" s="383"/>
      <c r="W1793" s="741">
        <f t="shared" si="51"/>
        <v>1132.5</v>
      </c>
    </row>
    <row r="1794" spans="1:23" ht="15" customHeight="1">
      <c r="A1794" s="3">
        <v>38385</v>
      </c>
      <c r="B1794" s="4">
        <v>19750</v>
      </c>
      <c r="D1794" s="5">
        <v>4725</v>
      </c>
      <c r="E1794" s="5">
        <f t="shared" si="53"/>
        <v>10400</v>
      </c>
      <c r="F1794" s="5">
        <v>34875</v>
      </c>
      <c r="K1794" s="24">
        <v>989</v>
      </c>
      <c r="L1794" s="6">
        <v>934</v>
      </c>
      <c r="M1794" s="270">
        <f t="shared" si="52"/>
        <v>-55</v>
      </c>
      <c r="N1794" s="7"/>
      <c r="O1794" s="277"/>
      <c r="P1794" s="345">
        <v>9375</v>
      </c>
      <c r="Q1794" s="28">
        <v>0.1208</v>
      </c>
      <c r="U1794" s="29">
        <v>0</v>
      </c>
      <c r="V1794" s="383"/>
      <c r="W1794" s="741">
        <f t="shared" si="51"/>
        <v>1132.5</v>
      </c>
    </row>
    <row r="1795" spans="1:23" ht="15" customHeight="1">
      <c r="A1795" s="3">
        <v>38386</v>
      </c>
      <c r="B1795" s="4">
        <v>19250</v>
      </c>
      <c r="D1795" s="5">
        <v>4600</v>
      </c>
      <c r="E1795" s="5">
        <f t="shared" si="53"/>
        <v>11700</v>
      </c>
      <c r="F1795" s="5">
        <v>35550</v>
      </c>
      <c r="K1795" s="24">
        <v>979</v>
      </c>
      <c r="L1795" s="6">
        <v>926</v>
      </c>
      <c r="M1795" s="270">
        <f t="shared" si="52"/>
        <v>-53</v>
      </c>
      <c r="N1795" s="7"/>
      <c r="O1795" s="277"/>
      <c r="P1795" s="345">
        <v>9375</v>
      </c>
      <c r="Q1795" s="28">
        <v>0.1208</v>
      </c>
      <c r="U1795" s="29">
        <v>0</v>
      </c>
      <c r="V1795" s="383"/>
      <c r="W1795" s="741">
        <f t="shared" si="51"/>
        <v>1132.5</v>
      </c>
    </row>
    <row r="1796" spans="1:23" ht="15" customHeight="1">
      <c r="A1796" s="3">
        <v>38387</v>
      </c>
      <c r="B1796" s="4">
        <v>18575</v>
      </c>
      <c r="D1796" s="5">
        <v>4600</v>
      </c>
      <c r="E1796" s="5">
        <f t="shared" si="53"/>
        <v>11650</v>
      </c>
      <c r="F1796" s="5">
        <v>34825</v>
      </c>
      <c r="K1796" s="24">
        <v>983</v>
      </c>
      <c r="L1796" s="6">
        <v>925</v>
      </c>
      <c r="M1796" s="270">
        <f t="shared" si="52"/>
        <v>-58</v>
      </c>
      <c r="N1796" s="7"/>
      <c r="O1796" s="277"/>
      <c r="P1796" s="347">
        <v>9375</v>
      </c>
      <c r="Q1796" s="28">
        <v>0.1208</v>
      </c>
      <c r="U1796" s="29">
        <v>0</v>
      </c>
      <c r="V1796" s="383"/>
      <c r="W1796" s="741">
        <f t="shared" si="51"/>
        <v>1132.5</v>
      </c>
    </row>
    <row r="1797" spans="1:23" ht="15" customHeight="1">
      <c r="A1797" s="3">
        <v>38390</v>
      </c>
      <c r="B1797" s="4">
        <v>17925</v>
      </c>
      <c r="D1797" s="5">
        <v>4600</v>
      </c>
      <c r="E1797" s="5">
        <f t="shared" si="53"/>
        <v>11625</v>
      </c>
      <c r="F1797" s="5">
        <v>34150</v>
      </c>
      <c r="K1797" s="24">
        <v>986</v>
      </c>
      <c r="L1797" s="6">
        <v>923</v>
      </c>
      <c r="M1797" s="270">
        <f t="shared" si="52"/>
        <v>-63</v>
      </c>
      <c r="N1797" s="7"/>
      <c r="O1797" s="277"/>
      <c r="P1797" s="347">
        <v>9375</v>
      </c>
      <c r="Q1797" s="28">
        <v>0.1208</v>
      </c>
      <c r="U1797" s="29">
        <v>0</v>
      </c>
      <c r="V1797" s="383"/>
      <c r="W1797" s="741">
        <f t="shared" si="51"/>
        <v>1132.5</v>
      </c>
    </row>
    <row r="1798" spans="1:23" ht="15" customHeight="1">
      <c r="A1798" s="3">
        <v>38391</v>
      </c>
      <c r="B1798" s="4">
        <v>18575</v>
      </c>
      <c r="D1798" s="5">
        <v>4525</v>
      </c>
      <c r="E1798" s="5">
        <f t="shared" si="53"/>
        <v>11600</v>
      </c>
      <c r="F1798" s="5">
        <v>34700</v>
      </c>
      <c r="K1798" s="24">
        <v>966</v>
      </c>
      <c r="L1798" s="6">
        <v>912.5</v>
      </c>
      <c r="M1798" s="270">
        <f t="shared" si="52"/>
        <v>-53.5</v>
      </c>
      <c r="N1798" s="7"/>
      <c r="O1798" s="277"/>
      <c r="P1798" s="347">
        <v>9375</v>
      </c>
      <c r="Q1798" s="28">
        <v>0.1208</v>
      </c>
      <c r="U1798" s="29">
        <v>0</v>
      </c>
      <c r="V1798" s="383"/>
      <c r="W1798" s="741">
        <f t="shared" si="51"/>
        <v>1132.5</v>
      </c>
    </row>
    <row r="1799" spans="1:23" ht="15" customHeight="1">
      <c r="A1799" s="3">
        <v>38392</v>
      </c>
      <c r="B1799" s="4">
        <v>18575</v>
      </c>
      <c r="D1799" s="5">
        <v>4500</v>
      </c>
      <c r="E1799" s="5">
        <f t="shared" si="53"/>
        <v>11575</v>
      </c>
      <c r="F1799" s="5">
        <v>34650</v>
      </c>
      <c r="K1799" s="24">
        <v>956</v>
      </c>
      <c r="L1799" s="6">
        <v>906</v>
      </c>
      <c r="M1799" s="270">
        <f t="shared" si="52"/>
        <v>-50</v>
      </c>
      <c r="N1799" s="7"/>
      <c r="O1799" s="277"/>
      <c r="P1799" s="347">
        <v>9375</v>
      </c>
      <c r="Q1799" s="28">
        <v>0.1208</v>
      </c>
      <c r="U1799" s="29">
        <v>0</v>
      </c>
      <c r="V1799" s="383"/>
      <c r="W1799" s="741">
        <f t="shared" si="51"/>
        <v>1132.5</v>
      </c>
    </row>
    <row r="1800" spans="1:23" ht="15" customHeight="1">
      <c r="A1800" s="3">
        <v>38393</v>
      </c>
      <c r="B1800" s="4">
        <v>18575</v>
      </c>
      <c r="D1800" s="5">
        <v>4425</v>
      </c>
      <c r="E1800" s="5">
        <f t="shared" si="53"/>
        <v>11575</v>
      </c>
      <c r="F1800" s="5">
        <v>34575</v>
      </c>
      <c r="K1800" s="24">
        <v>954.5</v>
      </c>
      <c r="L1800" s="6">
        <v>917</v>
      </c>
      <c r="M1800" s="270">
        <f t="shared" si="52"/>
        <v>-37.5</v>
      </c>
      <c r="N1800" s="7"/>
      <c r="O1800" s="277"/>
      <c r="P1800" s="347">
        <v>9375</v>
      </c>
      <c r="Q1800" s="28">
        <v>0.1208</v>
      </c>
      <c r="U1800" s="29">
        <v>0</v>
      </c>
      <c r="V1800" s="383"/>
      <c r="W1800" s="741">
        <f t="shared" si="51"/>
        <v>1132.5</v>
      </c>
    </row>
    <row r="1801" spans="1:23" ht="15" customHeight="1">
      <c r="A1801" s="3">
        <v>38394</v>
      </c>
      <c r="B1801" s="4">
        <v>18575</v>
      </c>
      <c r="D1801" s="5">
        <v>4375</v>
      </c>
      <c r="E1801" s="5">
        <f t="shared" si="53"/>
        <v>11575</v>
      </c>
      <c r="F1801" s="5">
        <v>34525</v>
      </c>
      <c r="K1801" s="24">
        <v>946.5</v>
      </c>
      <c r="L1801" s="6">
        <v>909</v>
      </c>
      <c r="M1801" s="270">
        <f t="shared" si="52"/>
        <v>-37.5</v>
      </c>
      <c r="N1801" s="7"/>
      <c r="O1801" s="277"/>
      <c r="P1801" s="347">
        <v>9375</v>
      </c>
      <c r="Q1801" s="28">
        <v>0.1208</v>
      </c>
      <c r="U1801" s="29">
        <v>0</v>
      </c>
      <c r="V1801" s="383"/>
      <c r="W1801" s="741">
        <f t="shared" si="51"/>
        <v>1132.5</v>
      </c>
    </row>
    <row r="1802" spans="1:23" ht="15" customHeight="1">
      <c r="A1802" s="3">
        <v>38397</v>
      </c>
      <c r="B1802" s="4">
        <v>18550</v>
      </c>
      <c r="D1802" s="5">
        <v>4350</v>
      </c>
      <c r="E1802" s="5">
        <f t="shared" si="53"/>
        <v>11550</v>
      </c>
      <c r="F1802" s="5">
        <v>34450</v>
      </c>
      <c r="K1802" s="24">
        <v>952.5</v>
      </c>
      <c r="L1802" s="6">
        <v>914</v>
      </c>
      <c r="M1802" s="270">
        <f t="shared" si="52"/>
        <v>-38.5</v>
      </c>
      <c r="N1802" s="7"/>
      <c r="O1802" s="277"/>
      <c r="P1802" s="347">
        <v>9375</v>
      </c>
      <c r="Q1802" s="28">
        <v>0.1208</v>
      </c>
      <c r="U1802" s="29">
        <v>0</v>
      </c>
      <c r="V1802" s="383"/>
      <c r="W1802" s="741">
        <f t="shared" si="51"/>
        <v>1132.5</v>
      </c>
    </row>
    <row r="1803" spans="1:23" ht="15" customHeight="1">
      <c r="A1803" s="3">
        <v>38398</v>
      </c>
      <c r="B1803" s="4">
        <v>18550</v>
      </c>
      <c r="D1803" s="5">
        <v>4350</v>
      </c>
      <c r="E1803" s="5">
        <f t="shared" si="53"/>
        <v>11550</v>
      </c>
      <c r="F1803" s="5">
        <v>34450</v>
      </c>
      <c r="K1803" s="24">
        <v>949</v>
      </c>
      <c r="L1803" s="6">
        <v>919</v>
      </c>
      <c r="M1803" s="270">
        <f t="shared" si="52"/>
        <v>-30</v>
      </c>
      <c r="N1803" s="7"/>
      <c r="O1803" s="277"/>
      <c r="P1803" s="347">
        <v>9375</v>
      </c>
      <c r="Q1803" s="28">
        <v>0.1208</v>
      </c>
      <c r="U1803" s="29">
        <v>0</v>
      </c>
      <c r="V1803" s="383"/>
      <c r="W1803" s="741">
        <f t="shared" si="51"/>
        <v>1132.5</v>
      </c>
    </row>
    <row r="1804" spans="1:23" ht="15" customHeight="1">
      <c r="A1804" s="3">
        <v>38399</v>
      </c>
      <c r="B1804" s="4">
        <v>18475</v>
      </c>
      <c r="D1804" s="5">
        <v>4325</v>
      </c>
      <c r="E1804" s="5">
        <f t="shared" si="53"/>
        <v>11550</v>
      </c>
      <c r="F1804" s="5">
        <v>34350</v>
      </c>
      <c r="K1804" s="24">
        <v>949.5</v>
      </c>
      <c r="L1804" s="6">
        <v>921</v>
      </c>
      <c r="M1804" s="270">
        <f t="shared" si="52"/>
        <v>-28.5</v>
      </c>
      <c r="N1804" s="7"/>
      <c r="O1804" s="277"/>
      <c r="P1804" s="345">
        <v>9425</v>
      </c>
      <c r="Q1804" s="28">
        <v>0.1208</v>
      </c>
      <c r="U1804" s="29">
        <v>0</v>
      </c>
      <c r="V1804" s="383"/>
      <c r="W1804" s="741">
        <f t="shared" si="51"/>
        <v>1138.54</v>
      </c>
    </row>
    <row r="1805" spans="1:23" ht="15" customHeight="1">
      <c r="A1805" s="3">
        <v>38400</v>
      </c>
      <c r="B1805" s="4">
        <v>18475</v>
      </c>
      <c r="D1805" s="5">
        <v>4275</v>
      </c>
      <c r="E1805" s="5">
        <f t="shared" si="53"/>
        <v>11550</v>
      </c>
      <c r="F1805" s="5">
        <v>34300</v>
      </c>
      <c r="K1805" s="24">
        <v>960.5</v>
      </c>
      <c r="L1805" s="6">
        <v>922</v>
      </c>
      <c r="M1805" s="270">
        <f t="shared" si="52"/>
        <v>-38.5</v>
      </c>
      <c r="N1805" s="7"/>
      <c r="O1805" s="277"/>
      <c r="P1805" s="345">
        <v>9400</v>
      </c>
      <c r="Q1805" s="28">
        <v>0.1208</v>
      </c>
      <c r="U1805" s="29">
        <v>0</v>
      </c>
      <c r="V1805" s="383"/>
      <c r="W1805" s="741">
        <f t="shared" si="51"/>
        <v>1135.52</v>
      </c>
    </row>
    <row r="1806" spans="1:23" ht="15" customHeight="1">
      <c r="A1806" s="3">
        <v>38401</v>
      </c>
      <c r="B1806" s="4">
        <v>18425</v>
      </c>
      <c r="D1806" s="5">
        <v>4200</v>
      </c>
      <c r="E1806" s="5">
        <f t="shared" si="53"/>
        <v>11525</v>
      </c>
      <c r="F1806" s="5">
        <v>34150</v>
      </c>
      <c r="K1806" s="24">
        <v>1005</v>
      </c>
      <c r="L1806" s="6">
        <v>960</v>
      </c>
      <c r="M1806" s="270">
        <f t="shared" si="52"/>
        <v>-45</v>
      </c>
      <c r="N1806" s="7"/>
      <c r="O1806" s="277"/>
      <c r="P1806" s="345">
        <v>9400</v>
      </c>
      <c r="Q1806" s="28">
        <v>0.1208</v>
      </c>
      <c r="U1806" s="29">
        <v>0</v>
      </c>
      <c r="V1806" s="383"/>
      <c r="W1806" s="741">
        <f t="shared" si="51"/>
        <v>1135.52</v>
      </c>
    </row>
    <row r="1807" spans="1:23" ht="15" customHeight="1">
      <c r="A1807" s="3">
        <v>38404</v>
      </c>
      <c r="B1807" s="4">
        <v>18400</v>
      </c>
      <c r="D1807" s="5">
        <v>4175</v>
      </c>
      <c r="E1807" s="5">
        <f t="shared" si="53"/>
        <v>11525</v>
      </c>
      <c r="F1807" s="5">
        <v>34100</v>
      </c>
      <c r="K1807" s="24">
        <v>1003</v>
      </c>
      <c r="L1807" s="6">
        <v>971</v>
      </c>
      <c r="M1807" s="270">
        <f t="shared" si="52"/>
        <v>-32</v>
      </c>
      <c r="N1807" s="7"/>
      <c r="O1807" s="277"/>
      <c r="P1807" s="345">
        <v>9425</v>
      </c>
      <c r="Q1807" s="28">
        <v>0.1208</v>
      </c>
      <c r="U1807" s="29">
        <v>0</v>
      </c>
      <c r="V1807" s="383"/>
      <c r="W1807" s="741">
        <f t="shared" si="51"/>
        <v>1138.54</v>
      </c>
    </row>
    <row r="1808" spans="1:23" ht="15" customHeight="1">
      <c r="A1808" s="3">
        <v>38405</v>
      </c>
      <c r="B1808" s="4">
        <v>18400</v>
      </c>
      <c r="D1808" s="5">
        <v>4175</v>
      </c>
      <c r="E1808" s="5">
        <f t="shared" si="53"/>
        <v>11525</v>
      </c>
      <c r="F1808" s="5">
        <v>34100</v>
      </c>
      <c r="K1808" s="24">
        <v>1013</v>
      </c>
      <c r="L1808" s="6">
        <v>986</v>
      </c>
      <c r="M1808" s="270">
        <f t="shared" si="52"/>
        <v>-27</v>
      </c>
      <c r="N1808" s="7"/>
      <c r="O1808" s="277"/>
      <c r="P1808" s="345">
        <v>9475</v>
      </c>
      <c r="Q1808" s="28">
        <v>0.1208</v>
      </c>
      <c r="U1808" s="29">
        <v>0</v>
      </c>
      <c r="V1808" s="383"/>
      <c r="W1808" s="741">
        <f t="shared" si="51"/>
        <v>1144.5800000000002</v>
      </c>
    </row>
    <row r="1809" spans="1:24" ht="15" customHeight="1">
      <c r="A1809" s="3">
        <v>38406</v>
      </c>
      <c r="B1809" s="4">
        <v>18150</v>
      </c>
      <c r="D1809" s="5">
        <v>4175</v>
      </c>
      <c r="E1809" s="5">
        <f t="shared" si="53"/>
        <v>11525</v>
      </c>
      <c r="F1809" s="5">
        <v>33850</v>
      </c>
      <c r="K1809" s="24">
        <v>1009.5</v>
      </c>
      <c r="L1809" s="6">
        <v>966</v>
      </c>
      <c r="M1809" s="270">
        <f t="shared" si="52"/>
        <v>-43.5</v>
      </c>
      <c r="N1809" s="7"/>
      <c r="O1809" s="277"/>
      <c r="P1809" s="345">
        <v>9500</v>
      </c>
      <c r="Q1809" s="28">
        <v>0.1208</v>
      </c>
      <c r="U1809" s="29">
        <v>0</v>
      </c>
      <c r="V1809" s="383"/>
      <c r="W1809" s="741">
        <f t="shared" si="51"/>
        <v>1147.6000000000001</v>
      </c>
    </row>
    <row r="1810" spans="1:24" ht="15" customHeight="1">
      <c r="A1810" s="3">
        <v>38407</v>
      </c>
      <c r="B1810" s="4">
        <v>18150</v>
      </c>
      <c r="D1810" s="5">
        <v>4125</v>
      </c>
      <c r="E1810" s="5">
        <f t="shared" si="53"/>
        <v>11525</v>
      </c>
      <c r="F1810" s="5">
        <v>33800</v>
      </c>
      <c r="K1810" s="24">
        <v>1010</v>
      </c>
      <c r="L1810" s="6">
        <v>971</v>
      </c>
      <c r="M1810" s="270">
        <f t="shared" si="52"/>
        <v>-39</v>
      </c>
      <c r="N1810" s="7"/>
      <c r="O1810" s="277"/>
      <c r="P1810" s="345">
        <v>9500</v>
      </c>
      <c r="Q1810" s="28">
        <v>0.1208</v>
      </c>
      <c r="U1810" s="29">
        <v>0</v>
      </c>
      <c r="V1810" s="383"/>
      <c r="W1810" s="741">
        <f t="shared" si="51"/>
        <v>1147.6000000000001</v>
      </c>
    </row>
    <row r="1811" spans="1:24" ht="15" customHeight="1">
      <c r="A1811" s="3">
        <v>38408</v>
      </c>
      <c r="B1811" s="4">
        <v>18125</v>
      </c>
      <c r="D1811" s="5">
        <v>4075</v>
      </c>
      <c r="E1811" s="5">
        <f t="shared" si="53"/>
        <v>11525</v>
      </c>
      <c r="F1811" s="5">
        <v>33725</v>
      </c>
      <c r="K1811" s="24">
        <v>974.5</v>
      </c>
      <c r="L1811" s="6">
        <v>940</v>
      </c>
      <c r="M1811" s="270">
        <f t="shared" si="52"/>
        <v>-34.5</v>
      </c>
      <c r="N1811" s="7"/>
      <c r="O1811" s="277"/>
      <c r="P1811" s="345">
        <v>9440</v>
      </c>
      <c r="Q1811" s="28">
        <v>0.1208</v>
      </c>
      <c r="U1811" s="29">
        <v>0</v>
      </c>
      <c r="V1811" s="383"/>
      <c r="W1811" s="741">
        <f t="shared" si="51"/>
        <v>1140.3520000000001</v>
      </c>
    </row>
    <row r="1812" spans="1:24" ht="15" customHeight="1" thickBot="1">
      <c r="A1812" s="12">
        <v>38411</v>
      </c>
      <c r="B1812" s="13">
        <v>18125</v>
      </c>
      <c r="C1812" s="13"/>
      <c r="D1812" s="14">
        <v>3975</v>
      </c>
      <c r="E1812" s="14">
        <f t="shared" si="53"/>
        <v>11525</v>
      </c>
      <c r="F1812" s="14">
        <v>33625</v>
      </c>
      <c r="G1812" s="14"/>
      <c r="H1812" s="14"/>
      <c r="I1812" s="14"/>
      <c r="J1812" s="264"/>
      <c r="K1812" s="25">
        <v>980</v>
      </c>
      <c r="L1812" s="15">
        <v>949.5</v>
      </c>
      <c r="M1812" s="271">
        <f t="shared" si="52"/>
        <v>-30.5</v>
      </c>
      <c r="N1812" s="20">
        <f>AVERAGE(K1793:K1812)</f>
        <v>977.55</v>
      </c>
      <c r="O1812" s="278"/>
      <c r="P1812" s="346">
        <v>9450</v>
      </c>
      <c r="Q1812" s="30">
        <v>0.1208</v>
      </c>
      <c r="R1812" s="30"/>
      <c r="S1812" s="30"/>
      <c r="T1812" s="30"/>
      <c r="U1812" s="31">
        <v>0</v>
      </c>
      <c r="V1812" s="740">
        <f>AVERAGE(P1793:P1795,P1804:P1812)</f>
        <v>9428.3333333333339</v>
      </c>
      <c r="W1812" s="741">
        <f t="shared" si="51"/>
        <v>1141.56</v>
      </c>
      <c r="X1812" s="33"/>
    </row>
    <row r="1813" spans="1:24" ht="15" customHeight="1">
      <c r="A1813" s="3">
        <v>38412</v>
      </c>
      <c r="B1813" s="4">
        <v>18125</v>
      </c>
      <c r="D1813" s="5">
        <v>3975</v>
      </c>
      <c r="E1813" s="5">
        <f t="shared" si="53"/>
        <v>11525</v>
      </c>
      <c r="F1813" s="5">
        <v>33625</v>
      </c>
      <c r="K1813" s="24">
        <v>1005</v>
      </c>
      <c r="L1813" s="6">
        <v>965.5</v>
      </c>
      <c r="M1813" s="270">
        <f t="shared" si="52"/>
        <v>-39.5</v>
      </c>
      <c r="N1813" s="7"/>
      <c r="O1813" s="277"/>
      <c r="P1813" s="345">
        <v>9500</v>
      </c>
      <c r="Q1813" s="28">
        <v>0.1208</v>
      </c>
      <c r="U1813" s="29">
        <v>0</v>
      </c>
      <c r="V1813" s="383"/>
      <c r="W1813" s="741">
        <f t="shared" si="51"/>
        <v>1147.6000000000001</v>
      </c>
    </row>
    <row r="1814" spans="1:24" ht="15" customHeight="1">
      <c r="A1814" s="3">
        <v>38413</v>
      </c>
      <c r="B1814" s="4">
        <v>18125</v>
      </c>
      <c r="D1814" s="5">
        <v>3975</v>
      </c>
      <c r="E1814" s="5">
        <f t="shared" si="53"/>
        <v>11525</v>
      </c>
      <c r="F1814" s="5">
        <v>33625</v>
      </c>
      <c r="K1814" s="24">
        <v>979</v>
      </c>
      <c r="L1814" s="6">
        <v>947</v>
      </c>
      <c r="M1814" s="270">
        <f t="shared" si="52"/>
        <v>-32</v>
      </c>
      <c r="N1814" s="7"/>
      <c r="O1814" s="277"/>
      <c r="P1814" s="345">
        <v>9510</v>
      </c>
      <c r="Q1814" s="28">
        <v>0.1208</v>
      </c>
      <c r="U1814" s="29">
        <v>0</v>
      </c>
      <c r="V1814" s="383"/>
      <c r="W1814" s="741">
        <f t="shared" si="51"/>
        <v>1148.808</v>
      </c>
    </row>
    <row r="1815" spans="1:24" ht="15" customHeight="1">
      <c r="A1815" s="3">
        <v>38414</v>
      </c>
      <c r="B1815" s="4">
        <v>18125</v>
      </c>
      <c r="D1815" s="5">
        <v>3850</v>
      </c>
      <c r="E1815" s="5">
        <f t="shared" si="53"/>
        <v>11525</v>
      </c>
      <c r="F1815" s="5">
        <v>33500</v>
      </c>
      <c r="K1815" s="24">
        <v>985</v>
      </c>
      <c r="L1815" s="6">
        <v>950</v>
      </c>
      <c r="M1815" s="270">
        <f t="shared" si="52"/>
        <v>-35</v>
      </c>
      <c r="N1815" s="7"/>
      <c r="O1815" s="277"/>
      <c r="P1815" s="345">
        <v>9500</v>
      </c>
      <c r="Q1815" s="28">
        <v>0.1208</v>
      </c>
      <c r="U1815" s="29">
        <v>0</v>
      </c>
      <c r="V1815" s="383"/>
      <c r="W1815" s="741">
        <f t="shared" si="51"/>
        <v>1147.6000000000001</v>
      </c>
    </row>
    <row r="1816" spans="1:24" ht="15" customHeight="1">
      <c r="A1816" s="3">
        <v>38415</v>
      </c>
      <c r="B1816" s="4">
        <v>18425</v>
      </c>
      <c r="D1816" s="5">
        <v>3725</v>
      </c>
      <c r="E1816" s="5">
        <f t="shared" si="53"/>
        <v>11525</v>
      </c>
      <c r="F1816" s="5">
        <v>33675</v>
      </c>
      <c r="K1816" s="24">
        <v>1008</v>
      </c>
      <c r="L1816" s="6">
        <v>967</v>
      </c>
      <c r="M1816" s="270">
        <f t="shared" si="52"/>
        <v>-41</v>
      </c>
      <c r="N1816" s="7"/>
      <c r="O1816" s="277"/>
      <c r="P1816" s="345">
        <v>9500</v>
      </c>
      <c r="Q1816" s="28">
        <v>0.1208</v>
      </c>
      <c r="U1816" s="29">
        <v>0</v>
      </c>
      <c r="V1816" s="383"/>
      <c r="W1816" s="741">
        <f t="shared" si="51"/>
        <v>1147.6000000000001</v>
      </c>
    </row>
    <row r="1817" spans="1:24" ht="15" customHeight="1">
      <c r="A1817" s="3">
        <v>38418</v>
      </c>
      <c r="B1817" s="4">
        <v>18325</v>
      </c>
      <c r="D1817" s="5">
        <v>3650</v>
      </c>
      <c r="E1817" s="5">
        <f t="shared" si="53"/>
        <v>11525</v>
      </c>
      <c r="F1817" s="5">
        <v>33500</v>
      </c>
      <c r="K1817" s="24">
        <v>1025.5</v>
      </c>
      <c r="L1817" s="6">
        <v>973</v>
      </c>
      <c r="M1817" s="270">
        <f t="shared" si="52"/>
        <v>-52.5</v>
      </c>
      <c r="N1817" s="7"/>
      <c r="O1817" s="277"/>
      <c r="P1817" s="345">
        <v>9500</v>
      </c>
      <c r="Q1817" s="28">
        <v>0.1208</v>
      </c>
      <c r="U1817" s="29">
        <v>0</v>
      </c>
      <c r="V1817" s="383"/>
      <c r="W1817" s="741">
        <f t="shared" si="51"/>
        <v>1147.6000000000001</v>
      </c>
    </row>
    <row r="1818" spans="1:24" ht="15" customHeight="1">
      <c r="A1818" s="3">
        <v>38419</v>
      </c>
      <c r="B1818" s="4">
        <v>18200</v>
      </c>
      <c r="D1818" s="5">
        <v>3650</v>
      </c>
      <c r="E1818" s="5">
        <f t="shared" si="53"/>
        <v>11525</v>
      </c>
      <c r="F1818" s="5">
        <v>33375</v>
      </c>
      <c r="K1818" s="24">
        <v>1033.5</v>
      </c>
      <c r="L1818" s="6">
        <v>990</v>
      </c>
      <c r="M1818" s="270">
        <f t="shared" si="52"/>
        <v>-43.5</v>
      </c>
      <c r="N1818" s="7"/>
      <c r="O1818" s="277"/>
      <c r="P1818" s="345">
        <v>9500</v>
      </c>
      <c r="Q1818" s="28">
        <v>0.1208</v>
      </c>
      <c r="U1818" s="29">
        <v>0</v>
      </c>
      <c r="V1818" s="383"/>
      <c r="W1818" s="741">
        <f t="shared" si="51"/>
        <v>1147.6000000000001</v>
      </c>
    </row>
    <row r="1819" spans="1:24" ht="15" customHeight="1">
      <c r="A1819" s="3">
        <v>38420</v>
      </c>
      <c r="B1819" s="4">
        <v>18200</v>
      </c>
      <c r="D1819" s="5">
        <v>3550</v>
      </c>
      <c r="E1819" s="5">
        <f t="shared" si="53"/>
        <v>11525</v>
      </c>
      <c r="F1819" s="5">
        <v>33275</v>
      </c>
      <c r="K1819" s="24">
        <v>1016</v>
      </c>
      <c r="L1819" s="6">
        <v>975.5</v>
      </c>
      <c r="M1819" s="270">
        <f t="shared" si="52"/>
        <v>-40.5</v>
      </c>
      <c r="N1819" s="7"/>
      <c r="O1819" s="277"/>
      <c r="P1819" s="345">
        <v>9500</v>
      </c>
      <c r="Q1819" s="28">
        <v>0.1208</v>
      </c>
      <c r="U1819" s="29">
        <v>0</v>
      </c>
      <c r="V1819" s="383"/>
      <c r="W1819" s="741">
        <f t="shared" si="51"/>
        <v>1147.6000000000001</v>
      </c>
    </row>
    <row r="1820" spans="1:24" ht="15" customHeight="1">
      <c r="A1820" s="3">
        <v>38421</v>
      </c>
      <c r="B1820" s="4">
        <v>18175</v>
      </c>
      <c r="D1820" s="5">
        <v>3500</v>
      </c>
      <c r="E1820" s="5">
        <f t="shared" si="53"/>
        <v>11525</v>
      </c>
      <c r="F1820" s="5">
        <v>33200</v>
      </c>
      <c r="K1820" s="24">
        <v>1020</v>
      </c>
      <c r="L1820" s="6">
        <v>971</v>
      </c>
      <c r="M1820" s="270">
        <f t="shared" si="52"/>
        <v>-49</v>
      </c>
      <c r="N1820" s="7"/>
      <c r="O1820" s="277"/>
      <c r="P1820" s="345">
        <v>9500</v>
      </c>
      <c r="Q1820" s="28">
        <v>0.1208</v>
      </c>
      <c r="U1820" s="29">
        <v>0</v>
      </c>
      <c r="V1820" s="383"/>
      <c r="W1820" s="741">
        <f t="shared" si="51"/>
        <v>1147.6000000000001</v>
      </c>
    </row>
    <row r="1821" spans="1:24" ht="15" customHeight="1">
      <c r="A1821" s="3">
        <v>38422</v>
      </c>
      <c r="B1821" s="4">
        <v>18175</v>
      </c>
      <c r="D1821" s="5">
        <v>3350</v>
      </c>
      <c r="E1821" s="5">
        <f t="shared" si="53"/>
        <v>11525</v>
      </c>
      <c r="F1821" s="5">
        <v>33050</v>
      </c>
      <c r="K1821" s="24">
        <v>1015</v>
      </c>
      <c r="L1821" s="6">
        <v>975</v>
      </c>
      <c r="M1821" s="270">
        <f t="shared" si="52"/>
        <v>-40</v>
      </c>
      <c r="N1821" s="7"/>
      <c r="O1821" s="277"/>
      <c r="P1821" s="345">
        <v>9500</v>
      </c>
      <c r="Q1821" s="28">
        <v>0.1208</v>
      </c>
      <c r="U1821" s="29">
        <v>0</v>
      </c>
      <c r="V1821" s="383"/>
      <c r="W1821" s="741">
        <f t="shared" si="51"/>
        <v>1147.6000000000001</v>
      </c>
    </row>
    <row r="1822" spans="1:24" ht="15" customHeight="1">
      <c r="A1822" s="3">
        <v>38425</v>
      </c>
      <c r="B1822" s="4">
        <v>18175</v>
      </c>
      <c r="D1822" s="5">
        <v>3325</v>
      </c>
      <c r="E1822" s="5">
        <f t="shared" si="53"/>
        <v>11525</v>
      </c>
      <c r="F1822" s="5">
        <v>33025</v>
      </c>
      <c r="K1822" s="24">
        <v>1009</v>
      </c>
      <c r="L1822" s="6">
        <v>975</v>
      </c>
      <c r="M1822" s="270">
        <f t="shared" si="52"/>
        <v>-34</v>
      </c>
      <c r="N1822" s="7"/>
      <c r="O1822" s="277"/>
      <c r="P1822" s="345">
        <v>9500</v>
      </c>
      <c r="Q1822" s="28">
        <v>0.1208</v>
      </c>
      <c r="U1822" s="29">
        <v>0</v>
      </c>
      <c r="V1822" s="383"/>
      <c r="W1822" s="741">
        <f t="shared" si="51"/>
        <v>1147.6000000000001</v>
      </c>
    </row>
    <row r="1823" spans="1:24" ht="15" customHeight="1">
      <c r="A1823" s="3">
        <v>38426</v>
      </c>
      <c r="B1823" s="4">
        <v>18975</v>
      </c>
      <c r="D1823" s="5">
        <v>3325</v>
      </c>
      <c r="E1823" s="5">
        <f t="shared" si="53"/>
        <v>11425</v>
      </c>
      <c r="F1823" s="5">
        <v>33725</v>
      </c>
      <c r="K1823" s="24">
        <v>1009</v>
      </c>
      <c r="L1823" s="6">
        <v>974</v>
      </c>
      <c r="M1823" s="270">
        <f t="shared" si="52"/>
        <v>-35</v>
      </c>
      <c r="N1823" s="7"/>
      <c r="O1823" s="277"/>
      <c r="P1823" s="345">
        <v>9475</v>
      </c>
      <c r="Q1823" s="28">
        <v>0.1208</v>
      </c>
      <c r="U1823" s="29">
        <v>0</v>
      </c>
      <c r="V1823" s="383"/>
      <c r="W1823" s="741">
        <f t="shared" si="51"/>
        <v>1144.5800000000002</v>
      </c>
    </row>
    <row r="1824" spans="1:24" ht="15" customHeight="1">
      <c r="A1824" s="3">
        <v>38427</v>
      </c>
      <c r="B1824" s="4">
        <v>18950</v>
      </c>
      <c r="D1824" s="5">
        <v>3000</v>
      </c>
      <c r="E1824" s="5">
        <f t="shared" si="53"/>
        <v>11525</v>
      </c>
      <c r="F1824" s="5">
        <v>33475</v>
      </c>
      <c r="K1824" s="24">
        <v>1007</v>
      </c>
      <c r="L1824" s="6">
        <v>974</v>
      </c>
      <c r="M1824" s="270">
        <f t="shared" si="52"/>
        <v>-33</v>
      </c>
      <c r="N1824" s="7"/>
      <c r="O1824" s="277"/>
      <c r="P1824" s="345">
        <v>9475</v>
      </c>
      <c r="Q1824" s="28">
        <v>0.1208</v>
      </c>
      <c r="U1824" s="29">
        <v>0</v>
      </c>
      <c r="V1824" s="383"/>
      <c r="W1824" s="741">
        <f t="shared" si="51"/>
        <v>1144.5800000000002</v>
      </c>
    </row>
    <row r="1825" spans="1:24" ht="15" customHeight="1">
      <c r="A1825" s="3">
        <v>38428</v>
      </c>
      <c r="B1825" s="4">
        <v>18950</v>
      </c>
      <c r="D1825" s="5">
        <v>2775</v>
      </c>
      <c r="E1825" s="5">
        <f t="shared" si="53"/>
        <v>11525</v>
      </c>
      <c r="F1825" s="5">
        <v>33250</v>
      </c>
      <c r="K1825" s="24">
        <v>1002</v>
      </c>
      <c r="L1825" s="6">
        <v>968</v>
      </c>
      <c r="M1825" s="270">
        <f t="shared" si="52"/>
        <v>-34</v>
      </c>
      <c r="N1825" s="7"/>
      <c r="O1825" s="277"/>
      <c r="P1825" s="345">
        <v>9475</v>
      </c>
      <c r="Q1825" s="28">
        <v>0.1208</v>
      </c>
      <c r="U1825" s="29">
        <v>0</v>
      </c>
      <c r="V1825" s="383"/>
      <c r="W1825" s="741">
        <f t="shared" si="51"/>
        <v>1144.5800000000002</v>
      </c>
    </row>
    <row r="1826" spans="1:24" ht="15" customHeight="1">
      <c r="A1826" s="3">
        <v>38429</v>
      </c>
      <c r="B1826" s="4">
        <v>18950</v>
      </c>
      <c r="D1826" s="5">
        <v>2700</v>
      </c>
      <c r="E1826" s="5">
        <f t="shared" si="53"/>
        <v>11500</v>
      </c>
      <c r="F1826" s="5">
        <v>33150</v>
      </c>
      <c r="K1826" s="24">
        <v>989</v>
      </c>
      <c r="L1826" s="6">
        <v>955</v>
      </c>
      <c r="M1826" s="270">
        <f t="shared" si="52"/>
        <v>-34</v>
      </c>
      <c r="N1826" s="7"/>
      <c r="O1826" s="277"/>
      <c r="P1826" s="345">
        <v>9475</v>
      </c>
      <c r="Q1826" s="28">
        <v>0.1208</v>
      </c>
      <c r="U1826" s="29">
        <v>0</v>
      </c>
      <c r="V1826" s="383"/>
      <c r="W1826" s="741">
        <f t="shared" si="51"/>
        <v>1144.5800000000002</v>
      </c>
    </row>
    <row r="1827" spans="1:24" ht="15" customHeight="1">
      <c r="A1827" s="3">
        <v>38432</v>
      </c>
      <c r="B1827" s="4">
        <v>18825</v>
      </c>
      <c r="D1827" s="5">
        <v>2700</v>
      </c>
      <c r="E1827" s="5">
        <f t="shared" si="53"/>
        <v>11500</v>
      </c>
      <c r="F1827" s="5">
        <v>33025</v>
      </c>
      <c r="K1827" s="24">
        <v>1008.5</v>
      </c>
      <c r="L1827" s="6">
        <v>970</v>
      </c>
      <c r="M1827" s="270">
        <f t="shared" si="52"/>
        <v>-38.5</v>
      </c>
      <c r="N1827" s="7"/>
      <c r="O1827" s="277"/>
      <c r="P1827" s="345">
        <v>9475</v>
      </c>
      <c r="Q1827" s="28">
        <v>0.1208</v>
      </c>
      <c r="U1827" s="29">
        <v>0</v>
      </c>
      <c r="V1827" s="383"/>
      <c r="W1827" s="741">
        <f t="shared" si="51"/>
        <v>1144.5800000000002</v>
      </c>
    </row>
    <row r="1828" spans="1:24" ht="15" customHeight="1">
      <c r="A1828" s="3">
        <v>38433</v>
      </c>
      <c r="B1828" s="4">
        <v>18700</v>
      </c>
      <c r="D1828" s="5">
        <v>2700</v>
      </c>
      <c r="E1828" s="5">
        <f t="shared" si="53"/>
        <v>11450</v>
      </c>
      <c r="F1828" s="5">
        <v>32850</v>
      </c>
      <c r="K1828" s="24">
        <v>994</v>
      </c>
      <c r="L1828" s="6">
        <v>965</v>
      </c>
      <c r="M1828" s="270">
        <f t="shared" si="52"/>
        <v>-29</v>
      </c>
      <c r="N1828" s="7"/>
      <c r="O1828" s="277"/>
      <c r="P1828" s="345">
        <v>9425</v>
      </c>
      <c r="Q1828" s="28">
        <v>0.1208</v>
      </c>
      <c r="U1828" s="29">
        <v>0</v>
      </c>
      <c r="V1828" s="383"/>
      <c r="W1828" s="741">
        <f t="shared" si="51"/>
        <v>1138.54</v>
      </c>
    </row>
    <row r="1829" spans="1:24" ht="15" customHeight="1">
      <c r="A1829" s="3">
        <v>38434</v>
      </c>
      <c r="B1829" s="4">
        <v>19150</v>
      </c>
      <c r="D1829" s="5">
        <v>2625</v>
      </c>
      <c r="E1829" s="5">
        <f t="shared" si="53"/>
        <v>11425</v>
      </c>
      <c r="F1829" s="5">
        <v>33200</v>
      </c>
      <c r="K1829" s="24">
        <v>1005</v>
      </c>
      <c r="L1829" s="6">
        <v>965</v>
      </c>
      <c r="M1829" s="270">
        <f t="shared" si="52"/>
        <v>-40</v>
      </c>
      <c r="N1829" s="7"/>
      <c r="O1829" s="277"/>
      <c r="P1829" s="345">
        <v>9425</v>
      </c>
      <c r="Q1829" s="28">
        <v>0.1208</v>
      </c>
      <c r="U1829" s="29">
        <v>0</v>
      </c>
      <c r="V1829" s="383"/>
      <c r="W1829" s="741">
        <f t="shared" si="51"/>
        <v>1138.54</v>
      </c>
    </row>
    <row r="1830" spans="1:24" ht="15" customHeight="1">
      <c r="A1830" s="3">
        <v>38435</v>
      </c>
      <c r="B1830" s="4">
        <v>19175</v>
      </c>
      <c r="D1830" s="5">
        <v>2600</v>
      </c>
      <c r="E1830" s="5">
        <f t="shared" si="53"/>
        <v>11425</v>
      </c>
      <c r="F1830" s="5">
        <v>33200</v>
      </c>
      <c r="K1830" s="24">
        <v>992</v>
      </c>
      <c r="L1830" s="6">
        <v>955</v>
      </c>
      <c r="M1830" s="270">
        <f t="shared" si="52"/>
        <v>-37</v>
      </c>
      <c r="N1830" s="7"/>
      <c r="O1830" s="277"/>
      <c r="P1830" s="345">
        <v>9400</v>
      </c>
      <c r="Q1830" s="28">
        <v>0.1208</v>
      </c>
      <c r="U1830" s="29">
        <v>0</v>
      </c>
      <c r="V1830" s="383"/>
      <c r="W1830" s="741">
        <f t="shared" si="51"/>
        <v>1135.52</v>
      </c>
    </row>
    <row r="1831" spans="1:24" ht="15" customHeight="1">
      <c r="A1831" s="3">
        <v>38440</v>
      </c>
      <c r="B1831" s="4">
        <v>19025</v>
      </c>
      <c r="D1831" s="5">
        <v>2550</v>
      </c>
      <c r="E1831" s="5">
        <f t="shared" si="53"/>
        <v>11425</v>
      </c>
      <c r="F1831" s="5">
        <v>33000</v>
      </c>
      <c r="K1831" s="24">
        <v>999</v>
      </c>
      <c r="L1831" s="6">
        <v>955</v>
      </c>
      <c r="M1831" s="270">
        <f t="shared" si="52"/>
        <v>-44</v>
      </c>
      <c r="N1831" s="7"/>
      <c r="O1831" s="277"/>
      <c r="P1831" s="345">
        <v>9425</v>
      </c>
      <c r="Q1831" s="28">
        <v>0.1208</v>
      </c>
      <c r="U1831" s="29">
        <v>0</v>
      </c>
      <c r="V1831" s="383"/>
      <c r="W1831" s="741">
        <f t="shared" si="51"/>
        <v>1138.54</v>
      </c>
    </row>
    <row r="1832" spans="1:24" ht="15" customHeight="1">
      <c r="A1832" s="3">
        <v>38441</v>
      </c>
      <c r="B1832" s="4">
        <v>19375</v>
      </c>
      <c r="D1832" s="5">
        <v>2525</v>
      </c>
      <c r="E1832" s="5">
        <f t="shared" si="53"/>
        <v>11425</v>
      </c>
      <c r="F1832" s="5">
        <v>33325</v>
      </c>
      <c r="K1832" s="24">
        <v>998</v>
      </c>
      <c r="L1832" s="6">
        <v>963</v>
      </c>
      <c r="M1832" s="270">
        <f t="shared" si="52"/>
        <v>-35</v>
      </c>
      <c r="N1832" s="7"/>
      <c r="O1832" s="277"/>
      <c r="P1832" s="345">
        <v>9425</v>
      </c>
      <c r="Q1832" s="28">
        <v>0.1208</v>
      </c>
      <c r="U1832" s="29">
        <v>0</v>
      </c>
      <c r="V1832" s="383"/>
      <c r="W1832" s="741">
        <f t="shared" si="51"/>
        <v>1138.54</v>
      </c>
    </row>
    <row r="1833" spans="1:24" ht="15" customHeight="1" thickBot="1">
      <c r="A1833" s="12">
        <v>38442</v>
      </c>
      <c r="B1833" s="13">
        <v>19325</v>
      </c>
      <c r="C1833" s="13"/>
      <c r="D1833" s="14">
        <v>2525</v>
      </c>
      <c r="E1833" s="14">
        <f t="shared" si="53"/>
        <v>11425</v>
      </c>
      <c r="F1833" s="14">
        <v>33275</v>
      </c>
      <c r="G1833" s="14"/>
      <c r="H1833" s="14"/>
      <c r="I1833" s="14"/>
      <c r="J1833" s="264"/>
      <c r="K1833" s="25">
        <v>1023</v>
      </c>
      <c r="L1833" s="15">
        <v>985</v>
      </c>
      <c r="M1833" s="271">
        <f t="shared" si="52"/>
        <v>-38</v>
      </c>
      <c r="N1833" s="20">
        <f>AVERAGE(K1813:K1833)</f>
        <v>1005.8333333333334</v>
      </c>
      <c r="O1833" s="278"/>
      <c r="P1833" s="346">
        <v>9425</v>
      </c>
      <c r="Q1833" s="30">
        <v>0.1208</v>
      </c>
      <c r="R1833" s="30"/>
      <c r="S1833" s="30"/>
      <c r="T1833" s="30"/>
      <c r="U1833" s="31">
        <v>0</v>
      </c>
      <c r="V1833" s="740">
        <f>AVERAGE(P1813:P1833)</f>
        <v>9471.9047619047615</v>
      </c>
      <c r="W1833" s="741">
        <f t="shared" si="51"/>
        <v>1138.54</v>
      </c>
      <c r="X1833" s="33"/>
    </row>
    <row r="1834" spans="1:24" ht="15" customHeight="1">
      <c r="A1834" s="3">
        <v>38443</v>
      </c>
      <c r="B1834" s="4">
        <v>19325</v>
      </c>
      <c r="D1834" s="5">
        <v>2525</v>
      </c>
      <c r="E1834" s="5">
        <f t="shared" si="53"/>
        <v>11425</v>
      </c>
      <c r="F1834" s="5">
        <v>33275</v>
      </c>
      <c r="K1834" s="24">
        <v>1002</v>
      </c>
      <c r="L1834" s="6">
        <v>967</v>
      </c>
      <c r="M1834" s="270">
        <f t="shared" si="52"/>
        <v>-35</v>
      </c>
      <c r="N1834" s="7"/>
      <c r="O1834" s="277"/>
      <c r="P1834" s="345">
        <v>9425</v>
      </c>
      <c r="Q1834" s="28">
        <v>0.1208</v>
      </c>
      <c r="U1834" s="29">
        <v>0</v>
      </c>
      <c r="V1834" s="383"/>
      <c r="W1834" s="741">
        <f t="shared" si="51"/>
        <v>1138.54</v>
      </c>
    </row>
    <row r="1835" spans="1:24" ht="15" customHeight="1">
      <c r="A1835" s="3">
        <v>38446</v>
      </c>
      <c r="B1835" s="4">
        <v>19225</v>
      </c>
      <c r="D1835" s="5">
        <v>2525</v>
      </c>
      <c r="E1835" s="5">
        <f t="shared" si="53"/>
        <v>11425</v>
      </c>
      <c r="F1835" s="5">
        <v>33175</v>
      </c>
      <c r="K1835" s="24">
        <v>978.5</v>
      </c>
      <c r="L1835" s="6">
        <v>946</v>
      </c>
      <c r="M1835" s="270">
        <f t="shared" si="52"/>
        <v>-32.5</v>
      </c>
      <c r="N1835" s="7"/>
      <c r="O1835" s="277"/>
      <c r="P1835" s="345">
        <v>9400</v>
      </c>
      <c r="Q1835" s="28">
        <v>0.1208</v>
      </c>
      <c r="U1835" s="29">
        <v>0</v>
      </c>
      <c r="V1835" s="383"/>
      <c r="W1835" s="741">
        <f t="shared" si="51"/>
        <v>1135.52</v>
      </c>
    </row>
    <row r="1836" spans="1:24" ht="15" customHeight="1">
      <c r="A1836" s="3">
        <v>38447</v>
      </c>
      <c r="B1836" s="4">
        <v>18875</v>
      </c>
      <c r="D1836" s="5">
        <v>2425</v>
      </c>
      <c r="E1836" s="5">
        <f t="shared" si="53"/>
        <v>11425</v>
      </c>
      <c r="F1836" s="5">
        <v>32725</v>
      </c>
      <c r="K1836" s="24">
        <v>970</v>
      </c>
      <c r="L1836" s="6">
        <v>932</v>
      </c>
      <c r="M1836" s="270">
        <f t="shared" si="52"/>
        <v>-38</v>
      </c>
      <c r="N1836" s="7"/>
      <c r="O1836" s="277"/>
      <c r="P1836" s="345">
        <v>9400</v>
      </c>
      <c r="Q1836" s="28">
        <v>0.1208</v>
      </c>
      <c r="U1836" s="29">
        <v>0</v>
      </c>
      <c r="V1836" s="383"/>
      <c r="W1836" s="741">
        <f t="shared" si="51"/>
        <v>1135.52</v>
      </c>
    </row>
    <row r="1837" spans="1:24" ht="15" customHeight="1">
      <c r="A1837" s="3">
        <v>38448</v>
      </c>
      <c r="B1837" s="4">
        <v>18825</v>
      </c>
      <c r="D1837" s="5">
        <v>2325</v>
      </c>
      <c r="E1837" s="5">
        <f t="shared" si="53"/>
        <v>11300</v>
      </c>
      <c r="F1837" s="5">
        <v>32450</v>
      </c>
      <c r="K1837" s="24">
        <v>983</v>
      </c>
      <c r="L1837" s="6">
        <v>954</v>
      </c>
      <c r="M1837" s="270">
        <f t="shared" si="52"/>
        <v>-29</v>
      </c>
      <c r="N1837" s="7"/>
      <c r="O1837" s="277"/>
      <c r="P1837" s="345">
        <v>9400</v>
      </c>
      <c r="Q1837" s="28">
        <v>0.1208</v>
      </c>
      <c r="U1837" s="29">
        <v>0</v>
      </c>
      <c r="V1837" s="383"/>
      <c r="W1837" s="741">
        <f t="shared" ref="W1837:W1900" si="54">(P1837*Q1837)*(1+U1837)</f>
        <v>1135.52</v>
      </c>
    </row>
    <row r="1838" spans="1:24" ht="15" customHeight="1">
      <c r="A1838" s="3">
        <v>38449</v>
      </c>
      <c r="B1838" s="4">
        <v>19250</v>
      </c>
      <c r="D1838" s="5">
        <v>2050</v>
      </c>
      <c r="E1838" s="5">
        <f t="shared" si="53"/>
        <v>11250</v>
      </c>
      <c r="F1838" s="5">
        <v>32550</v>
      </c>
      <c r="K1838" s="24">
        <v>997</v>
      </c>
      <c r="L1838" s="6">
        <v>967</v>
      </c>
      <c r="M1838" s="270">
        <f t="shared" si="52"/>
        <v>-30</v>
      </c>
      <c r="N1838" s="7"/>
      <c r="O1838" s="277"/>
      <c r="P1838" s="345">
        <v>9400</v>
      </c>
      <c r="Q1838" s="28">
        <v>0.1208</v>
      </c>
      <c r="U1838" s="29">
        <v>0</v>
      </c>
      <c r="V1838" s="383"/>
      <c r="W1838" s="741">
        <f t="shared" si="54"/>
        <v>1135.52</v>
      </c>
    </row>
    <row r="1839" spans="1:24" ht="16.5" customHeight="1">
      <c r="A1839" s="3">
        <v>38450</v>
      </c>
      <c r="B1839" s="4">
        <v>18925</v>
      </c>
      <c r="D1839" s="5">
        <v>1775</v>
      </c>
      <c r="E1839" s="5">
        <f t="shared" si="53"/>
        <v>11125</v>
      </c>
      <c r="F1839" s="5">
        <v>31825</v>
      </c>
      <c r="K1839" s="24">
        <v>995</v>
      </c>
      <c r="L1839" s="6">
        <v>962</v>
      </c>
      <c r="M1839" s="270">
        <f t="shared" si="52"/>
        <v>-33</v>
      </c>
      <c r="N1839" s="7"/>
      <c r="O1839" s="277"/>
      <c r="P1839" s="345">
        <v>9400</v>
      </c>
      <c r="Q1839" s="28">
        <v>0.1208</v>
      </c>
      <c r="U1839" s="29">
        <v>0</v>
      </c>
      <c r="V1839" s="383"/>
      <c r="W1839" s="741">
        <f t="shared" si="54"/>
        <v>1135.52</v>
      </c>
    </row>
    <row r="1840" spans="1:24" ht="15" customHeight="1">
      <c r="A1840" s="3">
        <v>38453</v>
      </c>
      <c r="B1840" s="4">
        <v>18925</v>
      </c>
      <c r="D1840" s="5">
        <v>1700</v>
      </c>
      <c r="E1840" s="5">
        <f t="shared" si="53"/>
        <v>11000</v>
      </c>
      <c r="F1840" s="5">
        <v>31625</v>
      </c>
      <c r="K1840" s="24">
        <v>1005.5</v>
      </c>
      <c r="L1840" s="6">
        <v>976</v>
      </c>
      <c r="M1840" s="270">
        <f t="shared" si="52"/>
        <v>-29.5</v>
      </c>
      <c r="N1840" s="7"/>
      <c r="O1840" s="277"/>
      <c r="P1840" s="345">
        <v>9400</v>
      </c>
      <c r="Q1840" s="28">
        <v>0.1208</v>
      </c>
      <c r="U1840" s="29">
        <v>0</v>
      </c>
      <c r="V1840" s="383"/>
      <c r="W1840" s="741">
        <f t="shared" si="54"/>
        <v>1135.52</v>
      </c>
    </row>
    <row r="1841" spans="1:24" ht="15" customHeight="1">
      <c r="A1841" s="3">
        <v>38454</v>
      </c>
      <c r="B1841" s="4">
        <v>19125</v>
      </c>
      <c r="D1841" s="5">
        <v>1700</v>
      </c>
      <c r="E1841" s="5">
        <f t="shared" si="53"/>
        <v>11000</v>
      </c>
      <c r="F1841" s="5">
        <v>31825</v>
      </c>
      <c r="K1841" s="24">
        <v>1012.5</v>
      </c>
      <c r="L1841" s="6">
        <v>978</v>
      </c>
      <c r="M1841" s="270">
        <f t="shared" si="52"/>
        <v>-34.5</v>
      </c>
      <c r="N1841" s="7"/>
      <c r="O1841" s="277"/>
      <c r="P1841" s="345">
        <v>9400</v>
      </c>
      <c r="Q1841" s="28">
        <v>0.1208</v>
      </c>
      <c r="U1841" s="29">
        <v>0</v>
      </c>
      <c r="V1841" s="383"/>
      <c r="W1841" s="741">
        <f t="shared" si="54"/>
        <v>1135.52</v>
      </c>
    </row>
    <row r="1842" spans="1:24" ht="15" customHeight="1">
      <c r="A1842" s="3">
        <v>38455</v>
      </c>
      <c r="B1842" s="4">
        <v>18975</v>
      </c>
      <c r="D1842" s="5">
        <v>1625</v>
      </c>
      <c r="E1842" s="5">
        <f t="shared" si="53"/>
        <v>10875</v>
      </c>
      <c r="F1842" s="5">
        <v>31475</v>
      </c>
      <c r="K1842" s="24">
        <v>986</v>
      </c>
      <c r="L1842" s="6">
        <v>947</v>
      </c>
      <c r="M1842" s="270">
        <f t="shared" si="52"/>
        <v>-39</v>
      </c>
      <c r="N1842" s="7"/>
      <c r="O1842" s="277"/>
      <c r="P1842" s="345">
        <v>9400</v>
      </c>
      <c r="Q1842" s="28">
        <v>0.1208</v>
      </c>
      <c r="U1842" s="29">
        <v>0</v>
      </c>
      <c r="V1842" s="383"/>
      <c r="W1842" s="741">
        <f t="shared" si="54"/>
        <v>1135.52</v>
      </c>
    </row>
    <row r="1843" spans="1:24" ht="15" customHeight="1">
      <c r="A1843" s="3">
        <v>38456</v>
      </c>
      <c r="B1843" s="4">
        <v>18850</v>
      </c>
      <c r="D1843" s="5">
        <v>1625</v>
      </c>
      <c r="E1843" s="5">
        <f t="shared" si="53"/>
        <v>10725</v>
      </c>
      <c r="F1843" s="5">
        <v>31200</v>
      </c>
      <c r="K1843" s="24">
        <v>955</v>
      </c>
      <c r="L1843" s="6">
        <v>907</v>
      </c>
      <c r="M1843" s="270">
        <f t="shared" si="52"/>
        <v>-48</v>
      </c>
      <c r="N1843" s="7"/>
      <c r="O1843" s="277"/>
      <c r="P1843" s="345">
        <v>9390</v>
      </c>
      <c r="Q1843" s="28">
        <v>0.1208</v>
      </c>
      <c r="U1843" s="29">
        <v>0</v>
      </c>
      <c r="V1843" s="383"/>
      <c r="W1843" s="741">
        <f t="shared" si="54"/>
        <v>1134.3120000000001</v>
      </c>
    </row>
    <row r="1844" spans="1:24" ht="15" customHeight="1">
      <c r="A1844" s="3">
        <v>38457</v>
      </c>
      <c r="B1844" s="4">
        <v>18850</v>
      </c>
      <c r="D1844" s="5">
        <v>1625</v>
      </c>
      <c r="E1844" s="5">
        <f t="shared" si="53"/>
        <v>10525</v>
      </c>
      <c r="F1844" s="5">
        <v>31000</v>
      </c>
      <c r="K1844" s="24">
        <v>949.5</v>
      </c>
      <c r="L1844" s="6">
        <v>911.5</v>
      </c>
      <c r="M1844" s="270">
        <f t="shared" si="52"/>
        <v>-38</v>
      </c>
      <c r="N1844" s="7"/>
      <c r="O1844" s="277"/>
      <c r="P1844" s="345">
        <v>9390</v>
      </c>
      <c r="Q1844" s="28">
        <v>0.1208</v>
      </c>
      <c r="U1844" s="29">
        <v>0</v>
      </c>
      <c r="V1844" s="383"/>
      <c r="W1844" s="741">
        <f t="shared" si="54"/>
        <v>1134.3120000000001</v>
      </c>
    </row>
    <row r="1845" spans="1:24" ht="15" customHeight="1">
      <c r="A1845" s="3">
        <v>38458</v>
      </c>
      <c r="B1845" s="4">
        <v>19875</v>
      </c>
      <c r="D1845" s="5">
        <v>1625</v>
      </c>
      <c r="E1845" s="5">
        <f t="shared" si="53"/>
        <v>10425</v>
      </c>
      <c r="F1845" s="5">
        <v>31925</v>
      </c>
      <c r="K1845" s="24">
        <v>955.5</v>
      </c>
      <c r="L1845" s="6">
        <v>914</v>
      </c>
      <c r="M1845" s="270">
        <f t="shared" si="52"/>
        <v>-41.5</v>
      </c>
      <c r="N1845" s="7"/>
      <c r="O1845" s="277"/>
      <c r="P1845" s="347">
        <v>9390</v>
      </c>
      <c r="Q1845" s="28">
        <v>0.1208</v>
      </c>
      <c r="U1845" s="29">
        <v>0</v>
      </c>
      <c r="V1845" s="383"/>
      <c r="W1845" s="741">
        <f t="shared" si="54"/>
        <v>1134.3120000000001</v>
      </c>
    </row>
    <row r="1846" spans="1:24" ht="15" customHeight="1">
      <c r="A1846" s="3">
        <v>38461</v>
      </c>
      <c r="B1846" s="4">
        <v>19850</v>
      </c>
      <c r="D1846" s="5">
        <v>1625</v>
      </c>
      <c r="E1846" s="5">
        <f t="shared" si="53"/>
        <v>10325</v>
      </c>
      <c r="F1846" s="5">
        <v>31800</v>
      </c>
      <c r="K1846" s="24">
        <v>972</v>
      </c>
      <c r="L1846" s="6">
        <v>929</v>
      </c>
      <c r="M1846" s="270">
        <f t="shared" si="52"/>
        <v>-43</v>
      </c>
      <c r="N1846" s="7"/>
      <c r="O1846" s="277"/>
      <c r="P1846" s="345">
        <v>9400</v>
      </c>
      <c r="Q1846" s="28">
        <v>0.1208</v>
      </c>
      <c r="U1846" s="29">
        <v>0</v>
      </c>
      <c r="V1846" s="383"/>
      <c r="W1846" s="741">
        <f t="shared" si="54"/>
        <v>1135.52</v>
      </c>
    </row>
    <row r="1847" spans="1:24" ht="15" customHeight="1">
      <c r="A1847" s="3">
        <v>38462</v>
      </c>
      <c r="B1847" s="4">
        <v>21800</v>
      </c>
      <c r="D1847" s="5">
        <v>1500</v>
      </c>
      <c r="E1847" s="5">
        <f t="shared" si="53"/>
        <v>10200</v>
      </c>
      <c r="F1847" s="5">
        <v>33500</v>
      </c>
      <c r="K1847" s="24">
        <v>985</v>
      </c>
      <c r="L1847" s="6">
        <v>943</v>
      </c>
      <c r="M1847" s="270">
        <f t="shared" ref="M1847:M1910" si="55">L1847-K1847</f>
        <v>-42</v>
      </c>
      <c r="N1847" s="7"/>
      <c r="O1847" s="277"/>
      <c r="P1847" s="345">
        <v>9400</v>
      </c>
      <c r="Q1847" s="28">
        <v>0.1208</v>
      </c>
      <c r="U1847" s="29">
        <v>0</v>
      </c>
      <c r="V1847" s="383"/>
      <c r="W1847" s="741">
        <f t="shared" si="54"/>
        <v>1135.52</v>
      </c>
    </row>
    <row r="1848" spans="1:24" ht="15" customHeight="1">
      <c r="A1848" s="3">
        <v>38463</v>
      </c>
      <c r="B1848" s="4">
        <v>21800</v>
      </c>
      <c r="D1848" s="5">
        <v>1275</v>
      </c>
      <c r="E1848" s="5">
        <f t="shared" si="53"/>
        <v>10100</v>
      </c>
      <c r="F1848" s="5">
        <v>33175</v>
      </c>
      <c r="K1848" s="24">
        <v>980.5</v>
      </c>
      <c r="L1848" s="6">
        <v>940</v>
      </c>
      <c r="M1848" s="270">
        <f t="shared" si="55"/>
        <v>-40.5</v>
      </c>
      <c r="N1848" s="7"/>
      <c r="O1848" s="277"/>
      <c r="P1848" s="345">
        <v>9425</v>
      </c>
      <c r="Q1848" s="28">
        <v>0.1208</v>
      </c>
      <c r="U1848" s="29">
        <v>0</v>
      </c>
      <c r="V1848" s="383"/>
      <c r="W1848" s="741">
        <f t="shared" si="54"/>
        <v>1138.54</v>
      </c>
    </row>
    <row r="1849" spans="1:24" ht="15" customHeight="1">
      <c r="A1849" s="3">
        <v>38464</v>
      </c>
      <c r="B1849" s="4">
        <v>22100</v>
      </c>
      <c r="D1849" s="5">
        <v>1275</v>
      </c>
      <c r="E1849" s="5">
        <f t="shared" si="53"/>
        <v>9975</v>
      </c>
      <c r="F1849" s="5">
        <v>33350</v>
      </c>
      <c r="K1849" s="24">
        <v>995</v>
      </c>
      <c r="L1849" s="6">
        <v>944</v>
      </c>
      <c r="M1849" s="270">
        <f t="shared" si="55"/>
        <v>-51</v>
      </c>
      <c r="N1849" s="7"/>
      <c r="O1849" s="277"/>
      <c r="P1849" s="345">
        <v>9425</v>
      </c>
      <c r="Q1849" s="28">
        <v>0.1208</v>
      </c>
      <c r="U1849" s="29">
        <v>0</v>
      </c>
      <c r="V1849" s="383"/>
      <c r="W1849" s="741">
        <f t="shared" si="54"/>
        <v>1138.54</v>
      </c>
    </row>
    <row r="1850" spans="1:24" ht="15" customHeight="1">
      <c r="A1850" s="3">
        <v>38467</v>
      </c>
      <c r="B1850" s="4">
        <v>21775</v>
      </c>
      <c r="D1850" s="5">
        <v>1275</v>
      </c>
      <c r="E1850" s="5">
        <f t="shared" ref="E1850:E2020" si="56">F1850-(B1850+D1850)</f>
        <v>9850</v>
      </c>
      <c r="F1850" s="5">
        <v>32900</v>
      </c>
      <c r="K1850" s="24">
        <v>980.5</v>
      </c>
      <c r="L1850" s="6">
        <v>937</v>
      </c>
      <c r="M1850" s="270">
        <f t="shared" si="55"/>
        <v>-43.5</v>
      </c>
      <c r="N1850" s="7"/>
      <c r="O1850" s="277"/>
      <c r="P1850" s="345">
        <v>9425</v>
      </c>
      <c r="Q1850" s="28">
        <v>0.1208</v>
      </c>
      <c r="U1850" s="29">
        <v>0</v>
      </c>
      <c r="V1850" s="383"/>
      <c r="W1850" s="741">
        <f t="shared" si="54"/>
        <v>1138.54</v>
      </c>
    </row>
    <row r="1851" spans="1:24" ht="15" customHeight="1">
      <c r="A1851" s="3">
        <v>38468</v>
      </c>
      <c r="B1851" s="4">
        <v>21750</v>
      </c>
      <c r="D1851" s="5">
        <v>1275</v>
      </c>
      <c r="E1851" s="5">
        <f t="shared" si="56"/>
        <v>9850</v>
      </c>
      <c r="F1851" s="5">
        <v>32875</v>
      </c>
      <c r="K1851" s="24">
        <v>995</v>
      </c>
      <c r="L1851" s="6">
        <v>948</v>
      </c>
      <c r="M1851" s="270">
        <f t="shared" si="55"/>
        <v>-47</v>
      </c>
      <c r="N1851" s="7"/>
      <c r="O1851" s="277"/>
      <c r="P1851" s="345">
        <v>9400</v>
      </c>
      <c r="Q1851" s="28">
        <v>0.1208</v>
      </c>
      <c r="U1851" s="29">
        <v>0</v>
      </c>
      <c r="V1851" s="383"/>
      <c r="W1851" s="741">
        <f t="shared" si="54"/>
        <v>1135.52</v>
      </c>
    </row>
    <row r="1852" spans="1:24" ht="15" customHeight="1">
      <c r="A1852" s="3">
        <v>38469</v>
      </c>
      <c r="B1852" s="4">
        <v>22725</v>
      </c>
      <c r="D1852" s="5">
        <v>1225</v>
      </c>
      <c r="E1852" s="5">
        <f t="shared" si="56"/>
        <v>9750</v>
      </c>
      <c r="F1852" s="5">
        <v>33700</v>
      </c>
      <c r="K1852" s="24">
        <v>990.5</v>
      </c>
      <c r="L1852" s="6">
        <v>945</v>
      </c>
      <c r="M1852" s="270">
        <f t="shared" si="55"/>
        <v>-45.5</v>
      </c>
      <c r="N1852" s="7"/>
      <c r="O1852" s="277"/>
      <c r="P1852" s="345">
        <v>9400</v>
      </c>
      <c r="Q1852" s="28">
        <v>0.1208</v>
      </c>
      <c r="U1852" s="29">
        <v>0</v>
      </c>
      <c r="V1852" s="383"/>
      <c r="W1852" s="741">
        <f t="shared" si="54"/>
        <v>1135.52</v>
      </c>
    </row>
    <row r="1853" spans="1:24" ht="15" customHeight="1">
      <c r="A1853" s="3">
        <v>38470</v>
      </c>
      <c r="B1853" s="4">
        <v>22725</v>
      </c>
      <c r="D1853" s="5">
        <v>1225</v>
      </c>
      <c r="E1853" s="5">
        <f t="shared" si="56"/>
        <v>9750</v>
      </c>
      <c r="F1853" s="5">
        <v>33700</v>
      </c>
      <c r="K1853" s="24">
        <v>993</v>
      </c>
      <c r="L1853" s="6">
        <v>937</v>
      </c>
      <c r="M1853" s="270">
        <f t="shared" si="55"/>
        <v>-56</v>
      </c>
      <c r="N1853" s="19"/>
      <c r="O1853" s="277"/>
      <c r="P1853" s="345">
        <v>9400</v>
      </c>
      <c r="Q1853" s="28">
        <v>0.1208</v>
      </c>
      <c r="U1853" s="29">
        <v>0</v>
      </c>
      <c r="V1853" s="383"/>
      <c r="W1853" s="741">
        <f t="shared" si="54"/>
        <v>1135.52</v>
      </c>
    </row>
    <row r="1854" spans="1:24" ht="15" customHeight="1" thickBot="1">
      <c r="A1854" s="12">
        <v>38471</v>
      </c>
      <c r="B1854" s="13">
        <v>22675</v>
      </c>
      <c r="C1854" s="13"/>
      <c r="D1854" s="14">
        <v>1150</v>
      </c>
      <c r="E1854" s="14">
        <f t="shared" si="56"/>
        <v>9725</v>
      </c>
      <c r="F1854" s="14">
        <v>33550</v>
      </c>
      <c r="G1854" s="14"/>
      <c r="H1854" s="14"/>
      <c r="I1854" s="14"/>
      <c r="J1854" s="264"/>
      <c r="K1854" s="25">
        <v>1020</v>
      </c>
      <c r="L1854" s="15">
        <v>958.5</v>
      </c>
      <c r="M1854" s="271">
        <f t="shared" si="55"/>
        <v>-61.5</v>
      </c>
      <c r="N1854" s="20">
        <f>AVERAGE(K1834:K1854)</f>
        <v>985.76190476190482</v>
      </c>
      <c r="O1854" s="278"/>
      <c r="P1854" s="346">
        <v>9400</v>
      </c>
      <c r="Q1854" s="30">
        <v>0.1208</v>
      </c>
      <c r="R1854" s="30"/>
      <c r="S1854" s="30"/>
      <c r="T1854" s="30"/>
      <c r="U1854" s="31">
        <v>0</v>
      </c>
      <c r="V1854" s="740">
        <f>AVERAGE(P1834:P1844,P1846:P1854)</f>
        <v>9404</v>
      </c>
      <c r="W1854" s="741">
        <f t="shared" si="54"/>
        <v>1135.52</v>
      </c>
      <c r="X1854" s="33"/>
    </row>
    <row r="1855" spans="1:24" ht="15" customHeight="1">
      <c r="A1855" s="3">
        <v>38475</v>
      </c>
      <c r="B1855" s="4">
        <v>21900</v>
      </c>
      <c r="D1855" s="5">
        <v>1150</v>
      </c>
      <c r="E1855" s="5">
        <f t="shared" si="56"/>
        <v>9650</v>
      </c>
      <c r="F1855" s="5">
        <v>32700</v>
      </c>
      <c r="K1855" s="24">
        <v>991</v>
      </c>
      <c r="L1855" s="6">
        <v>932</v>
      </c>
      <c r="M1855" s="270">
        <f t="shared" si="55"/>
        <v>-59</v>
      </c>
      <c r="N1855" s="19"/>
      <c r="O1855" s="277"/>
      <c r="P1855" s="347">
        <v>9400</v>
      </c>
      <c r="Q1855" s="28">
        <v>0.1208</v>
      </c>
      <c r="U1855" s="29">
        <v>0</v>
      </c>
      <c r="V1855" s="383"/>
      <c r="W1855" s="741">
        <f t="shared" si="54"/>
        <v>1135.52</v>
      </c>
    </row>
    <row r="1856" spans="1:24" ht="15" customHeight="1">
      <c r="A1856" s="3">
        <v>38476</v>
      </c>
      <c r="B1856" s="4">
        <v>21175</v>
      </c>
      <c r="D1856" s="5">
        <v>1150</v>
      </c>
      <c r="E1856" s="5">
        <f t="shared" si="56"/>
        <v>9600</v>
      </c>
      <c r="F1856" s="5">
        <v>31925</v>
      </c>
      <c r="K1856" s="24">
        <v>969.5</v>
      </c>
      <c r="L1856" s="6">
        <v>924</v>
      </c>
      <c r="M1856" s="270">
        <f t="shared" si="55"/>
        <v>-45.5</v>
      </c>
      <c r="N1856" s="19"/>
      <c r="O1856" s="277"/>
      <c r="P1856" s="347">
        <v>9400</v>
      </c>
      <c r="Q1856" s="28">
        <v>0.1208</v>
      </c>
      <c r="U1856" s="29">
        <v>0</v>
      </c>
      <c r="V1856" s="383"/>
      <c r="W1856" s="741">
        <f t="shared" si="54"/>
        <v>1135.52</v>
      </c>
    </row>
    <row r="1857" spans="1:23" ht="15" customHeight="1">
      <c r="A1857" s="3">
        <v>38477</v>
      </c>
      <c r="B1857" s="4">
        <v>20925</v>
      </c>
      <c r="D1857" s="5">
        <v>1150</v>
      </c>
      <c r="E1857" s="5">
        <f t="shared" si="56"/>
        <v>9600</v>
      </c>
      <c r="F1857" s="5">
        <v>31675</v>
      </c>
      <c r="K1857" s="24">
        <v>964.5</v>
      </c>
      <c r="L1857" s="6">
        <v>964.5</v>
      </c>
      <c r="M1857" s="270">
        <f t="shared" si="55"/>
        <v>0</v>
      </c>
      <c r="N1857" s="19"/>
      <c r="O1857" s="277"/>
      <c r="P1857" s="347">
        <v>9400</v>
      </c>
      <c r="Q1857" s="28">
        <v>0.1208</v>
      </c>
      <c r="U1857" s="29">
        <v>0</v>
      </c>
      <c r="V1857" s="383"/>
      <c r="W1857" s="741">
        <f t="shared" si="54"/>
        <v>1135.52</v>
      </c>
    </row>
    <row r="1858" spans="1:23" ht="15" customHeight="1">
      <c r="A1858" s="3">
        <v>38478</v>
      </c>
      <c r="B1858" s="4">
        <v>21125</v>
      </c>
      <c r="D1858" s="5">
        <v>1125</v>
      </c>
      <c r="E1858" s="5">
        <f t="shared" si="56"/>
        <v>9550</v>
      </c>
      <c r="F1858" s="5">
        <v>31800</v>
      </c>
      <c r="K1858" s="24">
        <v>990</v>
      </c>
      <c r="L1858" s="6">
        <v>948</v>
      </c>
      <c r="M1858" s="270">
        <f t="shared" si="55"/>
        <v>-42</v>
      </c>
      <c r="N1858" s="19"/>
      <c r="O1858" s="277"/>
      <c r="P1858" s="347">
        <v>9400</v>
      </c>
      <c r="Q1858" s="28">
        <v>0.1208</v>
      </c>
      <c r="U1858" s="29">
        <v>0</v>
      </c>
      <c r="V1858" s="383"/>
      <c r="W1858" s="741">
        <f t="shared" si="54"/>
        <v>1135.52</v>
      </c>
    </row>
    <row r="1859" spans="1:23" ht="15" customHeight="1">
      <c r="A1859" s="3">
        <v>38481</v>
      </c>
      <c r="B1859" s="4">
        <v>22700</v>
      </c>
      <c r="D1859" s="5">
        <v>1125</v>
      </c>
      <c r="E1859" s="5">
        <f t="shared" si="56"/>
        <v>9425</v>
      </c>
      <c r="F1859" s="5">
        <v>33250</v>
      </c>
      <c r="K1859" s="24">
        <v>980</v>
      </c>
      <c r="L1859" s="6">
        <v>946</v>
      </c>
      <c r="M1859" s="270">
        <f t="shared" si="55"/>
        <v>-34</v>
      </c>
      <c r="N1859" s="19"/>
      <c r="O1859" s="277"/>
      <c r="P1859" s="345">
        <v>9400</v>
      </c>
      <c r="Q1859" s="28">
        <v>0.1208</v>
      </c>
      <c r="U1859" s="29">
        <v>0</v>
      </c>
      <c r="V1859" s="383"/>
      <c r="W1859" s="741">
        <f t="shared" si="54"/>
        <v>1135.52</v>
      </c>
    </row>
    <row r="1860" spans="1:23" ht="15" customHeight="1">
      <c r="A1860" s="3">
        <v>38482</v>
      </c>
      <c r="B1860" s="4">
        <v>22875</v>
      </c>
      <c r="D1860" s="5">
        <v>1125</v>
      </c>
      <c r="E1860" s="5">
        <f t="shared" si="56"/>
        <v>9400</v>
      </c>
      <c r="F1860" s="5">
        <v>33400</v>
      </c>
      <c r="K1860" s="24">
        <v>985</v>
      </c>
      <c r="L1860" s="6">
        <v>947</v>
      </c>
      <c r="M1860" s="270">
        <f t="shared" si="55"/>
        <v>-38</v>
      </c>
      <c r="N1860" s="19"/>
      <c r="O1860" s="277"/>
      <c r="P1860" s="345">
        <v>9400</v>
      </c>
      <c r="Q1860" s="28">
        <v>0.1208</v>
      </c>
      <c r="U1860" s="29">
        <v>0</v>
      </c>
      <c r="V1860" s="383"/>
      <c r="W1860" s="741">
        <f t="shared" si="54"/>
        <v>1135.52</v>
      </c>
    </row>
    <row r="1861" spans="1:23" ht="15" customHeight="1">
      <c r="A1861" s="3">
        <v>38483</v>
      </c>
      <c r="B1861" s="4">
        <v>22875</v>
      </c>
      <c r="D1861" s="5">
        <v>1125</v>
      </c>
      <c r="E1861" s="5">
        <f t="shared" si="56"/>
        <v>9300</v>
      </c>
      <c r="F1861" s="5">
        <v>33300</v>
      </c>
      <c r="K1861" s="24">
        <v>991</v>
      </c>
      <c r="L1861" s="6">
        <v>955</v>
      </c>
      <c r="M1861" s="270">
        <f t="shared" si="55"/>
        <v>-36</v>
      </c>
      <c r="N1861" s="19"/>
      <c r="O1861" s="277"/>
      <c r="P1861" s="345">
        <v>9400</v>
      </c>
      <c r="Q1861" s="28">
        <v>0.1208</v>
      </c>
      <c r="U1861" s="29">
        <v>0</v>
      </c>
      <c r="V1861" s="383"/>
      <c r="W1861" s="741">
        <f t="shared" si="54"/>
        <v>1135.52</v>
      </c>
    </row>
    <row r="1862" spans="1:23" ht="15" customHeight="1">
      <c r="A1862" s="3">
        <v>38484</v>
      </c>
      <c r="B1862" s="4">
        <v>25875</v>
      </c>
      <c r="D1862" s="5">
        <v>1125</v>
      </c>
      <c r="E1862" s="5">
        <f t="shared" si="56"/>
        <v>9150</v>
      </c>
      <c r="F1862" s="5">
        <v>36150</v>
      </c>
      <c r="K1862" s="24">
        <v>973</v>
      </c>
      <c r="L1862" s="6">
        <v>956</v>
      </c>
      <c r="M1862" s="270">
        <f t="shared" si="55"/>
        <v>-17</v>
      </c>
      <c r="N1862" s="19"/>
      <c r="O1862" s="277"/>
      <c r="P1862" s="345">
        <v>9375</v>
      </c>
      <c r="Q1862" s="28">
        <v>0.1208</v>
      </c>
      <c r="U1862" s="29">
        <v>0</v>
      </c>
      <c r="V1862" s="383"/>
      <c r="W1862" s="741">
        <f t="shared" si="54"/>
        <v>1132.5</v>
      </c>
    </row>
    <row r="1863" spans="1:23" ht="15" customHeight="1">
      <c r="A1863" s="3">
        <v>38485</v>
      </c>
      <c r="B1863" s="4">
        <v>25775</v>
      </c>
      <c r="D1863" s="5">
        <v>1125</v>
      </c>
      <c r="E1863" s="5">
        <f t="shared" si="56"/>
        <v>9075</v>
      </c>
      <c r="F1863" s="5">
        <v>35975</v>
      </c>
      <c r="K1863" s="24">
        <v>963</v>
      </c>
      <c r="L1863" s="6">
        <v>926</v>
      </c>
      <c r="M1863" s="270">
        <f t="shared" si="55"/>
        <v>-37</v>
      </c>
      <c r="N1863" s="19"/>
      <c r="O1863" s="277"/>
      <c r="P1863" s="345">
        <v>9375</v>
      </c>
      <c r="Q1863" s="28">
        <v>0.1208</v>
      </c>
      <c r="U1863" s="29">
        <v>0</v>
      </c>
      <c r="V1863" s="383"/>
      <c r="W1863" s="741">
        <f t="shared" si="54"/>
        <v>1132.5</v>
      </c>
    </row>
    <row r="1864" spans="1:23" ht="15" customHeight="1">
      <c r="A1864" s="3">
        <v>38488</v>
      </c>
      <c r="B1864" s="4">
        <v>25750</v>
      </c>
      <c r="D1864" s="5">
        <v>1125</v>
      </c>
      <c r="E1864" s="5">
        <f t="shared" si="56"/>
        <v>8975</v>
      </c>
      <c r="F1864" s="5">
        <v>35850</v>
      </c>
      <c r="K1864" s="24">
        <v>968</v>
      </c>
      <c r="L1864" s="6">
        <v>933</v>
      </c>
      <c r="M1864" s="270">
        <f t="shared" si="55"/>
        <v>-35</v>
      </c>
      <c r="N1864" s="19"/>
      <c r="O1864" s="277"/>
      <c r="P1864" s="345">
        <v>9400</v>
      </c>
      <c r="Q1864" s="28">
        <v>0.1208</v>
      </c>
      <c r="U1864" s="29">
        <v>0</v>
      </c>
      <c r="V1864" s="383"/>
      <c r="W1864" s="741">
        <f t="shared" si="54"/>
        <v>1135.52</v>
      </c>
    </row>
    <row r="1865" spans="1:23" ht="15" customHeight="1">
      <c r="A1865" s="3">
        <v>38489</v>
      </c>
      <c r="B1865" s="4">
        <v>25175</v>
      </c>
      <c r="D1865" s="5">
        <v>1125</v>
      </c>
      <c r="E1865" s="5">
        <f t="shared" si="56"/>
        <v>8850</v>
      </c>
      <c r="F1865" s="5">
        <v>35150</v>
      </c>
      <c r="K1865" s="24">
        <v>970</v>
      </c>
      <c r="L1865" s="6">
        <v>933</v>
      </c>
      <c r="M1865" s="270">
        <f t="shared" si="55"/>
        <v>-37</v>
      </c>
      <c r="N1865" s="19"/>
      <c r="O1865" s="277"/>
      <c r="P1865" s="345">
        <v>9400</v>
      </c>
      <c r="Q1865" s="28">
        <v>0.1208</v>
      </c>
      <c r="U1865" s="29">
        <v>0</v>
      </c>
      <c r="V1865" s="383"/>
      <c r="W1865" s="741">
        <f t="shared" si="54"/>
        <v>1135.52</v>
      </c>
    </row>
    <row r="1866" spans="1:23" ht="15" customHeight="1">
      <c r="A1866" s="3">
        <v>38490</v>
      </c>
      <c r="B1866" s="4">
        <v>25650</v>
      </c>
      <c r="D1866" s="5">
        <v>1125</v>
      </c>
      <c r="E1866" s="5">
        <f t="shared" si="56"/>
        <v>8800</v>
      </c>
      <c r="F1866" s="5">
        <v>35575</v>
      </c>
      <c r="K1866" s="24">
        <v>982</v>
      </c>
      <c r="L1866" s="6">
        <v>942</v>
      </c>
      <c r="M1866" s="270">
        <f t="shared" si="55"/>
        <v>-40</v>
      </c>
      <c r="N1866" s="19"/>
      <c r="O1866" s="277"/>
      <c r="P1866" s="345">
        <v>9400</v>
      </c>
      <c r="Q1866" s="28">
        <v>0.1208</v>
      </c>
      <c r="U1866" s="29">
        <v>0</v>
      </c>
      <c r="V1866" s="383"/>
      <c r="W1866" s="741">
        <f t="shared" si="54"/>
        <v>1135.52</v>
      </c>
    </row>
    <row r="1867" spans="1:23" ht="15" customHeight="1">
      <c r="A1867" s="3">
        <v>38491</v>
      </c>
      <c r="B1867" s="4">
        <v>25200</v>
      </c>
      <c r="D1867" s="5">
        <v>1125</v>
      </c>
      <c r="E1867" s="5">
        <f t="shared" si="56"/>
        <v>8650</v>
      </c>
      <c r="F1867" s="5">
        <v>34975</v>
      </c>
      <c r="K1867" s="24">
        <v>994.5</v>
      </c>
      <c r="L1867" s="6">
        <v>951.5</v>
      </c>
      <c r="M1867" s="270">
        <f t="shared" si="55"/>
        <v>-43</v>
      </c>
      <c r="N1867" s="19"/>
      <c r="O1867" s="277"/>
      <c r="P1867" s="345">
        <v>9400</v>
      </c>
      <c r="Q1867" s="28">
        <v>0.1208</v>
      </c>
      <c r="U1867" s="29">
        <v>0</v>
      </c>
      <c r="V1867" s="383"/>
      <c r="W1867" s="741">
        <f t="shared" si="54"/>
        <v>1135.52</v>
      </c>
    </row>
    <row r="1868" spans="1:23" ht="15" customHeight="1">
      <c r="A1868" s="3">
        <v>38492</v>
      </c>
      <c r="B1868" s="4">
        <v>25200</v>
      </c>
      <c r="D1868" s="5">
        <v>1125</v>
      </c>
      <c r="E1868" s="5">
        <f t="shared" si="56"/>
        <v>8500</v>
      </c>
      <c r="F1868" s="5">
        <v>34825</v>
      </c>
      <c r="K1868" s="24">
        <v>1003</v>
      </c>
      <c r="L1868" s="6">
        <v>961</v>
      </c>
      <c r="M1868" s="270">
        <f t="shared" si="55"/>
        <v>-42</v>
      </c>
      <c r="N1868" s="19"/>
      <c r="O1868" s="277"/>
      <c r="P1868" s="345">
        <v>9350</v>
      </c>
      <c r="Q1868" s="28">
        <v>0.1208</v>
      </c>
      <c r="U1868" s="29">
        <v>0</v>
      </c>
      <c r="V1868" s="383"/>
      <c r="W1868" s="741">
        <f t="shared" si="54"/>
        <v>1129.48</v>
      </c>
    </row>
    <row r="1869" spans="1:23" ht="15" customHeight="1">
      <c r="A1869" s="3">
        <v>38495</v>
      </c>
      <c r="B1869" s="4">
        <v>25150</v>
      </c>
      <c r="D1869" s="5">
        <v>1125</v>
      </c>
      <c r="E1869" s="5">
        <f t="shared" si="56"/>
        <v>8500</v>
      </c>
      <c r="F1869" s="5">
        <v>34775</v>
      </c>
      <c r="K1869" s="24">
        <v>1000.5</v>
      </c>
      <c r="L1869" s="6">
        <v>959</v>
      </c>
      <c r="M1869" s="270">
        <f t="shared" si="55"/>
        <v>-41.5</v>
      </c>
      <c r="N1869" s="19"/>
      <c r="O1869" s="277"/>
      <c r="P1869" s="345">
        <v>9350</v>
      </c>
      <c r="Q1869" s="28">
        <v>0.1208</v>
      </c>
      <c r="U1869" s="29">
        <v>0</v>
      </c>
      <c r="V1869" s="383"/>
      <c r="W1869" s="741">
        <f t="shared" si="54"/>
        <v>1129.48</v>
      </c>
    </row>
    <row r="1870" spans="1:23" ht="15" customHeight="1">
      <c r="A1870" s="3">
        <v>38496</v>
      </c>
      <c r="B1870" s="4">
        <v>25150</v>
      </c>
      <c r="D1870" s="5">
        <v>1125</v>
      </c>
      <c r="E1870" s="5">
        <f t="shared" si="56"/>
        <v>8500</v>
      </c>
      <c r="F1870" s="5">
        <v>34775</v>
      </c>
      <c r="K1870" s="24">
        <v>1018</v>
      </c>
      <c r="L1870" s="6">
        <v>972</v>
      </c>
      <c r="M1870" s="270">
        <f t="shared" si="55"/>
        <v>-46</v>
      </c>
      <c r="N1870" s="19"/>
      <c r="O1870" s="277"/>
      <c r="P1870" s="345">
        <v>9325</v>
      </c>
      <c r="Q1870" s="28">
        <v>0.1208</v>
      </c>
      <c r="U1870" s="29">
        <v>0</v>
      </c>
      <c r="V1870" s="383"/>
      <c r="W1870" s="741">
        <f t="shared" si="54"/>
        <v>1126.46</v>
      </c>
    </row>
    <row r="1871" spans="1:23" ht="15" customHeight="1">
      <c r="A1871" s="3">
        <v>38497</v>
      </c>
      <c r="B1871" s="4">
        <v>24300</v>
      </c>
      <c r="D1871" s="5">
        <v>1125</v>
      </c>
      <c r="E1871" s="5">
        <f t="shared" si="56"/>
        <v>8425</v>
      </c>
      <c r="F1871" s="5">
        <v>33850</v>
      </c>
      <c r="K1871" s="24">
        <v>1017.5</v>
      </c>
      <c r="L1871" s="6">
        <v>971</v>
      </c>
      <c r="M1871" s="270">
        <f t="shared" si="55"/>
        <v>-46.5</v>
      </c>
      <c r="N1871" s="19"/>
      <c r="O1871" s="277"/>
      <c r="P1871" s="345">
        <v>9325</v>
      </c>
      <c r="Q1871" s="28">
        <v>0.1208</v>
      </c>
      <c r="U1871" s="29">
        <v>0</v>
      </c>
      <c r="V1871" s="383"/>
      <c r="W1871" s="741">
        <f t="shared" si="54"/>
        <v>1126.46</v>
      </c>
    </row>
    <row r="1872" spans="1:23" ht="15" customHeight="1">
      <c r="A1872" s="3">
        <v>38498</v>
      </c>
      <c r="B1872" s="4">
        <v>24150</v>
      </c>
      <c r="D1872" s="5">
        <v>1125</v>
      </c>
      <c r="E1872" s="5">
        <f t="shared" si="56"/>
        <v>8425</v>
      </c>
      <c r="F1872" s="5">
        <v>33700</v>
      </c>
      <c r="K1872" s="24">
        <v>1002</v>
      </c>
      <c r="L1872" s="6">
        <v>963</v>
      </c>
      <c r="M1872" s="270">
        <f t="shared" si="55"/>
        <v>-39</v>
      </c>
      <c r="N1872" s="19"/>
      <c r="O1872" s="277"/>
      <c r="P1872" s="345">
        <v>9325</v>
      </c>
      <c r="Q1872" s="28">
        <v>0.1208</v>
      </c>
      <c r="U1872" s="29">
        <v>0</v>
      </c>
      <c r="V1872" s="383"/>
      <c r="W1872" s="741">
        <f t="shared" si="54"/>
        <v>1126.46</v>
      </c>
    </row>
    <row r="1873" spans="1:24" ht="15" customHeight="1">
      <c r="A1873" s="3">
        <v>38499</v>
      </c>
      <c r="B1873" s="4">
        <v>23750</v>
      </c>
      <c r="D1873" s="5">
        <v>1125</v>
      </c>
      <c r="E1873" s="5">
        <f t="shared" si="56"/>
        <v>8425</v>
      </c>
      <c r="F1873" s="5">
        <v>33300</v>
      </c>
      <c r="K1873" s="24">
        <v>1008</v>
      </c>
      <c r="L1873" s="6">
        <v>974</v>
      </c>
      <c r="M1873" s="270">
        <f t="shared" si="55"/>
        <v>-34</v>
      </c>
      <c r="N1873" s="19"/>
      <c r="O1873" s="277"/>
      <c r="P1873" s="345">
        <v>9325</v>
      </c>
      <c r="Q1873" s="28">
        <v>0.1208</v>
      </c>
      <c r="U1873" s="29">
        <v>0</v>
      </c>
      <c r="V1873" s="383"/>
      <c r="W1873" s="741">
        <f t="shared" si="54"/>
        <v>1126.46</v>
      </c>
    </row>
    <row r="1874" spans="1:24" ht="15" customHeight="1" thickBot="1">
      <c r="A1874" s="12">
        <v>38503</v>
      </c>
      <c r="B1874" s="13">
        <v>22700</v>
      </c>
      <c r="C1874" s="13"/>
      <c r="D1874" s="14">
        <v>1125</v>
      </c>
      <c r="E1874" s="14">
        <f t="shared" si="56"/>
        <v>9425</v>
      </c>
      <c r="F1874" s="14">
        <v>33250</v>
      </c>
      <c r="G1874" s="14"/>
      <c r="H1874" s="14"/>
      <c r="I1874" s="14"/>
      <c r="J1874" s="264"/>
      <c r="K1874" s="25">
        <v>991</v>
      </c>
      <c r="L1874" s="15">
        <v>960</v>
      </c>
      <c r="M1874" s="271">
        <f t="shared" si="55"/>
        <v>-31</v>
      </c>
      <c r="N1874" s="20">
        <f>AVERAGE(K1855:K1874)</f>
        <v>988.07500000000005</v>
      </c>
      <c r="O1874" s="278"/>
      <c r="P1874" s="346">
        <v>9325</v>
      </c>
      <c r="Q1874" s="30">
        <v>0.1208</v>
      </c>
      <c r="R1874" s="30"/>
      <c r="S1874" s="30"/>
      <c r="T1874" s="30"/>
      <c r="U1874" s="31">
        <v>0</v>
      </c>
      <c r="V1874" s="740">
        <f>AVERAGE(P1859:P1874)</f>
        <v>9367.1875</v>
      </c>
      <c r="W1874" s="741">
        <f t="shared" si="54"/>
        <v>1126.46</v>
      </c>
      <c r="X1874" s="33"/>
    </row>
    <row r="1875" spans="1:24" ht="15" customHeight="1">
      <c r="A1875" s="3">
        <v>38504</v>
      </c>
      <c r="B1875" s="4">
        <v>20150</v>
      </c>
      <c r="D1875" s="5">
        <v>1125</v>
      </c>
      <c r="E1875" s="5">
        <f t="shared" si="56"/>
        <v>8425</v>
      </c>
      <c r="F1875" s="5">
        <v>29700</v>
      </c>
      <c r="K1875" s="24">
        <v>996.5</v>
      </c>
      <c r="L1875" s="6">
        <v>966</v>
      </c>
      <c r="M1875" s="270">
        <f t="shared" si="55"/>
        <v>-30.5</v>
      </c>
      <c r="N1875" s="19"/>
      <c r="O1875" s="277"/>
      <c r="P1875" s="345">
        <v>9325</v>
      </c>
      <c r="Q1875" s="28">
        <v>0.1208</v>
      </c>
      <c r="U1875" s="29">
        <v>0</v>
      </c>
      <c r="V1875" s="383"/>
      <c r="W1875" s="741">
        <f t="shared" si="54"/>
        <v>1126.46</v>
      </c>
    </row>
    <row r="1876" spans="1:24" ht="15" customHeight="1">
      <c r="A1876" s="3">
        <v>38505</v>
      </c>
      <c r="B1876" s="4">
        <v>22500</v>
      </c>
      <c r="D1876" s="5">
        <v>1125</v>
      </c>
      <c r="E1876" s="5">
        <f t="shared" si="56"/>
        <v>8425</v>
      </c>
      <c r="F1876" s="5">
        <v>32050</v>
      </c>
      <c r="K1876" s="24">
        <v>1005</v>
      </c>
      <c r="L1876" s="6">
        <v>970</v>
      </c>
      <c r="M1876" s="270">
        <f t="shared" si="55"/>
        <v>-35</v>
      </c>
      <c r="N1876" s="19"/>
      <c r="O1876" s="277"/>
      <c r="P1876" s="345">
        <v>9325</v>
      </c>
      <c r="Q1876" s="28">
        <v>0.1208</v>
      </c>
      <c r="U1876" s="29">
        <v>0</v>
      </c>
      <c r="V1876" s="383"/>
      <c r="W1876" s="741">
        <f t="shared" si="54"/>
        <v>1126.46</v>
      </c>
    </row>
    <row r="1877" spans="1:24" ht="15" customHeight="1">
      <c r="A1877" s="3">
        <v>38506</v>
      </c>
      <c r="B1877" s="4">
        <v>22500</v>
      </c>
      <c r="D1877" s="5">
        <v>1125</v>
      </c>
      <c r="E1877" s="5">
        <f t="shared" si="56"/>
        <v>8425</v>
      </c>
      <c r="F1877" s="5">
        <v>32050</v>
      </c>
      <c r="K1877" s="24">
        <v>1014.5</v>
      </c>
      <c r="L1877" s="6">
        <v>976</v>
      </c>
      <c r="M1877" s="270">
        <f t="shared" si="55"/>
        <v>-38.5</v>
      </c>
      <c r="N1877" s="7"/>
      <c r="O1877" s="277"/>
      <c r="P1877" s="345">
        <v>9350</v>
      </c>
      <c r="Q1877" s="28">
        <v>0.1208</v>
      </c>
      <c r="U1877" s="29">
        <v>0</v>
      </c>
      <c r="V1877" s="383"/>
      <c r="W1877" s="741">
        <f t="shared" si="54"/>
        <v>1129.48</v>
      </c>
    </row>
    <row r="1878" spans="1:24" ht="15" customHeight="1">
      <c r="A1878" s="3">
        <v>38509</v>
      </c>
      <c r="B1878" s="4">
        <v>22475</v>
      </c>
      <c r="D1878" s="5">
        <v>1125</v>
      </c>
      <c r="E1878" s="5">
        <f t="shared" si="56"/>
        <v>8425</v>
      </c>
      <c r="F1878" s="5">
        <v>32025</v>
      </c>
      <c r="K1878" s="24">
        <v>1005</v>
      </c>
      <c r="L1878" s="6">
        <v>969.5</v>
      </c>
      <c r="M1878" s="270">
        <f t="shared" si="55"/>
        <v>-35.5</v>
      </c>
      <c r="N1878" s="19"/>
      <c r="O1878" s="277"/>
      <c r="P1878" s="345">
        <v>9325</v>
      </c>
      <c r="Q1878" s="28">
        <v>0.1208</v>
      </c>
      <c r="U1878" s="29">
        <v>0</v>
      </c>
      <c r="V1878" s="383"/>
      <c r="W1878" s="741">
        <f t="shared" si="54"/>
        <v>1126.46</v>
      </c>
    </row>
    <row r="1879" spans="1:24" ht="15" customHeight="1">
      <c r="A1879" s="3">
        <v>38510</v>
      </c>
      <c r="B1879" s="4">
        <v>22475</v>
      </c>
      <c r="D1879" s="5">
        <v>1125</v>
      </c>
      <c r="E1879" s="5">
        <f t="shared" si="56"/>
        <v>8425</v>
      </c>
      <c r="F1879" s="5">
        <v>32025</v>
      </c>
      <c r="K1879" s="24">
        <v>1003.5</v>
      </c>
      <c r="L1879" s="6">
        <v>970</v>
      </c>
      <c r="M1879" s="270">
        <f t="shared" si="55"/>
        <v>-33.5</v>
      </c>
      <c r="N1879" s="19"/>
      <c r="O1879" s="277"/>
      <c r="P1879" s="345">
        <v>9300</v>
      </c>
      <c r="Q1879" s="28">
        <v>0.1208</v>
      </c>
      <c r="U1879" s="29">
        <v>0</v>
      </c>
      <c r="V1879" s="383"/>
      <c r="W1879" s="741">
        <f t="shared" si="54"/>
        <v>1123.44</v>
      </c>
    </row>
    <row r="1880" spans="1:24" ht="15" customHeight="1">
      <c r="A1880" s="3">
        <v>38511</v>
      </c>
      <c r="B1880" s="4">
        <v>22350</v>
      </c>
      <c r="D1880" s="5">
        <v>1125</v>
      </c>
      <c r="E1880" s="5">
        <f t="shared" si="56"/>
        <v>8425</v>
      </c>
      <c r="F1880" s="5">
        <v>31900</v>
      </c>
      <c r="K1880" s="24">
        <v>992</v>
      </c>
      <c r="L1880" s="6">
        <v>964</v>
      </c>
      <c r="M1880" s="270">
        <f t="shared" si="55"/>
        <v>-28</v>
      </c>
      <c r="N1880" s="19"/>
      <c r="O1880" s="277"/>
      <c r="P1880" s="345">
        <v>9300</v>
      </c>
      <c r="Q1880" s="28">
        <v>0.1208</v>
      </c>
      <c r="U1880" s="29">
        <v>0</v>
      </c>
      <c r="V1880" s="383"/>
      <c r="W1880" s="741">
        <f t="shared" si="54"/>
        <v>1123.44</v>
      </c>
    </row>
    <row r="1881" spans="1:24" ht="15" customHeight="1">
      <c r="A1881" s="3">
        <v>38512</v>
      </c>
      <c r="B1881" s="4">
        <v>22350</v>
      </c>
      <c r="D1881" s="5">
        <v>1125</v>
      </c>
      <c r="E1881" s="5">
        <f t="shared" si="56"/>
        <v>8400</v>
      </c>
      <c r="F1881" s="5">
        <v>31875</v>
      </c>
      <c r="K1881" s="24">
        <v>984</v>
      </c>
      <c r="L1881" s="6">
        <v>960</v>
      </c>
      <c r="M1881" s="270">
        <f t="shared" si="55"/>
        <v>-24</v>
      </c>
      <c r="N1881" s="19"/>
      <c r="O1881" s="277"/>
      <c r="P1881" s="345">
        <v>9300</v>
      </c>
      <c r="Q1881" s="28">
        <v>0.1208</v>
      </c>
      <c r="U1881" s="29">
        <v>0</v>
      </c>
      <c r="V1881" s="383"/>
      <c r="W1881" s="741">
        <f t="shared" si="54"/>
        <v>1123.44</v>
      </c>
    </row>
    <row r="1882" spans="1:24" ht="15" customHeight="1">
      <c r="A1882" s="3">
        <v>38513</v>
      </c>
      <c r="B1882" s="4">
        <v>22400</v>
      </c>
      <c r="D1882" s="5">
        <v>1125</v>
      </c>
      <c r="E1882" s="5">
        <f t="shared" si="56"/>
        <v>8400</v>
      </c>
      <c r="F1882" s="5">
        <v>31925</v>
      </c>
      <c r="K1882" s="24">
        <v>994.5</v>
      </c>
      <c r="L1882" s="6">
        <v>968</v>
      </c>
      <c r="M1882" s="270">
        <f t="shared" si="55"/>
        <v>-26.5</v>
      </c>
      <c r="N1882" s="19"/>
      <c r="O1882" s="277"/>
      <c r="P1882" s="345">
        <v>9300</v>
      </c>
      <c r="Q1882" s="28">
        <v>0.1208</v>
      </c>
      <c r="U1882" s="29">
        <v>0</v>
      </c>
      <c r="V1882" s="383"/>
      <c r="W1882" s="741">
        <f t="shared" si="54"/>
        <v>1123.44</v>
      </c>
    </row>
    <row r="1883" spans="1:24" ht="15" customHeight="1">
      <c r="A1883" s="3">
        <v>38514</v>
      </c>
      <c r="B1883" s="4">
        <v>22650</v>
      </c>
      <c r="D1883" s="5">
        <v>1125</v>
      </c>
      <c r="E1883" s="5">
        <f t="shared" si="56"/>
        <v>8400</v>
      </c>
      <c r="F1883" s="5">
        <v>32175</v>
      </c>
      <c r="K1883" s="24">
        <v>995.5</v>
      </c>
      <c r="L1883" s="6">
        <v>966</v>
      </c>
      <c r="M1883" s="270">
        <f t="shared" si="55"/>
        <v>-29.5</v>
      </c>
      <c r="N1883" s="19"/>
      <c r="O1883" s="277"/>
      <c r="P1883" s="345">
        <v>9300</v>
      </c>
      <c r="Q1883" s="28">
        <v>0.1208</v>
      </c>
      <c r="U1883" s="29">
        <v>0</v>
      </c>
      <c r="V1883" s="383"/>
      <c r="W1883" s="741">
        <f t="shared" si="54"/>
        <v>1123.44</v>
      </c>
    </row>
    <row r="1884" spans="1:24" ht="15" customHeight="1">
      <c r="A1884" s="3">
        <v>38517</v>
      </c>
      <c r="B1884" s="4">
        <v>23800</v>
      </c>
      <c r="D1884" s="5">
        <v>1150</v>
      </c>
      <c r="E1884" s="5">
        <f t="shared" si="56"/>
        <v>8375</v>
      </c>
      <c r="F1884" s="5">
        <v>33325</v>
      </c>
      <c r="K1884" s="24">
        <v>996.5</v>
      </c>
      <c r="L1884" s="6">
        <v>967</v>
      </c>
      <c r="M1884" s="270">
        <f t="shared" si="55"/>
        <v>-29.5</v>
      </c>
      <c r="N1884" s="19"/>
      <c r="O1884" s="277"/>
      <c r="P1884" s="345">
        <v>9325</v>
      </c>
      <c r="Q1884" s="28">
        <v>0.1208</v>
      </c>
      <c r="U1884" s="29">
        <v>0</v>
      </c>
      <c r="V1884" s="383"/>
      <c r="W1884" s="741">
        <f t="shared" si="54"/>
        <v>1126.46</v>
      </c>
    </row>
    <row r="1885" spans="1:24" ht="15" customHeight="1">
      <c r="A1885" s="3">
        <v>38518</v>
      </c>
      <c r="B1885" s="4">
        <v>24075</v>
      </c>
      <c r="D1885" s="5">
        <v>1125</v>
      </c>
      <c r="E1885" s="5">
        <f t="shared" si="56"/>
        <v>8400</v>
      </c>
      <c r="F1885" s="5">
        <v>33600</v>
      </c>
      <c r="K1885" s="24">
        <v>997</v>
      </c>
      <c r="L1885" s="6">
        <v>968</v>
      </c>
      <c r="M1885" s="270">
        <f t="shared" si="55"/>
        <v>-29</v>
      </c>
      <c r="N1885" s="19"/>
      <c r="O1885" s="277"/>
      <c r="P1885" s="345">
        <v>9300</v>
      </c>
      <c r="Q1885" s="28">
        <v>0.1208</v>
      </c>
      <c r="U1885" s="29">
        <v>0</v>
      </c>
      <c r="V1885" s="383"/>
      <c r="W1885" s="741">
        <f t="shared" si="54"/>
        <v>1123.44</v>
      </c>
    </row>
    <row r="1886" spans="1:24" ht="15" customHeight="1">
      <c r="A1886" s="3">
        <v>38519</v>
      </c>
      <c r="B1886" s="4">
        <v>24875</v>
      </c>
      <c r="D1886" s="5">
        <v>1125</v>
      </c>
      <c r="E1886" s="5">
        <f t="shared" si="56"/>
        <v>8400</v>
      </c>
      <c r="F1886" s="5">
        <v>34400</v>
      </c>
      <c r="K1886" s="24">
        <v>1000</v>
      </c>
      <c r="L1886" s="6">
        <v>972</v>
      </c>
      <c r="M1886" s="270">
        <f t="shared" si="55"/>
        <v>-28</v>
      </c>
      <c r="N1886" s="19"/>
      <c r="O1886" s="277"/>
      <c r="P1886" s="345">
        <v>9275</v>
      </c>
      <c r="Q1886" s="28">
        <v>0.1208</v>
      </c>
      <c r="U1886" s="29">
        <v>0</v>
      </c>
      <c r="V1886" s="383"/>
      <c r="W1886" s="741">
        <f t="shared" si="54"/>
        <v>1120.42</v>
      </c>
    </row>
    <row r="1887" spans="1:24" ht="15" customHeight="1">
      <c r="A1887" s="3">
        <v>38520</v>
      </c>
      <c r="B1887" s="4">
        <v>25250</v>
      </c>
      <c r="D1887" s="5">
        <v>1125</v>
      </c>
      <c r="E1887" s="5">
        <f t="shared" si="56"/>
        <v>8400</v>
      </c>
      <c r="F1887" s="5">
        <v>34775</v>
      </c>
      <c r="K1887" s="24">
        <v>1010</v>
      </c>
      <c r="L1887" s="6">
        <v>979</v>
      </c>
      <c r="M1887" s="270">
        <f t="shared" si="55"/>
        <v>-31</v>
      </c>
      <c r="N1887" s="19"/>
      <c r="O1887" s="277"/>
      <c r="P1887" s="345">
        <v>9300</v>
      </c>
      <c r="Q1887" s="28">
        <v>0.1208</v>
      </c>
      <c r="U1887" s="29">
        <v>0</v>
      </c>
      <c r="V1887" s="383"/>
      <c r="W1887" s="741">
        <f t="shared" si="54"/>
        <v>1123.44</v>
      </c>
    </row>
    <row r="1888" spans="1:24" ht="15" customHeight="1">
      <c r="A1888" s="3">
        <v>38523</v>
      </c>
      <c r="B1888" s="4">
        <v>24500</v>
      </c>
      <c r="D1888" s="5">
        <v>1125</v>
      </c>
      <c r="E1888" s="5">
        <f t="shared" si="56"/>
        <v>8400</v>
      </c>
      <c r="F1888" s="5">
        <v>34025</v>
      </c>
      <c r="K1888" s="24">
        <v>1008</v>
      </c>
      <c r="L1888" s="6">
        <v>978</v>
      </c>
      <c r="M1888" s="270">
        <f t="shared" si="55"/>
        <v>-30</v>
      </c>
      <c r="N1888" s="19"/>
      <c r="O1888" s="277"/>
      <c r="P1888" s="345">
        <v>9300</v>
      </c>
      <c r="Q1888" s="28">
        <v>0.1208</v>
      </c>
      <c r="U1888" s="29">
        <v>0</v>
      </c>
      <c r="V1888" s="383"/>
      <c r="W1888" s="741">
        <f t="shared" si="54"/>
        <v>1123.44</v>
      </c>
    </row>
    <row r="1889" spans="1:24" ht="15" customHeight="1">
      <c r="A1889" s="3">
        <v>38524</v>
      </c>
      <c r="B1889" s="4">
        <v>24900</v>
      </c>
      <c r="D1889" s="5">
        <v>1125</v>
      </c>
      <c r="E1889" s="5">
        <f t="shared" si="56"/>
        <v>8400</v>
      </c>
      <c r="F1889" s="5">
        <v>34425</v>
      </c>
      <c r="K1889" s="24">
        <v>989</v>
      </c>
      <c r="L1889" s="6">
        <v>961</v>
      </c>
      <c r="M1889" s="270">
        <f t="shared" si="55"/>
        <v>-28</v>
      </c>
      <c r="N1889" s="19"/>
      <c r="O1889" s="277"/>
      <c r="P1889" s="345">
        <v>9300</v>
      </c>
      <c r="Q1889" s="28">
        <v>0.1208</v>
      </c>
      <c r="U1889" s="29">
        <v>0</v>
      </c>
      <c r="V1889" s="383"/>
      <c r="W1889" s="741">
        <f t="shared" si="54"/>
        <v>1123.44</v>
      </c>
    </row>
    <row r="1890" spans="1:24" ht="15" customHeight="1">
      <c r="A1890" s="3">
        <v>38525</v>
      </c>
      <c r="B1890" s="4">
        <v>26175</v>
      </c>
      <c r="D1890" s="5">
        <v>1125</v>
      </c>
      <c r="E1890" s="5">
        <f t="shared" si="56"/>
        <v>8400</v>
      </c>
      <c r="F1890" s="5">
        <v>35700</v>
      </c>
      <c r="K1890" s="24">
        <v>970.5</v>
      </c>
      <c r="L1890" s="6">
        <v>940</v>
      </c>
      <c r="M1890" s="270">
        <f t="shared" si="55"/>
        <v>-30.5</v>
      </c>
      <c r="N1890" s="19"/>
      <c r="O1890" s="277"/>
      <c r="P1890" s="345">
        <v>9250</v>
      </c>
      <c r="Q1890" s="28">
        <v>0.1208</v>
      </c>
      <c r="U1890" s="29">
        <v>0</v>
      </c>
      <c r="V1890" s="383"/>
      <c r="W1890" s="741">
        <f t="shared" si="54"/>
        <v>1117.4000000000001</v>
      </c>
    </row>
    <row r="1891" spans="1:24" ht="15" customHeight="1">
      <c r="A1891" s="3">
        <v>38526</v>
      </c>
      <c r="B1891" s="4">
        <v>27950</v>
      </c>
      <c r="D1891" s="5">
        <v>1125</v>
      </c>
      <c r="E1891" s="5">
        <f t="shared" si="56"/>
        <v>8350</v>
      </c>
      <c r="F1891" s="5">
        <v>37425</v>
      </c>
      <c r="K1891" s="24">
        <v>965</v>
      </c>
      <c r="L1891" s="6">
        <v>934</v>
      </c>
      <c r="M1891" s="270">
        <f t="shared" si="55"/>
        <v>-31</v>
      </c>
      <c r="N1891" s="19"/>
      <c r="O1891" s="277"/>
      <c r="P1891" s="345">
        <v>9260</v>
      </c>
      <c r="Q1891" s="28">
        <v>0.1208</v>
      </c>
      <c r="U1891" s="29">
        <v>0</v>
      </c>
      <c r="V1891" s="383"/>
      <c r="W1891" s="741">
        <f t="shared" si="54"/>
        <v>1118.6079999999999</v>
      </c>
    </row>
    <row r="1892" spans="1:24" ht="15" customHeight="1">
      <c r="A1892" s="3">
        <v>38527</v>
      </c>
      <c r="B1892" s="4">
        <v>29175</v>
      </c>
      <c r="D1892" s="5">
        <v>1125</v>
      </c>
      <c r="E1892" s="5">
        <f t="shared" si="56"/>
        <v>8325</v>
      </c>
      <c r="F1892" s="5">
        <v>38625</v>
      </c>
      <c r="K1892" s="24">
        <v>973</v>
      </c>
      <c r="L1892" s="6">
        <v>945.5</v>
      </c>
      <c r="M1892" s="270">
        <f t="shared" si="55"/>
        <v>-27.5</v>
      </c>
      <c r="N1892" s="19"/>
      <c r="O1892" s="277"/>
      <c r="P1892" s="345">
        <v>9260</v>
      </c>
      <c r="Q1892" s="28">
        <v>0.1208</v>
      </c>
      <c r="U1892" s="29">
        <v>0</v>
      </c>
      <c r="V1892" s="383"/>
      <c r="W1892" s="741">
        <f t="shared" si="54"/>
        <v>1118.6079999999999</v>
      </c>
    </row>
    <row r="1893" spans="1:24" ht="15" customHeight="1">
      <c r="A1893" s="3">
        <v>38530</v>
      </c>
      <c r="B1893" s="4">
        <v>29125</v>
      </c>
      <c r="D1893" s="5">
        <v>1100</v>
      </c>
      <c r="E1893" s="5">
        <f t="shared" si="56"/>
        <v>8275</v>
      </c>
      <c r="F1893" s="5">
        <v>38500</v>
      </c>
      <c r="K1893" s="24">
        <v>965.5</v>
      </c>
      <c r="L1893" s="6">
        <v>940.5</v>
      </c>
      <c r="M1893" s="270">
        <f t="shared" si="55"/>
        <v>-25</v>
      </c>
      <c r="N1893" s="19"/>
      <c r="O1893" s="277"/>
      <c r="P1893" s="345">
        <v>9350</v>
      </c>
      <c r="Q1893" s="28">
        <v>0.1208</v>
      </c>
      <c r="U1893" s="29">
        <v>0</v>
      </c>
      <c r="V1893" s="383"/>
      <c r="W1893" s="741">
        <f t="shared" si="54"/>
        <v>1129.48</v>
      </c>
    </row>
    <row r="1894" spans="1:24" ht="15" customHeight="1">
      <c r="A1894" s="3">
        <v>38531</v>
      </c>
      <c r="B1894" s="4">
        <v>29025</v>
      </c>
      <c r="D1894" s="5">
        <v>1100</v>
      </c>
      <c r="E1894" s="5">
        <f t="shared" si="56"/>
        <v>8275</v>
      </c>
      <c r="F1894" s="5">
        <v>38400</v>
      </c>
      <c r="K1894" s="24">
        <v>954</v>
      </c>
      <c r="L1894" s="6">
        <v>934</v>
      </c>
      <c r="M1894" s="270">
        <f t="shared" si="55"/>
        <v>-20</v>
      </c>
      <c r="N1894" s="19"/>
      <c r="O1894" s="277"/>
      <c r="P1894" s="345">
        <v>9250</v>
      </c>
      <c r="Q1894" s="28">
        <v>0.1208</v>
      </c>
      <c r="U1894" s="29">
        <v>0</v>
      </c>
      <c r="V1894" s="383"/>
      <c r="W1894" s="741">
        <f t="shared" si="54"/>
        <v>1117.4000000000001</v>
      </c>
    </row>
    <row r="1895" spans="1:24" ht="15" customHeight="1">
      <c r="A1895" s="3">
        <v>38532</v>
      </c>
      <c r="B1895" s="4">
        <v>28500</v>
      </c>
      <c r="D1895" s="5">
        <v>3600</v>
      </c>
      <c r="E1895" s="5">
        <f t="shared" si="56"/>
        <v>8275</v>
      </c>
      <c r="F1895" s="5">
        <v>40375</v>
      </c>
      <c r="K1895" s="24">
        <v>947.5</v>
      </c>
      <c r="L1895" s="6">
        <v>928</v>
      </c>
      <c r="M1895" s="270">
        <f t="shared" si="55"/>
        <v>-19.5</v>
      </c>
      <c r="N1895" s="19"/>
      <c r="O1895" s="277"/>
      <c r="P1895" s="345">
        <v>9275</v>
      </c>
      <c r="Q1895" s="28">
        <v>0.1208</v>
      </c>
      <c r="U1895" s="29">
        <v>0</v>
      </c>
      <c r="V1895" s="383"/>
      <c r="W1895" s="741">
        <f t="shared" si="54"/>
        <v>1120.42</v>
      </c>
    </row>
    <row r="1896" spans="1:24" ht="15" customHeight="1" thickBot="1">
      <c r="A1896" s="12">
        <v>38533</v>
      </c>
      <c r="B1896" s="13">
        <v>27675</v>
      </c>
      <c r="C1896" s="13"/>
      <c r="D1896" s="14">
        <v>6100</v>
      </c>
      <c r="E1896" s="14">
        <f t="shared" si="56"/>
        <v>8275</v>
      </c>
      <c r="F1896" s="14">
        <v>42050</v>
      </c>
      <c r="G1896" s="14"/>
      <c r="H1896" s="14"/>
      <c r="I1896" s="14"/>
      <c r="J1896" s="264"/>
      <c r="K1896" s="25">
        <v>927</v>
      </c>
      <c r="L1896" s="15">
        <v>921.5</v>
      </c>
      <c r="M1896" s="271">
        <f t="shared" si="55"/>
        <v>-5.5</v>
      </c>
      <c r="N1896" s="20">
        <f>AVERAGE(K1875:K1896)</f>
        <v>986.06818181818187</v>
      </c>
      <c r="O1896" s="278"/>
      <c r="P1896" s="346">
        <v>9275</v>
      </c>
      <c r="Q1896" s="30">
        <v>0.1208</v>
      </c>
      <c r="R1896" s="30"/>
      <c r="S1896" s="30"/>
      <c r="T1896" s="30"/>
      <c r="U1896" s="31">
        <v>0</v>
      </c>
      <c r="V1896" s="740">
        <f>AVERAGE(P1875:P1896)</f>
        <v>9297.5</v>
      </c>
      <c r="W1896" s="741">
        <f t="shared" si="54"/>
        <v>1120.42</v>
      </c>
      <c r="X1896" s="33"/>
    </row>
    <row r="1897" spans="1:24" ht="15" customHeight="1">
      <c r="A1897" s="3">
        <v>38534</v>
      </c>
      <c r="B1897" s="4">
        <v>29225</v>
      </c>
      <c r="D1897" s="5">
        <v>8100</v>
      </c>
      <c r="E1897" s="5">
        <f t="shared" si="56"/>
        <v>8275</v>
      </c>
      <c r="F1897" s="5">
        <v>45600</v>
      </c>
      <c r="K1897" s="24">
        <v>870</v>
      </c>
      <c r="L1897" s="6">
        <v>869</v>
      </c>
      <c r="M1897" s="270">
        <f t="shared" si="55"/>
        <v>-1</v>
      </c>
      <c r="N1897" s="21"/>
      <c r="O1897" s="277"/>
      <c r="P1897" s="345">
        <v>9275</v>
      </c>
      <c r="Q1897" s="28">
        <v>0.1208</v>
      </c>
      <c r="U1897" s="29">
        <v>0</v>
      </c>
      <c r="V1897" s="383"/>
      <c r="W1897" s="741">
        <f t="shared" si="54"/>
        <v>1120.42</v>
      </c>
    </row>
    <row r="1898" spans="1:24" ht="15" customHeight="1">
      <c r="A1898" s="3">
        <v>38537</v>
      </c>
      <c r="B1898" s="4">
        <v>29725</v>
      </c>
      <c r="D1898" s="5">
        <v>10100</v>
      </c>
      <c r="E1898" s="5">
        <f t="shared" si="56"/>
        <v>8275</v>
      </c>
      <c r="F1898" s="5">
        <v>48100</v>
      </c>
      <c r="K1898" s="24">
        <v>865.5</v>
      </c>
      <c r="L1898" s="6">
        <v>865</v>
      </c>
      <c r="M1898" s="270">
        <f t="shared" si="55"/>
        <v>-0.5</v>
      </c>
      <c r="N1898" s="19"/>
      <c r="O1898" s="277"/>
      <c r="P1898" s="345">
        <v>9225</v>
      </c>
      <c r="Q1898" s="28">
        <v>0.1208</v>
      </c>
      <c r="U1898" s="29">
        <v>0</v>
      </c>
      <c r="V1898" s="383"/>
      <c r="W1898" s="741">
        <f t="shared" si="54"/>
        <v>1114.3800000000001</v>
      </c>
    </row>
    <row r="1899" spans="1:24" ht="15" customHeight="1">
      <c r="A1899" s="3">
        <v>38538</v>
      </c>
      <c r="B1899" s="4">
        <v>29475</v>
      </c>
      <c r="D1899" s="5">
        <v>11100</v>
      </c>
      <c r="E1899" s="5">
        <f t="shared" si="56"/>
        <v>8275</v>
      </c>
      <c r="F1899" s="5">
        <v>48850</v>
      </c>
      <c r="K1899" s="24">
        <v>864</v>
      </c>
      <c r="L1899" s="6">
        <v>860.5</v>
      </c>
      <c r="M1899" s="270">
        <f t="shared" si="55"/>
        <v>-3.5</v>
      </c>
      <c r="N1899" s="19"/>
      <c r="O1899" s="277"/>
      <c r="P1899" s="345">
        <v>9250</v>
      </c>
      <c r="Q1899" s="28">
        <v>0.1208</v>
      </c>
      <c r="U1899" s="29">
        <v>0</v>
      </c>
      <c r="V1899" s="383"/>
      <c r="W1899" s="741">
        <f t="shared" si="54"/>
        <v>1117.4000000000001</v>
      </c>
    </row>
    <row r="1900" spans="1:24" ht="15" customHeight="1">
      <c r="A1900" s="3">
        <v>38539</v>
      </c>
      <c r="B1900" s="4">
        <v>29975</v>
      </c>
      <c r="D1900" s="5">
        <v>11100</v>
      </c>
      <c r="E1900" s="5">
        <f t="shared" si="56"/>
        <v>8150</v>
      </c>
      <c r="F1900" s="5">
        <v>49225</v>
      </c>
      <c r="K1900" s="24">
        <v>867</v>
      </c>
      <c r="L1900" s="6">
        <v>865</v>
      </c>
      <c r="M1900" s="270">
        <f t="shared" si="55"/>
        <v>-2</v>
      </c>
      <c r="N1900" s="19"/>
      <c r="O1900" s="277"/>
      <c r="P1900" s="345">
        <v>9200</v>
      </c>
      <c r="Q1900" s="28">
        <v>0.1208</v>
      </c>
      <c r="U1900" s="29">
        <v>0</v>
      </c>
      <c r="V1900" s="383"/>
      <c r="W1900" s="741">
        <f t="shared" si="54"/>
        <v>1111.3600000000001</v>
      </c>
    </row>
    <row r="1901" spans="1:24" ht="15" customHeight="1">
      <c r="A1901" s="3">
        <v>38540</v>
      </c>
      <c r="B1901" s="4">
        <v>30950</v>
      </c>
      <c r="D1901" s="5">
        <v>13100</v>
      </c>
      <c r="E1901" s="5">
        <f t="shared" si="56"/>
        <v>8150</v>
      </c>
      <c r="F1901" s="5">
        <v>52200</v>
      </c>
      <c r="K1901" s="24">
        <v>871</v>
      </c>
      <c r="L1901" s="6">
        <v>868</v>
      </c>
      <c r="M1901" s="270">
        <f t="shared" si="55"/>
        <v>-3</v>
      </c>
      <c r="N1901" s="19"/>
      <c r="O1901" s="277"/>
      <c r="P1901" s="345">
        <v>9200</v>
      </c>
      <c r="Q1901" s="28">
        <v>0.1208</v>
      </c>
      <c r="U1901" s="29">
        <v>0</v>
      </c>
      <c r="V1901" s="383"/>
      <c r="W1901" s="741">
        <f t="shared" ref="W1901:W1964" si="57">(P1901*Q1901)*(1+U1901)</f>
        <v>1111.3600000000001</v>
      </c>
    </row>
    <row r="1902" spans="1:24" ht="15" customHeight="1">
      <c r="A1902" s="3">
        <v>38541</v>
      </c>
      <c r="B1902" s="4">
        <v>31575</v>
      </c>
      <c r="D1902" s="5">
        <v>13100</v>
      </c>
      <c r="E1902" s="5">
        <f t="shared" si="56"/>
        <v>8150</v>
      </c>
      <c r="F1902" s="5">
        <v>52825</v>
      </c>
      <c r="K1902" s="24">
        <v>885.5</v>
      </c>
      <c r="L1902" s="6">
        <v>878.5</v>
      </c>
      <c r="M1902" s="270">
        <f t="shared" si="55"/>
        <v>-7</v>
      </c>
      <c r="N1902" s="19"/>
      <c r="O1902" s="277"/>
      <c r="P1902" s="345">
        <v>9200</v>
      </c>
      <c r="Q1902" s="28">
        <v>0.1208</v>
      </c>
      <c r="U1902" s="29">
        <v>0</v>
      </c>
      <c r="V1902" s="383"/>
      <c r="W1902" s="741">
        <f t="shared" si="57"/>
        <v>1111.3600000000001</v>
      </c>
    </row>
    <row r="1903" spans="1:24" ht="15" customHeight="1">
      <c r="A1903" s="3">
        <v>38544</v>
      </c>
      <c r="B1903" s="4">
        <v>31975</v>
      </c>
      <c r="D1903" s="5">
        <v>13100</v>
      </c>
      <c r="E1903" s="5">
        <f t="shared" si="56"/>
        <v>8150</v>
      </c>
      <c r="F1903" s="5">
        <v>53225</v>
      </c>
      <c r="K1903" s="24">
        <v>880</v>
      </c>
      <c r="L1903" s="6">
        <v>870.5</v>
      </c>
      <c r="M1903" s="270">
        <f t="shared" si="55"/>
        <v>-9.5</v>
      </c>
      <c r="N1903" s="19"/>
      <c r="O1903" s="277"/>
      <c r="P1903" s="345">
        <v>9200</v>
      </c>
      <c r="Q1903" s="28">
        <v>0.1208</v>
      </c>
      <c r="U1903" s="29">
        <v>0</v>
      </c>
      <c r="V1903" s="383"/>
      <c r="W1903" s="741">
        <f t="shared" si="57"/>
        <v>1111.3600000000001</v>
      </c>
    </row>
    <row r="1904" spans="1:24" ht="15" customHeight="1">
      <c r="A1904" s="3">
        <v>38545</v>
      </c>
      <c r="B1904" s="4">
        <v>31500</v>
      </c>
      <c r="D1904" s="5">
        <v>13100</v>
      </c>
      <c r="E1904" s="5">
        <f t="shared" si="56"/>
        <v>8125</v>
      </c>
      <c r="F1904" s="5">
        <v>52725</v>
      </c>
      <c r="K1904" s="24">
        <v>877</v>
      </c>
      <c r="L1904" s="6">
        <v>866.5</v>
      </c>
      <c r="M1904" s="270">
        <f t="shared" si="55"/>
        <v>-10.5</v>
      </c>
      <c r="N1904" s="19"/>
      <c r="O1904" s="277"/>
      <c r="P1904" s="345">
        <v>9200</v>
      </c>
      <c r="Q1904" s="28">
        <v>0.1208</v>
      </c>
      <c r="U1904" s="29">
        <v>0</v>
      </c>
      <c r="V1904" s="383"/>
      <c r="W1904" s="741">
        <f t="shared" si="57"/>
        <v>1111.3600000000001</v>
      </c>
    </row>
    <row r="1905" spans="1:24" ht="15" customHeight="1">
      <c r="A1905" s="3">
        <v>38546</v>
      </c>
      <c r="B1905" s="4">
        <v>30625</v>
      </c>
      <c r="D1905" s="5">
        <v>15100</v>
      </c>
      <c r="E1905" s="5">
        <f t="shared" si="56"/>
        <v>8075</v>
      </c>
      <c r="F1905" s="5">
        <v>53800</v>
      </c>
      <c r="K1905" s="24">
        <v>838.5</v>
      </c>
      <c r="L1905" s="6">
        <v>832.5</v>
      </c>
      <c r="M1905" s="270">
        <f t="shared" si="55"/>
        <v>-6</v>
      </c>
      <c r="N1905" s="19"/>
      <c r="O1905" s="277"/>
      <c r="P1905" s="345">
        <v>9200</v>
      </c>
      <c r="Q1905" s="28">
        <v>0.1208</v>
      </c>
      <c r="U1905" s="29">
        <v>0</v>
      </c>
      <c r="V1905" s="383"/>
      <c r="W1905" s="741">
        <f t="shared" si="57"/>
        <v>1111.3600000000001</v>
      </c>
    </row>
    <row r="1906" spans="1:24" ht="15" customHeight="1">
      <c r="A1906" s="3">
        <v>38547</v>
      </c>
      <c r="B1906" s="4">
        <v>32425</v>
      </c>
      <c r="D1906" s="5">
        <v>15100</v>
      </c>
      <c r="E1906" s="5">
        <f t="shared" si="56"/>
        <v>8050</v>
      </c>
      <c r="F1906" s="5">
        <v>55575</v>
      </c>
      <c r="K1906" s="24">
        <v>836</v>
      </c>
      <c r="L1906" s="6">
        <v>832</v>
      </c>
      <c r="M1906" s="270">
        <f t="shared" si="55"/>
        <v>-4</v>
      </c>
      <c r="N1906" s="19"/>
      <c r="O1906" s="277"/>
      <c r="P1906" s="345">
        <v>9200</v>
      </c>
      <c r="Q1906" s="28">
        <v>0.1208</v>
      </c>
      <c r="U1906" s="29">
        <v>0</v>
      </c>
      <c r="V1906" s="383"/>
      <c r="W1906" s="741">
        <f t="shared" si="57"/>
        <v>1111.3600000000001</v>
      </c>
    </row>
    <row r="1907" spans="1:24" ht="15" customHeight="1">
      <c r="A1907" s="3">
        <v>38548</v>
      </c>
      <c r="B1907" s="4">
        <v>32175</v>
      </c>
      <c r="D1907" s="5">
        <v>17600</v>
      </c>
      <c r="E1907" s="5">
        <f t="shared" si="56"/>
        <v>8050</v>
      </c>
      <c r="F1907" s="5">
        <v>57825</v>
      </c>
      <c r="K1907" s="24">
        <v>824</v>
      </c>
      <c r="L1907" s="6">
        <v>827</v>
      </c>
      <c r="M1907" s="270">
        <f t="shared" si="55"/>
        <v>3</v>
      </c>
      <c r="N1907" s="19"/>
      <c r="O1907" s="277"/>
      <c r="P1907" s="345">
        <v>9200</v>
      </c>
      <c r="Q1907" s="28">
        <v>0.1208</v>
      </c>
      <c r="U1907" s="29">
        <v>0</v>
      </c>
      <c r="V1907" s="383"/>
      <c r="W1907" s="741">
        <f t="shared" si="57"/>
        <v>1111.3600000000001</v>
      </c>
    </row>
    <row r="1908" spans="1:24" ht="15" customHeight="1">
      <c r="A1908" s="3">
        <v>38551</v>
      </c>
      <c r="B1908" s="4">
        <v>31825</v>
      </c>
      <c r="D1908" s="5">
        <v>17600</v>
      </c>
      <c r="E1908" s="5">
        <f t="shared" si="56"/>
        <v>8050</v>
      </c>
      <c r="F1908" s="5">
        <v>57475</v>
      </c>
      <c r="K1908" s="24">
        <v>830</v>
      </c>
      <c r="L1908" s="6">
        <v>830</v>
      </c>
      <c r="M1908" s="270">
        <f t="shared" si="55"/>
        <v>0</v>
      </c>
      <c r="N1908" s="19"/>
      <c r="O1908" s="277"/>
      <c r="P1908" s="345">
        <v>9175</v>
      </c>
      <c r="Q1908" s="28">
        <v>0.1208</v>
      </c>
      <c r="U1908" s="29">
        <v>0</v>
      </c>
      <c r="V1908" s="383"/>
      <c r="W1908" s="741">
        <f t="shared" si="57"/>
        <v>1108.3400000000001</v>
      </c>
    </row>
    <row r="1909" spans="1:24" ht="15" customHeight="1">
      <c r="A1909" s="3">
        <v>38552</v>
      </c>
      <c r="B1909" s="4">
        <v>31575</v>
      </c>
      <c r="D1909" s="5">
        <v>17575</v>
      </c>
      <c r="E1909" s="5">
        <f t="shared" si="56"/>
        <v>8050</v>
      </c>
      <c r="F1909" s="5">
        <v>57200</v>
      </c>
      <c r="K1909" s="24">
        <v>836</v>
      </c>
      <c r="L1909" s="6">
        <v>832</v>
      </c>
      <c r="M1909" s="270">
        <f t="shared" si="55"/>
        <v>-4</v>
      </c>
      <c r="N1909" s="19"/>
      <c r="O1909" s="277"/>
      <c r="P1909" s="345">
        <v>9175</v>
      </c>
      <c r="Q1909" s="28">
        <v>0.1208</v>
      </c>
      <c r="U1909" s="29">
        <v>0</v>
      </c>
      <c r="V1909" s="383"/>
      <c r="W1909" s="741">
        <f t="shared" si="57"/>
        <v>1108.3400000000001</v>
      </c>
    </row>
    <row r="1910" spans="1:24" ht="15" customHeight="1">
      <c r="A1910" s="3">
        <v>38553</v>
      </c>
      <c r="B1910" s="4">
        <v>33100</v>
      </c>
      <c r="D1910" s="5">
        <v>18675</v>
      </c>
      <c r="E1910" s="5">
        <f t="shared" si="56"/>
        <v>8000</v>
      </c>
      <c r="F1910" s="5">
        <v>59775</v>
      </c>
      <c r="K1910" s="24">
        <v>840</v>
      </c>
      <c r="L1910" s="6">
        <v>837</v>
      </c>
      <c r="M1910" s="270">
        <f t="shared" si="55"/>
        <v>-3</v>
      </c>
      <c r="N1910" s="19"/>
      <c r="O1910" s="277"/>
      <c r="P1910" s="345">
        <v>9175</v>
      </c>
      <c r="Q1910" s="28">
        <v>0.1208</v>
      </c>
      <c r="U1910" s="29">
        <v>0</v>
      </c>
      <c r="V1910" s="383"/>
      <c r="W1910" s="741">
        <f t="shared" si="57"/>
        <v>1108.3400000000001</v>
      </c>
    </row>
    <row r="1911" spans="1:24" ht="15" customHeight="1">
      <c r="A1911" s="3">
        <v>38554</v>
      </c>
      <c r="B1911" s="4">
        <v>33675</v>
      </c>
      <c r="D1911" s="5">
        <v>18650</v>
      </c>
      <c r="E1911" s="5">
        <f t="shared" si="56"/>
        <v>7925</v>
      </c>
      <c r="F1911" s="5">
        <v>60250</v>
      </c>
      <c r="K1911" s="24">
        <v>857</v>
      </c>
      <c r="L1911" s="6">
        <v>847</v>
      </c>
      <c r="M1911" s="270">
        <f t="shared" ref="M1911:M1974" si="58">L1911-K1911</f>
        <v>-10</v>
      </c>
      <c r="N1911" s="19"/>
      <c r="O1911" s="277"/>
      <c r="P1911" s="345">
        <v>9175</v>
      </c>
      <c r="Q1911" s="28">
        <v>0.1208</v>
      </c>
      <c r="U1911" s="29">
        <v>0</v>
      </c>
      <c r="V1911" s="383"/>
      <c r="W1911" s="741">
        <f t="shared" si="57"/>
        <v>1108.3400000000001</v>
      </c>
    </row>
    <row r="1912" spans="1:24" ht="15" customHeight="1">
      <c r="A1912" s="3">
        <v>38555</v>
      </c>
      <c r="B1912" s="4">
        <v>33575</v>
      </c>
      <c r="D1912" s="5">
        <v>18625</v>
      </c>
      <c r="E1912" s="5">
        <f t="shared" si="56"/>
        <v>7900</v>
      </c>
      <c r="F1912" s="5">
        <v>60100</v>
      </c>
      <c r="K1912" s="24">
        <v>834.5</v>
      </c>
      <c r="L1912" s="6">
        <v>823</v>
      </c>
      <c r="M1912" s="270">
        <f t="shared" si="58"/>
        <v>-11.5</v>
      </c>
      <c r="N1912" s="19"/>
      <c r="O1912" s="277"/>
      <c r="P1912" s="345">
        <v>9150</v>
      </c>
      <c r="Q1912" s="28">
        <v>0.12330000000000001</v>
      </c>
      <c r="U1912" s="29">
        <v>0</v>
      </c>
      <c r="V1912" s="383"/>
      <c r="W1912" s="741">
        <f t="shared" si="57"/>
        <v>1128.1950000000002</v>
      </c>
    </row>
    <row r="1913" spans="1:24" ht="15" customHeight="1">
      <c r="A1913" s="3">
        <v>38558</v>
      </c>
      <c r="B1913" s="4">
        <v>34675</v>
      </c>
      <c r="D1913" s="5">
        <v>18625</v>
      </c>
      <c r="E1913" s="5">
        <f t="shared" si="56"/>
        <v>7825</v>
      </c>
      <c r="F1913" s="5">
        <v>61125</v>
      </c>
      <c r="K1913" s="24">
        <v>845.5</v>
      </c>
      <c r="L1913" s="6">
        <v>823</v>
      </c>
      <c r="M1913" s="270">
        <f t="shared" si="58"/>
        <v>-22.5</v>
      </c>
      <c r="N1913" s="19"/>
      <c r="O1913" s="277"/>
      <c r="P1913" s="345">
        <v>9165</v>
      </c>
      <c r="Q1913" s="28">
        <v>0.12330000000000001</v>
      </c>
      <c r="U1913" s="29">
        <v>0</v>
      </c>
      <c r="V1913" s="383"/>
      <c r="W1913" s="741">
        <f t="shared" si="57"/>
        <v>1130.0445</v>
      </c>
    </row>
    <row r="1914" spans="1:24" ht="15" customHeight="1">
      <c r="A1914" s="3">
        <v>38559</v>
      </c>
      <c r="B1914" s="4">
        <v>34600</v>
      </c>
      <c r="D1914" s="5">
        <v>18625</v>
      </c>
      <c r="E1914" s="5">
        <f t="shared" si="56"/>
        <v>7825</v>
      </c>
      <c r="F1914" s="5">
        <v>61050</v>
      </c>
      <c r="K1914" s="24">
        <v>844</v>
      </c>
      <c r="L1914" s="6">
        <v>822</v>
      </c>
      <c r="M1914" s="270">
        <f t="shared" si="58"/>
        <v>-22</v>
      </c>
      <c r="N1914" s="19"/>
      <c r="O1914" s="277"/>
      <c r="P1914" s="345">
        <v>9165</v>
      </c>
      <c r="Q1914" s="28">
        <v>0.12330000000000001</v>
      </c>
      <c r="U1914" s="29">
        <v>0</v>
      </c>
      <c r="V1914" s="383"/>
      <c r="W1914" s="741">
        <f t="shared" si="57"/>
        <v>1130.0445</v>
      </c>
    </row>
    <row r="1915" spans="1:24" ht="15" customHeight="1">
      <c r="A1915" s="3">
        <v>38560</v>
      </c>
      <c r="B1915" s="4">
        <v>34250</v>
      </c>
      <c r="D1915" s="5">
        <v>18625</v>
      </c>
      <c r="E1915" s="5">
        <f t="shared" si="56"/>
        <v>7825</v>
      </c>
      <c r="F1915" s="5">
        <v>60700</v>
      </c>
      <c r="K1915" s="24">
        <v>852</v>
      </c>
      <c r="L1915" s="6">
        <v>835</v>
      </c>
      <c r="M1915" s="270">
        <f t="shared" si="58"/>
        <v>-17</v>
      </c>
      <c r="N1915" s="19"/>
      <c r="O1915" s="277"/>
      <c r="P1915" s="345">
        <v>9160</v>
      </c>
      <c r="Q1915" s="28">
        <v>0.12330000000000001</v>
      </c>
      <c r="U1915" s="29">
        <v>0</v>
      </c>
      <c r="V1915" s="383"/>
      <c r="W1915" s="741">
        <f t="shared" si="57"/>
        <v>1129.4280000000001</v>
      </c>
    </row>
    <row r="1916" spans="1:24" ht="15" customHeight="1">
      <c r="A1916" s="3">
        <v>38561</v>
      </c>
      <c r="B1916" s="4">
        <v>33875</v>
      </c>
      <c r="D1916" s="5">
        <v>18575</v>
      </c>
      <c r="E1916" s="5">
        <f t="shared" si="56"/>
        <v>7700</v>
      </c>
      <c r="F1916" s="5">
        <v>60150</v>
      </c>
      <c r="K1916" s="24">
        <v>855</v>
      </c>
      <c r="L1916" s="6">
        <v>831.5</v>
      </c>
      <c r="M1916" s="270">
        <f t="shared" si="58"/>
        <v>-23.5</v>
      </c>
      <c r="N1916" s="19"/>
      <c r="O1916" s="277"/>
      <c r="P1916" s="345">
        <v>9125</v>
      </c>
      <c r="Q1916" s="28">
        <v>0.12330000000000001</v>
      </c>
      <c r="U1916" s="29">
        <v>0</v>
      </c>
      <c r="V1916" s="383"/>
      <c r="W1916" s="741">
        <f t="shared" si="57"/>
        <v>1125.1125</v>
      </c>
    </row>
    <row r="1917" spans="1:24" ht="15" customHeight="1" thickBot="1">
      <c r="A1917" s="12">
        <v>38562</v>
      </c>
      <c r="B1917" s="13">
        <v>38500</v>
      </c>
      <c r="C1917" s="13"/>
      <c r="D1917" s="14">
        <v>18475</v>
      </c>
      <c r="E1917" s="14">
        <f t="shared" si="56"/>
        <v>7675</v>
      </c>
      <c r="F1917" s="14">
        <v>64650</v>
      </c>
      <c r="G1917" s="14"/>
      <c r="H1917" s="14"/>
      <c r="I1917" s="14"/>
      <c r="J1917" s="264"/>
      <c r="K1917" s="25">
        <v>871.5</v>
      </c>
      <c r="L1917" s="15">
        <v>852</v>
      </c>
      <c r="M1917" s="271">
        <f t="shared" si="58"/>
        <v>-19.5</v>
      </c>
      <c r="N1917" s="20">
        <f>AVERAGE(K1897:K1917)</f>
        <v>854.47619047619048</v>
      </c>
      <c r="O1917" s="278"/>
      <c r="P1917" s="346">
        <v>9150</v>
      </c>
      <c r="Q1917" s="30">
        <v>0.12330000000000001</v>
      </c>
      <c r="R1917" s="30"/>
      <c r="S1917" s="30"/>
      <c r="T1917" s="30"/>
      <c r="U1917" s="31">
        <v>0</v>
      </c>
      <c r="V1917" s="740">
        <f>AVERAGE(P1897:P1917)</f>
        <v>9188.8095238095229</v>
      </c>
      <c r="W1917" s="741">
        <f t="shared" si="57"/>
        <v>1128.1950000000002</v>
      </c>
      <c r="X1917" s="33"/>
    </row>
    <row r="1918" spans="1:24" ht="15" customHeight="1">
      <c r="A1918" s="3">
        <v>38565</v>
      </c>
      <c r="B1918" s="4">
        <v>38200</v>
      </c>
      <c r="D1918" s="5">
        <v>18550</v>
      </c>
      <c r="E1918" s="5">
        <f t="shared" si="56"/>
        <v>7675</v>
      </c>
      <c r="F1918" s="5">
        <v>64425</v>
      </c>
      <c r="K1918" s="24">
        <v>872</v>
      </c>
      <c r="L1918" s="6">
        <v>856</v>
      </c>
      <c r="M1918" s="270">
        <f t="shared" si="58"/>
        <v>-16</v>
      </c>
      <c r="N1918" s="19"/>
      <c r="O1918" s="277"/>
      <c r="P1918" s="345">
        <v>9150</v>
      </c>
      <c r="Q1918" s="28">
        <v>0.1234</v>
      </c>
      <c r="U1918" s="29">
        <v>0</v>
      </c>
      <c r="V1918" s="383"/>
      <c r="W1918" s="741">
        <f t="shared" si="57"/>
        <v>1129.1099999999999</v>
      </c>
    </row>
    <row r="1919" spans="1:24" ht="15" customHeight="1">
      <c r="A1919" s="3">
        <v>38566</v>
      </c>
      <c r="B1919" s="4">
        <v>38000</v>
      </c>
      <c r="D1919" s="5">
        <v>18350</v>
      </c>
      <c r="E1919" s="5">
        <f t="shared" si="56"/>
        <v>7675</v>
      </c>
      <c r="F1919" s="5">
        <v>64025</v>
      </c>
      <c r="K1919" s="24">
        <v>889</v>
      </c>
      <c r="L1919" s="6">
        <v>875</v>
      </c>
      <c r="M1919" s="270">
        <f t="shared" si="58"/>
        <v>-14</v>
      </c>
      <c r="N1919" s="19"/>
      <c r="O1919" s="277"/>
      <c r="P1919" s="345">
        <v>9150</v>
      </c>
      <c r="Q1919" s="28">
        <v>0.1234</v>
      </c>
      <c r="U1919" s="29">
        <v>0</v>
      </c>
      <c r="V1919" s="383"/>
      <c r="W1919" s="741">
        <f t="shared" si="57"/>
        <v>1129.1099999999999</v>
      </c>
    </row>
    <row r="1920" spans="1:24" ht="15" customHeight="1">
      <c r="A1920" s="3">
        <v>38567</v>
      </c>
      <c r="B1920" s="4">
        <v>37950</v>
      </c>
      <c r="D1920" s="5">
        <v>18325</v>
      </c>
      <c r="E1920" s="5">
        <f t="shared" si="56"/>
        <v>7675</v>
      </c>
      <c r="F1920" s="5">
        <v>63950</v>
      </c>
      <c r="K1920" s="24">
        <v>884</v>
      </c>
      <c r="L1920" s="6">
        <v>869</v>
      </c>
      <c r="M1920" s="270">
        <f t="shared" si="58"/>
        <v>-15</v>
      </c>
      <c r="N1920" s="19"/>
      <c r="O1920" s="277"/>
      <c r="P1920" s="345">
        <v>9200</v>
      </c>
      <c r="Q1920" s="28">
        <v>0.1234</v>
      </c>
      <c r="U1920" s="29">
        <v>0</v>
      </c>
      <c r="V1920" s="383"/>
      <c r="W1920" s="741">
        <f t="shared" si="57"/>
        <v>1135.28</v>
      </c>
    </row>
    <row r="1921" spans="1:23" ht="15" customHeight="1">
      <c r="A1921" s="3">
        <v>38568</v>
      </c>
      <c r="B1921" s="4">
        <v>38150</v>
      </c>
      <c r="D1921" s="5">
        <v>18150</v>
      </c>
      <c r="E1921" s="5">
        <f t="shared" si="56"/>
        <v>7650</v>
      </c>
      <c r="F1921" s="5">
        <v>63950</v>
      </c>
      <c r="K1921" s="24">
        <v>884</v>
      </c>
      <c r="L1921" s="6">
        <v>864</v>
      </c>
      <c r="M1921" s="270">
        <f t="shared" si="58"/>
        <v>-20</v>
      </c>
      <c r="N1921" s="19"/>
      <c r="O1921" s="277"/>
      <c r="P1921" s="345">
        <v>9175</v>
      </c>
      <c r="Q1921" s="28">
        <v>0.1234</v>
      </c>
      <c r="U1921" s="29">
        <v>0</v>
      </c>
      <c r="V1921" s="383"/>
      <c r="W1921" s="741">
        <f t="shared" si="57"/>
        <v>1132.1949999999999</v>
      </c>
    </row>
    <row r="1922" spans="1:23" ht="15" customHeight="1">
      <c r="A1922" s="3">
        <v>38569</v>
      </c>
      <c r="B1922" s="4">
        <v>37775</v>
      </c>
      <c r="D1922" s="5">
        <v>17900</v>
      </c>
      <c r="E1922" s="5">
        <f t="shared" si="56"/>
        <v>7650</v>
      </c>
      <c r="F1922" s="5">
        <v>63325</v>
      </c>
      <c r="K1922" s="24">
        <v>878.5</v>
      </c>
      <c r="L1922" s="6">
        <v>863.5</v>
      </c>
      <c r="M1922" s="270">
        <f t="shared" si="58"/>
        <v>-15</v>
      </c>
      <c r="N1922" s="19"/>
      <c r="O1922" s="277"/>
      <c r="P1922" s="345">
        <v>9175</v>
      </c>
      <c r="Q1922" s="28">
        <v>0.1234</v>
      </c>
      <c r="U1922" s="29">
        <v>0</v>
      </c>
      <c r="V1922" s="383"/>
      <c r="W1922" s="741">
        <f t="shared" si="57"/>
        <v>1132.1949999999999</v>
      </c>
    </row>
    <row r="1923" spans="1:23" ht="15" customHeight="1">
      <c r="A1923" s="3">
        <v>38572</v>
      </c>
      <c r="B1923" s="4">
        <v>37000</v>
      </c>
      <c r="D1923" s="5">
        <v>17600</v>
      </c>
      <c r="E1923" s="5">
        <f t="shared" si="56"/>
        <v>7650</v>
      </c>
      <c r="F1923" s="5">
        <v>62250</v>
      </c>
      <c r="K1923" s="24">
        <v>855.5</v>
      </c>
      <c r="L1923" s="6">
        <v>840</v>
      </c>
      <c r="M1923" s="270">
        <f t="shared" si="58"/>
        <v>-15.5</v>
      </c>
      <c r="N1923" s="19"/>
      <c r="O1923" s="277"/>
      <c r="P1923" s="345">
        <v>9200</v>
      </c>
      <c r="Q1923" s="28">
        <v>0.1234</v>
      </c>
      <c r="U1923" s="29">
        <v>0</v>
      </c>
      <c r="V1923" s="383"/>
      <c r="W1923" s="741">
        <f t="shared" si="57"/>
        <v>1135.28</v>
      </c>
    </row>
    <row r="1924" spans="1:23" ht="15" customHeight="1">
      <c r="A1924" s="3">
        <v>38573</v>
      </c>
      <c r="B1924" s="4">
        <v>37200</v>
      </c>
      <c r="D1924" s="5">
        <v>17275</v>
      </c>
      <c r="E1924" s="5">
        <f t="shared" si="56"/>
        <v>7650</v>
      </c>
      <c r="F1924" s="5">
        <v>62125</v>
      </c>
      <c r="K1924" s="24">
        <v>844</v>
      </c>
      <c r="L1924" s="6">
        <v>827.5</v>
      </c>
      <c r="M1924" s="270">
        <f t="shared" si="58"/>
        <v>-16.5</v>
      </c>
      <c r="N1924" s="19"/>
      <c r="O1924" s="277"/>
      <c r="P1924" s="345">
        <v>9150</v>
      </c>
      <c r="Q1924" s="28">
        <v>0.12330000000000001</v>
      </c>
      <c r="U1924" s="29">
        <v>0</v>
      </c>
      <c r="V1924" s="383"/>
      <c r="W1924" s="741">
        <f t="shared" si="57"/>
        <v>1128.1950000000002</v>
      </c>
    </row>
    <row r="1925" spans="1:23" ht="15" customHeight="1">
      <c r="A1925" s="3">
        <v>38574</v>
      </c>
      <c r="B1925" s="4">
        <v>37200</v>
      </c>
      <c r="D1925" s="5">
        <v>17075</v>
      </c>
      <c r="E1925" s="5">
        <f t="shared" si="56"/>
        <v>7650</v>
      </c>
      <c r="F1925" s="5">
        <v>61925</v>
      </c>
      <c r="K1925" s="24">
        <v>874</v>
      </c>
      <c r="L1925" s="6">
        <v>851.5</v>
      </c>
      <c r="M1925" s="270">
        <f t="shared" si="58"/>
        <v>-22.5</v>
      </c>
      <c r="N1925" s="19"/>
      <c r="O1925" s="277"/>
      <c r="P1925" s="345">
        <v>9175</v>
      </c>
      <c r="Q1925" s="28">
        <v>0.12330000000000001</v>
      </c>
      <c r="U1925" s="29">
        <v>0</v>
      </c>
      <c r="V1925" s="383"/>
      <c r="W1925" s="741">
        <f t="shared" si="57"/>
        <v>1131.2775000000001</v>
      </c>
    </row>
    <row r="1926" spans="1:23" ht="15" customHeight="1">
      <c r="A1926" s="3">
        <v>38575</v>
      </c>
      <c r="B1926" s="4">
        <v>36300</v>
      </c>
      <c r="D1926" s="5">
        <v>17000</v>
      </c>
      <c r="E1926" s="5">
        <f t="shared" si="56"/>
        <v>7650</v>
      </c>
      <c r="F1926" s="5">
        <v>60950</v>
      </c>
      <c r="K1926" s="24">
        <v>867.5</v>
      </c>
      <c r="L1926" s="6">
        <v>847</v>
      </c>
      <c r="M1926" s="270">
        <f t="shared" si="58"/>
        <v>-20.5</v>
      </c>
      <c r="N1926" s="19"/>
      <c r="O1926" s="277"/>
      <c r="P1926" s="345">
        <v>9250</v>
      </c>
      <c r="Q1926" s="28">
        <v>0.1234</v>
      </c>
      <c r="U1926" s="29">
        <v>0</v>
      </c>
      <c r="V1926" s="383"/>
      <c r="W1926" s="741">
        <f t="shared" si="57"/>
        <v>1141.45</v>
      </c>
    </row>
    <row r="1927" spans="1:23" ht="15" customHeight="1">
      <c r="A1927" s="3">
        <v>38576</v>
      </c>
      <c r="B1927" s="4">
        <v>36550</v>
      </c>
      <c r="D1927" s="5">
        <v>16875</v>
      </c>
      <c r="E1927" s="5">
        <f t="shared" si="56"/>
        <v>7525</v>
      </c>
      <c r="F1927" s="5">
        <v>60950</v>
      </c>
      <c r="K1927" s="24">
        <v>914</v>
      </c>
      <c r="L1927" s="6">
        <v>888</v>
      </c>
      <c r="M1927" s="270">
        <f t="shared" si="58"/>
        <v>-26</v>
      </c>
      <c r="N1927" s="19"/>
      <c r="O1927" s="277"/>
      <c r="P1927" s="345">
        <v>9175</v>
      </c>
      <c r="Q1927" s="28">
        <v>0.1234</v>
      </c>
      <c r="U1927" s="29">
        <v>0</v>
      </c>
      <c r="V1927" s="383"/>
      <c r="W1927" s="741">
        <f t="shared" si="57"/>
        <v>1132.1949999999999</v>
      </c>
    </row>
    <row r="1928" spans="1:23" ht="15" customHeight="1">
      <c r="A1928" s="3">
        <v>38579</v>
      </c>
      <c r="B1928" s="4">
        <v>36275</v>
      </c>
      <c r="D1928" s="5">
        <v>16750</v>
      </c>
      <c r="E1928" s="5">
        <f t="shared" si="56"/>
        <v>7650</v>
      </c>
      <c r="F1928" s="5">
        <v>60675</v>
      </c>
      <c r="K1928" s="24">
        <v>903</v>
      </c>
      <c r="L1928" s="6">
        <v>880</v>
      </c>
      <c r="M1928" s="270">
        <f t="shared" si="58"/>
        <v>-23</v>
      </c>
      <c r="N1928" s="19"/>
      <c r="O1928" s="277"/>
      <c r="P1928" s="345">
        <v>9250</v>
      </c>
      <c r="Q1928" s="28">
        <v>0.1234</v>
      </c>
      <c r="U1928" s="29">
        <v>0</v>
      </c>
      <c r="V1928" s="383"/>
      <c r="W1928" s="741">
        <f t="shared" si="57"/>
        <v>1141.45</v>
      </c>
    </row>
    <row r="1929" spans="1:23" ht="15" customHeight="1">
      <c r="A1929" s="3">
        <v>38580</v>
      </c>
      <c r="B1929" s="4">
        <v>35900</v>
      </c>
      <c r="D1929" s="5">
        <v>16700</v>
      </c>
      <c r="E1929" s="5">
        <f t="shared" si="56"/>
        <v>7650</v>
      </c>
      <c r="F1929" s="5">
        <v>60250</v>
      </c>
      <c r="K1929" s="24">
        <v>889</v>
      </c>
      <c r="L1929" s="6">
        <v>868</v>
      </c>
      <c r="M1929" s="270">
        <f t="shared" si="58"/>
        <v>-21</v>
      </c>
      <c r="N1929" s="19"/>
      <c r="O1929" s="277"/>
      <c r="P1929" s="345">
        <v>9250</v>
      </c>
      <c r="Q1929" s="28">
        <v>0.1234</v>
      </c>
      <c r="U1929" s="29">
        <v>0</v>
      </c>
      <c r="V1929" s="383"/>
      <c r="W1929" s="741">
        <f t="shared" si="57"/>
        <v>1141.45</v>
      </c>
    </row>
    <row r="1930" spans="1:23" ht="15" customHeight="1">
      <c r="A1930" s="3">
        <v>38581</v>
      </c>
      <c r="B1930" s="4">
        <v>35275</v>
      </c>
      <c r="D1930" s="5">
        <v>16625</v>
      </c>
      <c r="E1930" s="5">
        <f t="shared" si="56"/>
        <v>7650</v>
      </c>
      <c r="F1930" s="5">
        <v>59550</v>
      </c>
      <c r="K1930" s="24">
        <v>870</v>
      </c>
      <c r="L1930" s="6">
        <v>855</v>
      </c>
      <c r="M1930" s="270">
        <f t="shared" si="58"/>
        <v>-15</v>
      </c>
      <c r="N1930" s="19"/>
      <c r="O1930" s="277"/>
      <c r="P1930" s="345">
        <v>9225</v>
      </c>
      <c r="Q1930" s="28">
        <v>0.1234</v>
      </c>
      <c r="U1930" s="29">
        <v>0</v>
      </c>
      <c r="V1930" s="383"/>
      <c r="W1930" s="741">
        <f t="shared" si="57"/>
        <v>1138.365</v>
      </c>
    </row>
    <row r="1931" spans="1:23" ht="15" customHeight="1">
      <c r="A1931" s="3">
        <v>38582</v>
      </c>
      <c r="B1931" s="4">
        <v>35075</v>
      </c>
      <c r="D1931" s="5">
        <v>16525</v>
      </c>
      <c r="E1931" s="5">
        <f t="shared" si="56"/>
        <v>7650</v>
      </c>
      <c r="F1931" s="5">
        <v>59250</v>
      </c>
      <c r="K1931" s="24">
        <v>875</v>
      </c>
      <c r="L1931" s="6">
        <v>850</v>
      </c>
      <c r="M1931" s="270">
        <f t="shared" si="58"/>
        <v>-25</v>
      </c>
      <c r="N1931" s="19"/>
      <c r="O1931" s="277"/>
      <c r="P1931" s="345">
        <v>9225</v>
      </c>
      <c r="Q1931" s="28">
        <v>0.1234</v>
      </c>
      <c r="U1931" s="29">
        <v>0</v>
      </c>
      <c r="V1931" s="383"/>
      <c r="W1931" s="741">
        <f t="shared" si="57"/>
        <v>1138.365</v>
      </c>
    </row>
    <row r="1932" spans="1:23" ht="15" customHeight="1">
      <c r="A1932" s="3">
        <v>38583</v>
      </c>
      <c r="B1932" s="4">
        <v>34675</v>
      </c>
      <c r="D1932" s="5">
        <v>16325</v>
      </c>
      <c r="E1932" s="5">
        <f t="shared" si="56"/>
        <v>7650</v>
      </c>
      <c r="F1932" s="5">
        <v>58650</v>
      </c>
      <c r="K1932" s="24">
        <v>878.5</v>
      </c>
      <c r="L1932" s="6">
        <v>853</v>
      </c>
      <c r="M1932" s="270">
        <f t="shared" si="58"/>
        <v>-25.5</v>
      </c>
      <c r="N1932" s="19"/>
      <c r="O1932" s="277"/>
      <c r="P1932" s="345">
        <v>9225</v>
      </c>
      <c r="Q1932" s="28">
        <v>0.1234</v>
      </c>
      <c r="U1932" s="29">
        <v>0</v>
      </c>
      <c r="V1932" s="383"/>
      <c r="W1932" s="741">
        <f t="shared" si="57"/>
        <v>1138.365</v>
      </c>
    </row>
    <row r="1933" spans="1:23" ht="15" customHeight="1">
      <c r="A1933" s="3">
        <v>38586</v>
      </c>
      <c r="B1933" s="4">
        <v>34500</v>
      </c>
      <c r="D1933" s="5">
        <v>16125</v>
      </c>
      <c r="E1933" s="5">
        <f t="shared" si="56"/>
        <v>7650</v>
      </c>
      <c r="F1933" s="5">
        <v>58275</v>
      </c>
      <c r="K1933" s="24">
        <v>905</v>
      </c>
      <c r="L1933" s="6">
        <v>867</v>
      </c>
      <c r="M1933" s="270">
        <f t="shared" si="58"/>
        <v>-38</v>
      </c>
      <c r="N1933" s="19"/>
      <c r="O1933" s="277"/>
      <c r="P1933" s="345">
        <v>9225</v>
      </c>
      <c r="Q1933" s="28">
        <v>0.1234</v>
      </c>
      <c r="U1933" s="29">
        <v>0</v>
      </c>
      <c r="V1933" s="383"/>
      <c r="W1933" s="741">
        <f t="shared" si="57"/>
        <v>1138.365</v>
      </c>
    </row>
    <row r="1934" spans="1:23" ht="15" customHeight="1">
      <c r="A1934" s="3">
        <v>38587</v>
      </c>
      <c r="B1934" s="4">
        <v>33875</v>
      </c>
      <c r="D1934" s="5">
        <v>16050</v>
      </c>
      <c r="E1934" s="5">
        <f t="shared" si="56"/>
        <v>7650</v>
      </c>
      <c r="F1934" s="5">
        <v>57575</v>
      </c>
      <c r="K1934" s="24">
        <v>908.5</v>
      </c>
      <c r="L1934" s="6">
        <v>869</v>
      </c>
      <c r="M1934" s="270">
        <f t="shared" si="58"/>
        <v>-39.5</v>
      </c>
      <c r="N1934" s="19"/>
      <c r="O1934" s="277"/>
      <c r="P1934" s="345">
        <v>9225</v>
      </c>
      <c r="Q1934" s="28">
        <v>0.1234</v>
      </c>
      <c r="U1934" s="29">
        <v>0</v>
      </c>
      <c r="V1934" s="383"/>
      <c r="W1934" s="741">
        <f t="shared" si="57"/>
        <v>1138.365</v>
      </c>
    </row>
    <row r="1935" spans="1:23" ht="15" customHeight="1">
      <c r="A1935" s="3">
        <v>38588</v>
      </c>
      <c r="B1935" s="4">
        <v>33475</v>
      </c>
      <c r="D1935" s="5">
        <v>15950</v>
      </c>
      <c r="E1935" s="5">
        <f t="shared" si="56"/>
        <v>7550</v>
      </c>
      <c r="F1935" s="5">
        <v>56975</v>
      </c>
      <c r="K1935" s="24">
        <v>913</v>
      </c>
      <c r="L1935" s="6">
        <v>873</v>
      </c>
      <c r="M1935" s="270">
        <f t="shared" si="58"/>
        <v>-40</v>
      </c>
      <c r="N1935" s="19"/>
      <c r="O1935" s="277"/>
      <c r="P1935" s="345">
        <v>9225</v>
      </c>
      <c r="Q1935" s="28">
        <v>0.1234</v>
      </c>
      <c r="U1935" s="29">
        <v>0</v>
      </c>
      <c r="V1935" s="383"/>
      <c r="W1935" s="741">
        <f t="shared" si="57"/>
        <v>1138.365</v>
      </c>
    </row>
    <row r="1936" spans="1:23" ht="15" customHeight="1">
      <c r="A1936" s="3">
        <v>38589</v>
      </c>
      <c r="B1936" s="4">
        <v>32875</v>
      </c>
      <c r="D1936" s="5">
        <v>15800</v>
      </c>
      <c r="E1936" s="5">
        <f t="shared" si="56"/>
        <v>7550</v>
      </c>
      <c r="F1936" s="5">
        <v>56225</v>
      </c>
      <c r="K1936" s="24">
        <v>895</v>
      </c>
      <c r="L1936" s="6">
        <v>862</v>
      </c>
      <c r="M1936" s="270">
        <f t="shared" si="58"/>
        <v>-33</v>
      </c>
      <c r="N1936" s="19"/>
      <c r="O1936" s="280"/>
      <c r="P1936" s="345">
        <v>9200</v>
      </c>
      <c r="Q1936" s="28">
        <v>0.1235</v>
      </c>
      <c r="U1936" s="29">
        <v>0</v>
      </c>
      <c r="V1936" s="383"/>
      <c r="W1936" s="741">
        <f t="shared" si="57"/>
        <v>1136.2</v>
      </c>
    </row>
    <row r="1937" spans="1:24" ht="15" customHeight="1">
      <c r="A1937" s="3">
        <v>38590</v>
      </c>
      <c r="B1937" s="4">
        <v>32175</v>
      </c>
      <c r="D1937" s="5">
        <v>15725</v>
      </c>
      <c r="E1937" s="5">
        <f t="shared" si="56"/>
        <v>7550</v>
      </c>
      <c r="F1937" s="5">
        <v>55450</v>
      </c>
      <c r="K1937" s="24">
        <v>905</v>
      </c>
      <c r="L1937" s="6">
        <v>875</v>
      </c>
      <c r="M1937" s="270">
        <f t="shared" si="58"/>
        <v>-30</v>
      </c>
      <c r="N1937" s="19"/>
      <c r="O1937" s="280"/>
      <c r="P1937" s="345">
        <v>9175</v>
      </c>
      <c r="Q1937" s="28">
        <v>0.1235</v>
      </c>
      <c r="U1937" s="29">
        <v>0</v>
      </c>
      <c r="V1937" s="383"/>
      <c r="W1937" s="741">
        <f t="shared" si="57"/>
        <v>1133.1125</v>
      </c>
    </row>
    <row r="1938" spans="1:24" ht="15" customHeight="1">
      <c r="A1938" s="3">
        <v>38594</v>
      </c>
      <c r="B1938" s="4">
        <v>31825</v>
      </c>
      <c r="D1938" s="5">
        <v>15650</v>
      </c>
      <c r="E1938" s="5">
        <f t="shared" si="56"/>
        <v>7550</v>
      </c>
      <c r="F1938" s="5">
        <v>55025</v>
      </c>
      <c r="K1938" s="24">
        <v>908</v>
      </c>
      <c r="L1938" s="6">
        <v>860</v>
      </c>
      <c r="M1938" s="270">
        <f t="shared" si="58"/>
        <v>-48</v>
      </c>
      <c r="N1938" s="19"/>
      <c r="O1938" s="280"/>
      <c r="P1938" s="345">
        <v>9175</v>
      </c>
      <c r="Q1938" s="28">
        <v>0.1235</v>
      </c>
      <c r="U1938" s="29">
        <v>0</v>
      </c>
      <c r="V1938" s="383"/>
      <c r="W1938" s="741">
        <f t="shared" si="57"/>
        <v>1133.1125</v>
      </c>
    </row>
    <row r="1939" spans="1:24" ht="15" customHeight="1" thickBot="1">
      <c r="A1939" s="12">
        <v>38595</v>
      </c>
      <c r="B1939" s="13">
        <v>31350</v>
      </c>
      <c r="C1939" s="13"/>
      <c r="D1939" s="14">
        <v>15300</v>
      </c>
      <c r="E1939" s="14">
        <f t="shared" si="56"/>
        <v>7550</v>
      </c>
      <c r="F1939" s="14">
        <v>54200</v>
      </c>
      <c r="G1939" s="14"/>
      <c r="H1939" s="14"/>
      <c r="I1939" s="14"/>
      <c r="J1939" s="264"/>
      <c r="K1939" s="25">
        <v>902</v>
      </c>
      <c r="L1939" s="15">
        <v>863</v>
      </c>
      <c r="M1939" s="271">
        <f t="shared" si="58"/>
        <v>-39</v>
      </c>
      <c r="N1939" s="20">
        <f>AVERAGE(K1918:K1939)</f>
        <v>887.02272727272725</v>
      </c>
      <c r="O1939" s="281"/>
      <c r="P1939" s="346">
        <v>9175</v>
      </c>
      <c r="Q1939" s="30">
        <v>0.1235</v>
      </c>
      <c r="R1939" s="30"/>
      <c r="S1939" s="30"/>
      <c r="T1939" s="30"/>
      <c r="U1939" s="31">
        <v>0</v>
      </c>
      <c r="V1939" s="740">
        <f>AVERAGE(P1918:P1939)</f>
        <v>9198.863636363636</v>
      </c>
      <c r="W1939" s="741">
        <f t="shared" si="57"/>
        <v>1133.1125</v>
      </c>
      <c r="X1939" s="33"/>
    </row>
    <row r="1940" spans="1:24" ht="15" customHeight="1">
      <c r="A1940" s="3">
        <v>38596</v>
      </c>
      <c r="B1940" s="4">
        <v>31350</v>
      </c>
      <c r="D1940" s="5">
        <v>15150</v>
      </c>
      <c r="E1940" s="5">
        <f t="shared" si="56"/>
        <v>7550</v>
      </c>
      <c r="F1940" s="5">
        <v>54050</v>
      </c>
      <c r="K1940" s="24">
        <v>905.5</v>
      </c>
      <c r="L1940" s="6">
        <v>867.5</v>
      </c>
      <c r="M1940" s="270">
        <f t="shared" si="58"/>
        <v>-38</v>
      </c>
      <c r="N1940" s="19"/>
      <c r="O1940" s="280"/>
      <c r="P1940" s="345">
        <v>9175</v>
      </c>
      <c r="Q1940" s="28">
        <v>0.1235</v>
      </c>
      <c r="U1940" s="29">
        <v>0</v>
      </c>
      <c r="V1940" s="383"/>
      <c r="W1940" s="741">
        <f t="shared" si="57"/>
        <v>1133.1125</v>
      </c>
    </row>
    <row r="1941" spans="1:24" ht="15" customHeight="1">
      <c r="A1941" s="3">
        <v>38597</v>
      </c>
      <c r="B1941" s="4">
        <v>30875</v>
      </c>
      <c r="D1941" s="5">
        <v>15100</v>
      </c>
      <c r="E1941" s="5">
        <f t="shared" si="56"/>
        <v>7550</v>
      </c>
      <c r="F1941" s="5">
        <v>53525</v>
      </c>
      <c r="K1941" s="24">
        <v>945</v>
      </c>
      <c r="L1941" s="6">
        <v>895</v>
      </c>
      <c r="M1941" s="270">
        <f t="shared" si="58"/>
        <v>-50</v>
      </c>
      <c r="N1941" s="19"/>
      <c r="O1941" s="280"/>
      <c r="P1941" s="345">
        <v>9150</v>
      </c>
      <c r="Q1941" s="28">
        <v>0.1235</v>
      </c>
      <c r="U1941" s="29">
        <v>0</v>
      </c>
      <c r="V1941" s="383"/>
      <c r="W1941" s="741">
        <f t="shared" si="57"/>
        <v>1130.0250000000001</v>
      </c>
    </row>
    <row r="1942" spans="1:24" ht="15" customHeight="1">
      <c r="A1942" s="3">
        <v>38600</v>
      </c>
      <c r="B1942" s="4">
        <v>30375</v>
      </c>
      <c r="D1942" s="5">
        <v>15000</v>
      </c>
      <c r="E1942" s="5">
        <f t="shared" si="56"/>
        <v>7550</v>
      </c>
      <c r="F1942" s="5">
        <v>52925</v>
      </c>
      <c r="K1942" s="24">
        <v>932</v>
      </c>
      <c r="L1942" s="6">
        <v>889.5</v>
      </c>
      <c r="M1942" s="270">
        <f t="shared" si="58"/>
        <v>-42.5</v>
      </c>
      <c r="N1942" s="19"/>
      <c r="O1942" s="280"/>
      <c r="P1942" s="345">
        <v>9150</v>
      </c>
      <c r="Q1942" s="28">
        <v>0.1236</v>
      </c>
      <c r="U1942" s="29">
        <v>0</v>
      </c>
      <c r="V1942" s="383"/>
      <c r="W1942" s="741">
        <f t="shared" si="57"/>
        <v>1130.94</v>
      </c>
    </row>
    <row r="1943" spans="1:24" ht="15" customHeight="1">
      <c r="A1943" s="3">
        <v>38601</v>
      </c>
      <c r="B1943" s="4">
        <v>30125</v>
      </c>
      <c r="D1943" s="5">
        <v>14800</v>
      </c>
      <c r="E1943" s="5">
        <f t="shared" si="56"/>
        <v>7550</v>
      </c>
      <c r="F1943" s="5">
        <v>52475</v>
      </c>
      <c r="K1943" s="24">
        <v>936</v>
      </c>
      <c r="L1943" s="6">
        <v>894</v>
      </c>
      <c r="M1943" s="270">
        <f t="shared" si="58"/>
        <v>-42</v>
      </c>
      <c r="N1943" s="19"/>
      <c r="O1943" s="280"/>
      <c r="P1943" s="345">
        <v>9150</v>
      </c>
      <c r="Q1943" s="28">
        <v>0.1236</v>
      </c>
      <c r="U1943" s="29">
        <v>0</v>
      </c>
      <c r="V1943" s="383"/>
      <c r="W1943" s="741">
        <f t="shared" si="57"/>
        <v>1130.94</v>
      </c>
    </row>
    <row r="1944" spans="1:24" ht="15" customHeight="1">
      <c r="A1944" s="3">
        <v>38602</v>
      </c>
      <c r="B1944" s="4">
        <v>30125</v>
      </c>
      <c r="D1944" s="5">
        <v>14800</v>
      </c>
      <c r="E1944" s="5">
        <f t="shared" si="56"/>
        <v>7550</v>
      </c>
      <c r="F1944" s="5">
        <v>52475</v>
      </c>
      <c r="K1944" s="24">
        <v>921.5</v>
      </c>
      <c r="L1944" s="6">
        <v>880</v>
      </c>
      <c r="M1944" s="270">
        <f t="shared" si="58"/>
        <v>-41.5</v>
      </c>
      <c r="N1944" s="19"/>
      <c r="O1944" s="280"/>
      <c r="P1944" s="345">
        <v>9175</v>
      </c>
      <c r="Q1944" s="28">
        <v>0.1236</v>
      </c>
      <c r="U1944" s="29">
        <v>0</v>
      </c>
      <c r="V1944" s="383"/>
      <c r="W1944" s="741">
        <f t="shared" si="57"/>
        <v>1134.03</v>
      </c>
    </row>
    <row r="1945" spans="1:24" ht="15" customHeight="1">
      <c r="A1945" s="3">
        <v>38603</v>
      </c>
      <c r="B1945" s="4">
        <v>30075</v>
      </c>
      <c r="D1945" s="5">
        <v>14400</v>
      </c>
      <c r="E1945" s="5">
        <f t="shared" si="56"/>
        <v>7550</v>
      </c>
      <c r="F1945" s="5">
        <v>52025</v>
      </c>
      <c r="K1945" s="24">
        <v>900</v>
      </c>
      <c r="L1945" s="6">
        <v>870</v>
      </c>
      <c r="M1945" s="270">
        <f t="shared" si="58"/>
        <v>-30</v>
      </c>
      <c r="N1945" s="19"/>
      <c r="O1945" s="280"/>
      <c r="P1945" s="345">
        <v>9150</v>
      </c>
      <c r="Q1945" s="28">
        <v>0.1236</v>
      </c>
      <c r="U1945" s="29">
        <v>0</v>
      </c>
      <c r="V1945" s="383"/>
      <c r="W1945" s="741">
        <f t="shared" si="57"/>
        <v>1130.94</v>
      </c>
    </row>
    <row r="1946" spans="1:24" ht="15" customHeight="1">
      <c r="A1946" s="3">
        <v>38604</v>
      </c>
      <c r="B1946" s="4">
        <v>29950</v>
      </c>
      <c r="D1946" s="5">
        <v>14125</v>
      </c>
      <c r="E1946" s="5">
        <f t="shared" si="56"/>
        <v>7550</v>
      </c>
      <c r="F1946" s="5">
        <v>51625</v>
      </c>
      <c r="K1946" s="24">
        <v>895</v>
      </c>
      <c r="L1946" s="6">
        <v>864</v>
      </c>
      <c r="M1946" s="270">
        <f t="shared" si="58"/>
        <v>-31</v>
      </c>
      <c r="N1946" s="19"/>
      <c r="O1946" s="280"/>
      <c r="P1946" s="345">
        <v>9150</v>
      </c>
      <c r="Q1946" s="28">
        <v>0.1235</v>
      </c>
      <c r="U1946" s="29">
        <v>0</v>
      </c>
      <c r="V1946" s="383"/>
      <c r="W1946" s="741">
        <f t="shared" si="57"/>
        <v>1130.0250000000001</v>
      </c>
    </row>
    <row r="1947" spans="1:24" ht="15" customHeight="1">
      <c r="A1947" s="3">
        <v>38607</v>
      </c>
      <c r="B1947" s="4">
        <v>29200</v>
      </c>
      <c r="D1947" s="5">
        <v>13875</v>
      </c>
      <c r="E1947" s="5">
        <f t="shared" si="56"/>
        <v>7550</v>
      </c>
      <c r="F1947" s="5">
        <v>50625</v>
      </c>
      <c r="K1947" s="24">
        <v>897.5</v>
      </c>
      <c r="L1947" s="6">
        <v>866.5</v>
      </c>
      <c r="M1947" s="270">
        <f t="shared" si="58"/>
        <v>-31</v>
      </c>
      <c r="N1947" s="19"/>
      <c r="O1947" s="280"/>
      <c r="P1947" s="345">
        <v>9150</v>
      </c>
      <c r="Q1947" s="28">
        <v>0.1235</v>
      </c>
      <c r="U1947" s="29">
        <v>0</v>
      </c>
      <c r="V1947" s="383"/>
      <c r="W1947" s="741">
        <f t="shared" si="57"/>
        <v>1130.0250000000001</v>
      </c>
    </row>
    <row r="1948" spans="1:24" ht="15" customHeight="1">
      <c r="A1948" s="3">
        <v>38608</v>
      </c>
      <c r="B1948" s="4">
        <v>28350</v>
      </c>
      <c r="D1948" s="5">
        <v>13625</v>
      </c>
      <c r="E1948" s="5">
        <f t="shared" si="56"/>
        <v>7550</v>
      </c>
      <c r="F1948" s="5">
        <v>49525</v>
      </c>
      <c r="K1948" s="24">
        <v>902</v>
      </c>
      <c r="L1948" s="6">
        <v>871</v>
      </c>
      <c r="M1948" s="270">
        <f t="shared" si="58"/>
        <v>-31</v>
      </c>
      <c r="N1948" s="19"/>
      <c r="O1948" s="280"/>
      <c r="P1948" s="345">
        <v>9150</v>
      </c>
      <c r="Q1948" s="28">
        <v>0.1236</v>
      </c>
      <c r="U1948" s="29">
        <v>0</v>
      </c>
      <c r="V1948" s="383"/>
      <c r="W1948" s="741">
        <f t="shared" si="57"/>
        <v>1130.94</v>
      </c>
    </row>
    <row r="1949" spans="1:24" ht="15" customHeight="1">
      <c r="A1949" s="3">
        <v>38609</v>
      </c>
      <c r="B1949" s="4">
        <v>26975</v>
      </c>
      <c r="D1949" s="5">
        <v>13425</v>
      </c>
      <c r="E1949" s="5">
        <f t="shared" si="56"/>
        <v>7550</v>
      </c>
      <c r="F1949" s="5">
        <v>47950</v>
      </c>
      <c r="K1949" s="24">
        <v>902</v>
      </c>
      <c r="L1949" s="6">
        <v>870</v>
      </c>
      <c r="M1949" s="270">
        <f t="shared" si="58"/>
        <v>-32</v>
      </c>
      <c r="N1949" s="19"/>
      <c r="O1949" s="280"/>
      <c r="P1949" s="345">
        <v>9150</v>
      </c>
      <c r="Q1949" s="28">
        <v>0.1236</v>
      </c>
      <c r="U1949" s="29">
        <v>0</v>
      </c>
      <c r="V1949" s="383"/>
      <c r="W1949" s="741">
        <f t="shared" si="57"/>
        <v>1130.94</v>
      </c>
    </row>
    <row r="1950" spans="1:24" ht="15" customHeight="1">
      <c r="A1950" s="3">
        <v>38610</v>
      </c>
      <c r="B1950" s="4">
        <v>26325</v>
      </c>
      <c r="D1950" s="5">
        <v>13175</v>
      </c>
      <c r="E1950" s="5">
        <f t="shared" si="56"/>
        <v>8450</v>
      </c>
      <c r="F1950" s="5">
        <v>47950</v>
      </c>
      <c r="K1950" s="24">
        <v>881</v>
      </c>
      <c r="L1950" s="6">
        <v>852</v>
      </c>
      <c r="M1950" s="270">
        <f t="shared" si="58"/>
        <v>-29</v>
      </c>
      <c r="N1950" s="19"/>
      <c r="O1950" s="280"/>
      <c r="P1950" s="345">
        <v>9150</v>
      </c>
      <c r="Q1950" s="28">
        <v>0.1236</v>
      </c>
      <c r="U1950" s="29">
        <v>0</v>
      </c>
      <c r="V1950" s="383"/>
      <c r="W1950" s="741">
        <f t="shared" si="57"/>
        <v>1130.94</v>
      </c>
    </row>
    <row r="1951" spans="1:24" ht="15" customHeight="1">
      <c r="A1951" s="3">
        <v>38611</v>
      </c>
      <c r="B1951" s="4">
        <v>26050</v>
      </c>
      <c r="D1951" s="5">
        <v>13100</v>
      </c>
      <c r="E1951" s="5">
        <f t="shared" si="56"/>
        <v>7550</v>
      </c>
      <c r="F1951" s="5">
        <v>46700</v>
      </c>
      <c r="K1951" s="24">
        <v>886</v>
      </c>
      <c r="L1951" s="6">
        <v>885</v>
      </c>
      <c r="M1951" s="270">
        <f t="shared" si="58"/>
        <v>-1</v>
      </c>
      <c r="N1951" s="19"/>
      <c r="O1951" s="280"/>
      <c r="P1951" s="345">
        <v>9150</v>
      </c>
      <c r="Q1951" s="28">
        <v>0.1236</v>
      </c>
      <c r="U1951" s="29">
        <v>0</v>
      </c>
      <c r="V1951" s="383"/>
      <c r="W1951" s="741">
        <f t="shared" si="57"/>
        <v>1130.94</v>
      </c>
    </row>
    <row r="1952" spans="1:24" ht="15" customHeight="1">
      <c r="A1952" s="3">
        <v>38614</v>
      </c>
      <c r="B1952" s="4">
        <v>25600</v>
      </c>
      <c r="D1952" s="5">
        <v>13100</v>
      </c>
      <c r="E1952" s="5">
        <f t="shared" si="56"/>
        <v>7550</v>
      </c>
      <c r="F1952" s="5">
        <v>46250</v>
      </c>
      <c r="K1952" s="24">
        <v>884.5</v>
      </c>
      <c r="L1952" s="6">
        <v>849</v>
      </c>
      <c r="M1952" s="270">
        <f t="shared" si="58"/>
        <v>-35.5</v>
      </c>
      <c r="N1952" s="19"/>
      <c r="O1952" s="280"/>
      <c r="P1952" s="345">
        <v>9175</v>
      </c>
      <c r="Q1952" s="28">
        <v>0.1236</v>
      </c>
      <c r="U1952" s="29">
        <v>0</v>
      </c>
      <c r="V1952" s="383"/>
      <c r="W1952" s="741">
        <f t="shared" si="57"/>
        <v>1134.03</v>
      </c>
    </row>
    <row r="1953" spans="1:24" ht="15" customHeight="1">
      <c r="A1953" s="3">
        <v>38615</v>
      </c>
      <c r="B1953" s="4">
        <v>24925</v>
      </c>
      <c r="D1953" s="5">
        <v>12475</v>
      </c>
      <c r="E1953" s="5">
        <f t="shared" si="56"/>
        <v>7550</v>
      </c>
      <c r="F1953" s="5">
        <v>44950</v>
      </c>
      <c r="K1953" s="24">
        <v>929</v>
      </c>
      <c r="L1953" s="6">
        <v>895</v>
      </c>
      <c r="M1953" s="270">
        <f t="shared" si="58"/>
        <v>-34</v>
      </c>
      <c r="N1953" s="19"/>
      <c r="O1953" s="280"/>
      <c r="P1953" s="345">
        <v>9175</v>
      </c>
      <c r="Q1953" s="28">
        <v>0.1236</v>
      </c>
      <c r="U1953" s="29">
        <v>0</v>
      </c>
      <c r="V1953" s="383"/>
      <c r="W1953" s="741">
        <f t="shared" si="57"/>
        <v>1134.03</v>
      </c>
    </row>
    <row r="1954" spans="1:24" ht="15" customHeight="1">
      <c r="A1954" s="3">
        <v>38616</v>
      </c>
      <c r="B1954" s="4">
        <v>24100</v>
      </c>
      <c r="D1954" s="5">
        <v>12125</v>
      </c>
      <c r="E1954" s="5">
        <f t="shared" si="56"/>
        <v>7500</v>
      </c>
      <c r="F1954" s="5">
        <v>43725</v>
      </c>
      <c r="K1954" s="24">
        <v>942</v>
      </c>
      <c r="L1954" s="6">
        <v>907</v>
      </c>
      <c r="M1954" s="270">
        <f t="shared" si="58"/>
        <v>-35</v>
      </c>
      <c r="N1954" s="19"/>
      <c r="O1954" s="280"/>
      <c r="P1954" s="345">
        <v>9175</v>
      </c>
      <c r="Q1954" s="28">
        <v>0.1236</v>
      </c>
      <c r="U1954" s="29">
        <v>0</v>
      </c>
      <c r="V1954" s="383"/>
      <c r="W1954" s="741">
        <f t="shared" si="57"/>
        <v>1134.03</v>
      </c>
    </row>
    <row r="1955" spans="1:24" ht="15" customHeight="1">
      <c r="A1955" s="3">
        <v>38617</v>
      </c>
      <c r="B1955" s="4">
        <v>22825</v>
      </c>
      <c r="D1955" s="5">
        <v>11700</v>
      </c>
      <c r="E1955" s="5">
        <f t="shared" si="56"/>
        <v>7475</v>
      </c>
      <c r="F1955" s="5">
        <v>42000</v>
      </c>
      <c r="K1955" s="24">
        <v>963</v>
      </c>
      <c r="L1955" s="6">
        <v>922</v>
      </c>
      <c r="M1955" s="270">
        <f t="shared" si="58"/>
        <v>-41</v>
      </c>
      <c r="N1955" s="19"/>
      <c r="O1955" s="280"/>
      <c r="P1955" s="345">
        <v>9175</v>
      </c>
      <c r="Q1955" s="28">
        <v>0.1236</v>
      </c>
      <c r="U1955" s="29">
        <v>0</v>
      </c>
      <c r="V1955" s="383"/>
      <c r="W1955" s="741">
        <f t="shared" si="57"/>
        <v>1134.03</v>
      </c>
    </row>
    <row r="1956" spans="1:24" ht="15" customHeight="1">
      <c r="A1956" s="3">
        <v>38618</v>
      </c>
      <c r="B1956" s="4">
        <v>22550</v>
      </c>
      <c r="D1956" s="5">
        <v>11025</v>
      </c>
      <c r="E1956" s="5">
        <f t="shared" si="56"/>
        <v>7475</v>
      </c>
      <c r="F1956" s="5">
        <v>41050</v>
      </c>
      <c r="K1956" s="24">
        <v>972.5</v>
      </c>
      <c r="L1956" s="6">
        <v>932</v>
      </c>
      <c r="M1956" s="270">
        <f t="shared" si="58"/>
        <v>-40.5</v>
      </c>
      <c r="N1956" s="19"/>
      <c r="O1956" s="280"/>
      <c r="P1956" s="345">
        <v>9190</v>
      </c>
      <c r="Q1956" s="28">
        <v>0.1236</v>
      </c>
      <c r="U1956" s="29">
        <v>0</v>
      </c>
      <c r="V1956" s="383"/>
      <c r="W1956" s="741">
        <f t="shared" si="57"/>
        <v>1135.884</v>
      </c>
    </row>
    <row r="1957" spans="1:24" ht="15" customHeight="1">
      <c r="A1957" s="3">
        <v>38621</v>
      </c>
      <c r="B1957" s="4">
        <v>21125</v>
      </c>
      <c r="D1957" s="5">
        <v>10775</v>
      </c>
      <c r="E1957" s="5">
        <f t="shared" si="56"/>
        <v>7475</v>
      </c>
      <c r="F1957" s="5">
        <v>39375</v>
      </c>
      <c r="K1957" s="24">
        <v>975</v>
      </c>
      <c r="L1957" s="6">
        <v>928</v>
      </c>
      <c r="M1957" s="270">
        <f t="shared" si="58"/>
        <v>-47</v>
      </c>
      <c r="N1957" s="19"/>
      <c r="O1957" s="280"/>
      <c r="P1957" s="345">
        <v>9225</v>
      </c>
      <c r="Q1957" s="28">
        <v>0.1236</v>
      </c>
      <c r="U1957" s="29">
        <v>0</v>
      </c>
      <c r="V1957" s="383"/>
      <c r="W1957" s="741">
        <f t="shared" si="57"/>
        <v>1140.21</v>
      </c>
    </row>
    <row r="1958" spans="1:24" ht="15" customHeight="1">
      <c r="A1958" s="3">
        <v>38622</v>
      </c>
      <c r="B1958" s="4">
        <v>22700</v>
      </c>
      <c r="D1958" s="5">
        <v>10575</v>
      </c>
      <c r="E1958" s="5">
        <f t="shared" si="56"/>
        <v>7475</v>
      </c>
      <c r="F1958" s="5">
        <v>40750</v>
      </c>
      <c r="K1958" s="24">
        <v>993</v>
      </c>
      <c r="L1958" s="6">
        <v>956</v>
      </c>
      <c r="M1958" s="270">
        <f t="shared" si="58"/>
        <v>-37</v>
      </c>
      <c r="N1958" s="19"/>
      <c r="O1958" s="280"/>
      <c r="P1958" s="345">
        <v>9250</v>
      </c>
      <c r="Q1958" s="28">
        <v>0.1236</v>
      </c>
      <c r="U1958" s="29">
        <v>0</v>
      </c>
      <c r="V1958" s="383"/>
      <c r="W1958" s="741">
        <f t="shared" si="57"/>
        <v>1143.3</v>
      </c>
    </row>
    <row r="1959" spans="1:24" ht="15" customHeight="1">
      <c r="A1959" s="3">
        <v>38623</v>
      </c>
      <c r="B1959" s="4">
        <v>22550</v>
      </c>
      <c r="D1959" s="5">
        <v>10275</v>
      </c>
      <c r="E1959" s="5">
        <f t="shared" si="56"/>
        <v>7475</v>
      </c>
      <c r="F1959" s="5">
        <v>40300</v>
      </c>
      <c r="K1959" s="24">
        <v>1015</v>
      </c>
      <c r="L1959" s="6">
        <v>965</v>
      </c>
      <c r="M1959" s="270">
        <f t="shared" si="58"/>
        <v>-50</v>
      </c>
      <c r="N1959" s="19"/>
      <c r="O1959" s="280"/>
      <c r="P1959" s="345">
        <v>9250</v>
      </c>
      <c r="Q1959" s="28">
        <v>0.1236</v>
      </c>
      <c r="U1959" s="29">
        <v>0</v>
      </c>
      <c r="V1959" s="383"/>
      <c r="W1959" s="741">
        <f t="shared" si="57"/>
        <v>1143.3</v>
      </c>
    </row>
    <row r="1960" spans="1:24" ht="15" customHeight="1">
      <c r="A1960" s="3">
        <v>38624</v>
      </c>
      <c r="B1960" s="4">
        <v>22250</v>
      </c>
      <c r="D1960" s="5">
        <v>10225</v>
      </c>
      <c r="E1960" s="5">
        <f t="shared" si="56"/>
        <v>7475</v>
      </c>
      <c r="F1960" s="5">
        <v>39950</v>
      </c>
      <c r="K1960" s="24">
        <v>975</v>
      </c>
      <c r="L1960" s="6">
        <v>935</v>
      </c>
      <c r="M1960" s="270">
        <f t="shared" si="58"/>
        <v>-40</v>
      </c>
      <c r="N1960" s="19"/>
      <c r="O1960" s="280"/>
      <c r="P1960" s="345">
        <v>9250</v>
      </c>
      <c r="Q1960" s="28">
        <v>0.1235</v>
      </c>
      <c r="U1960" s="29">
        <v>0</v>
      </c>
      <c r="V1960" s="383"/>
      <c r="W1960" s="741">
        <f t="shared" si="57"/>
        <v>1142.375</v>
      </c>
    </row>
    <row r="1961" spans="1:24" ht="15" customHeight="1" thickBot="1">
      <c r="A1961" s="12">
        <v>38625</v>
      </c>
      <c r="B1961" s="13">
        <v>22175</v>
      </c>
      <c r="C1961" s="13"/>
      <c r="D1961" s="14">
        <v>10100</v>
      </c>
      <c r="E1961" s="14">
        <f t="shared" si="56"/>
        <v>7475</v>
      </c>
      <c r="F1961" s="14">
        <v>39750</v>
      </c>
      <c r="G1961" s="14"/>
      <c r="H1961" s="14"/>
      <c r="I1961" s="14"/>
      <c r="J1961" s="264"/>
      <c r="K1961" s="25">
        <v>975</v>
      </c>
      <c r="L1961" s="15">
        <v>939</v>
      </c>
      <c r="M1961" s="271">
        <f t="shared" si="58"/>
        <v>-36</v>
      </c>
      <c r="N1961" s="20">
        <f>AVERAGE(K1940:K1961)</f>
        <v>933.06818181818187</v>
      </c>
      <c r="O1961" s="281"/>
      <c r="P1961" s="346">
        <v>9250</v>
      </c>
      <c r="Q1961" s="30">
        <v>0.1236</v>
      </c>
      <c r="R1961" s="30"/>
      <c r="S1961" s="30"/>
      <c r="T1961" s="30"/>
      <c r="U1961" s="31">
        <v>0</v>
      </c>
      <c r="V1961" s="740">
        <f>AVERAGE(P1940:P1961)</f>
        <v>9180.2272727272721</v>
      </c>
      <c r="W1961" s="741">
        <f t="shared" si="57"/>
        <v>1143.3</v>
      </c>
      <c r="X1961" s="33"/>
    </row>
    <row r="1962" spans="1:24" ht="15" customHeight="1">
      <c r="A1962" s="3">
        <v>38628</v>
      </c>
      <c r="B1962" s="4">
        <v>21750</v>
      </c>
      <c r="D1962" s="5">
        <v>9775</v>
      </c>
      <c r="E1962" s="5">
        <f t="shared" si="56"/>
        <v>7475</v>
      </c>
      <c r="F1962" s="5">
        <v>39000</v>
      </c>
      <c r="K1962" s="24">
        <v>970</v>
      </c>
      <c r="L1962" s="6">
        <v>938</v>
      </c>
      <c r="M1962" s="270">
        <f t="shared" si="58"/>
        <v>-32</v>
      </c>
      <c r="N1962" s="19"/>
      <c r="O1962" s="280"/>
      <c r="P1962" s="345">
        <v>9350</v>
      </c>
      <c r="Q1962" s="28">
        <v>0.1236</v>
      </c>
      <c r="U1962" s="29">
        <v>0</v>
      </c>
      <c r="V1962" s="383"/>
      <c r="W1962" s="741">
        <f t="shared" si="57"/>
        <v>1155.6600000000001</v>
      </c>
    </row>
    <row r="1963" spans="1:24" ht="15" customHeight="1">
      <c r="A1963" s="3">
        <v>38629</v>
      </c>
      <c r="B1963" s="4">
        <v>21650</v>
      </c>
      <c r="D1963" s="5">
        <v>9600</v>
      </c>
      <c r="E1963" s="5">
        <f t="shared" si="56"/>
        <v>7475</v>
      </c>
      <c r="F1963" s="5">
        <v>38725</v>
      </c>
      <c r="K1963" s="24">
        <v>983.5</v>
      </c>
      <c r="L1963" s="6">
        <v>948.5</v>
      </c>
      <c r="M1963" s="270">
        <f t="shared" si="58"/>
        <v>-35</v>
      </c>
      <c r="N1963" s="19"/>
      <c r="O1963" s="280"/>
      <c r="P1963" s="345">
        <v>9350</v>
      </c>
      <c r="Q1963" s="28">
        <v>0.1236</v>
      </c>
      <c r="U1963" s="29">
        <v>0</v>
      </c>
      <c r="V1963" s="383"/>
      <c r="W1963" s="741">
        <f t="shared" si="57"/>
        <v>1155.6600000000001</v>
      </c>
    </row>
    <row r="1964" spans="1:24" ht="15" customHeight="1">
      <c r="A1964" s="3">
        <v>38630</v>
      </c>
      <c r="B1964" s="4">
        <v>21450</v>
      </c>
      <c r="D1964" s="5">
        <v>9275</v>
      </c>
      <c r="E1964" s="5">
        <f t="shared" si="56"/>
        <v>7475</v>
      </c>
      <c r="F1964" s="5">
        <v>38200</v>
      </c>
      <c r="K1964" s="24">
        <v>996</v>
      </c>
      <c r="L1964" s="6">
        <v>959</v>
      </c>
      <c r="M1964" s="270">
        <f t="shared" si="58"/>
        <v>-37</v>
      </c>
      <c r="N1964" s="19"/>
      <c r="O1964" s="280"/>
      <c r="P1964" s="345">
        <v>9350</v>
      </c>
      <c r="Q1964" s="28">
        <v>0.1236</v>
      </c>
      <c r="U1964" s="29">
        <v>0</v>
      </c>
      <c r="V1964" s="383"/>
      <c r="W1964" s="741">
        <f t="shared" si="57"/>
        <v>1155.6600000000001</v>
      </c>
    </row>
    <row r="1965" spans="1:24" ht="15" customHeight="1">
      <c r="A1965" s="3">
        <v>38631</v>
      </c>
      <c r="B1965" s="4">
        <v>21400</v>
      </c>
      <c r="D1965" s="5">
        <v>9025</v>
      </c>
      <c r="E1965" s="5">
        <f t="shared" si="56"/>
        <v>7475</v>
      </c>
      <c r="F1965" s="5">
        <v>37900</v>
      </c>
      <c r="K1965" s="24">
        <v>1002</v>
      </c>
      <c r="L1965" s="6">
        <v>966</v>
      </c>
      <c r="M1965" s="270">
        <f t="shared" si="58"/>
        <v>-36</v>
      </c>
      <c r="N1965" s="19"/>
      <c r="O1965" s="280"/>
      <c r="P1965" s="345">
        <v>9350</v>
      </c>
      <c r="Q1965" s="28">
        <v>0.1236</v>
      </c>
      <c r="U1965" s="29">
        <v>0</v>
      </c>
      <c r="V1965" s="383"/>
      <c r="W1965" s="741">
        <f t="shared" ref="W1965:W2028" si="59">(P1965*Q1965)*(1+U1965)</f>
        <v>1155.6600000000001</v>
      </c>
    </row>
    <row r="1966" spans="1:24" ht="15" customHeight="1">
      <c r="A1966" s="3">
        <v>38632</v>
      </c>
      <c r="B1966" s="4">
        <v>21250</v>
      </c>
      <c r="D1966" s="5">
        <v>8875</v>
      </c>
      <c r="E1966" s="5">
        <f t="shared" si="56"/>
        <v>8375</v>
      </c>
      <c r="F1966" s="5">
        <v>38500</v>
      </c>
      <c r="K1966" s="24">
        <v>1005</v>
      </c>
      <c r="L1966" s="6">
        <v>964</v>
      </c>
      <c r="M1966" s="270">
        <f t="shared" si="58"/>
        <v>-41</v>
      </c>
      <c r="N1966" s="19"/>
      <c r="O1966" s="280"/>
      <c r="P1966" s="345">
        <v>9350</v>
      </c>
      <c r="Q1966" s="28">
        <v>0.1236</v>
      </c>
      <c r="U1966" s="29">
        <v>0</v>
      </c>
      <c r="V1966" s="383"/>
      <c r="W1966" s="741">
        <f t="shared" si="59"/>
        <v>1155.6600000000001</v>
      </c>
    </row>
    <row r="1967" spans="1:24" ht="15" customHeight="1">
      <c r="A1967" s="3">
        <v>38635</v>
      </c>
      <c r="B1967" s="4">
        <v>20950</v>
      </c>
      <c r="D1967" s="5">
        <v>8575</v>
      </c>
      <c r="E1967" s="5">
        <f t="shared" si="56"/>
        <v>9375</v>
      </c>
      <c r="F1967" s="5">
        <v>38900</v>
      </c>
      <c r="K1967" s="24">
        <v>1004</v>
      </c>
      <c r="L1967" s="6">
        <v>967.5</v>
      </c>
      <c r="M1967" s="270">
        <f t="shared" si="58"/>
        <v>-36.5</v>
      </c>
      <c r="N1967" s="19"/>
      <c r="O1967" s="280"/>
      <c r="P1967" s="345">
        <v>9350</v>
      </c>
      <c r="Q1967" s="28">
        <v>0.1236</v>
      </c>
      <c r="U1967" s="29">
        <v>0</v>
      </c>
      <c r="V1967" s="383"/>
      <c r="W1967" s="741">
        <f t="shared" si="59"/>
        <v>1155.6600000000001</v>
      </c>
    </row>
    <row r="1968" spans="1:24" ht="15" customHeight="1">
      <c r="A1968" s="3">
        <v>38636</v>
      </c>
      <c r="B1968" s="4">
        <v>20775</v>
      </c>
      <c r="D1968" s="5">
        <v>8400</v>
      </c>
      <c r="E1968" s="5">
        <f t="shared" si="56"/>
        <v>10375</v>
      </c>
      <c r="F1968" s="5">
        <v>39550</v>
      </c>
      <c r="K1968" s="24">
        <v>997.5</v>
      </c>
      <c r="L1968" s="6">
        <v>964</v>
      </c>
      <c r="M1968" s="270">
        <f t="shared" si="58"/>
        <v>-33.5</v>
      </c>
      <c r="N1968" s="19"/>
      <c r="O1968" s="280"/>
      <c r="P1968" s="345">
        <v>9325</v>
      </c>
      <c r="Q1968" s="28">
        <v>0.1237</v>
      </c>
      <c r="U1968" s="29">
        <v>0</v>
      </c>
      <c r="V1968" s="383"/>
      <c r="W1968" s="741">
        <f t="shared" si="59"/>
        <v>1153.5025000000001</v>
      </c>
    </row>
    <row r="1969" spans="1:24" ht="15" customHeight="1">
      <c r="A1969" s="3">
        <v>38637</v>
      </c>
      <c r="B1969" s="4">
        <v>20375</v>
      </c>
      <c r="D1969" s="5">
        <v>8250</v>
      </c>
      <c r="E1969" s="5">
        <f t="shared" si="56"/>
        <v>11375</v>
      </c>
      <c r="F1969" s="5">
        <v>40000</v>
      </c>
      <c r="K1969" s="24">
        <v>992</v>
      </c>
      <c r="L1969" s="6">
        <v>964</v>
      </c>
      <c r="M1969" s="270">
        <f t="shared" si="58"/>
        <v>-28</v>
      </c>
      <c r="N1969" s="19"/>
      <c r="O1969" s="280"/>
      <c r="P1969" s="345">
        <v>9350</v>
      </c>
      <c r="Q1969" s="28">
        <v>0.1236</v>
      </c>
      <c r="U1969" s="29">
        <v>0</v>
      </c>
      <c r="V1969" s="383"/>
      <c r="W1969" s="741">
        <f t="shared" si="59"/>
        <v>1155.6600000000001</v>
      </c>
    </row>
    <row r="1970" spans="1:24" ht="15" customHeight="1">
      <c r="A1970" s="3">
        <v>38638</v>
      </c>
      <c r="B1970" s="4">
        <v>20375</v>
      </c>
      <c r="D1970" s="5">
        <v>8000</v>
      </c>
      <c r="E1970" s="5">
        <f t="shared" si="56"/>
        <v>12350</v>
      </c>
      <c r="F1970" s="5">
        <v>40725</v>
      </c>
      <c r="K1970" s="24">
        <v>972</v>
      </c>
      <c r="L1970" s="6">
        <v>948</v>
      </c>
      <c r="M1970" s="270">
        <f t="shared" si="58"/>
        <v>-24</v>
      </c>
      <c r="N1970" s="19"/>
      <c r="O1970" s="280"/>
      <c r="P1970" s="345">
        <v>9340</v>
      </c>
      <c r="Q1970" s="28">
        <v>0.1236</v>
      </c>
      <c r="U1970" s="29">
        <v>0</v>
      </c>
      <c r="V1970" s="383"/>
      <c r="W1970" s="741">
        <f t="shared" si="59"/>
        <v>1154.424</v>
      </c>
    </row>
    <row r="1971" spans="1:24" ht="15" customHeight="1">
      <c r="A1971" s="3">
        <v>38639</v>
      </c>
      <c r="B1971" s="4">
        <v>20075</v>
      </c>
      <c r="D1971" s="5">
        <v>7800</v>
      </c>
      <c r="E1971" s="5">
        <f t="shared" si="56"/>
        <v>13350</v>
      </c>
      <c r="F1971" s="5">
        <v>41225</v>
      </c>
      <c r="K1971" s="24">
        <v>992</v>
      </c>
      <c r="L1971" s="6">
        <v>966</v>
      </c>
      <c r="M1971" s="270">
        <f t="shared" si="58"/>
        <v>-26</v>
      </c>
      <c r="N1971" s="19"/>
      <c r="O1971" s="280"/>
      <c r="P1971" s="345">
        <v>9375</v>
      </c>
      <c r="Q1971" s="28">
        <v>0.1236</v>
      </c>
      <c r="U1971" s="29">
        <v>0</v>
      </c>
      <c r="V1971" s="383"/>
      <c r="W1971" s="741">
        <f t="shared" si="59"/>
        <v>1158.75</v>
      </c>
    </row>
    <row r="1972" spans="1:24" ht="15" customHeight="1">
      <c r="A1972" s="3">
        <v>38642</v>
      </c>
      <c r="B1972" s="4">
        <v>20075</v>
      </c>
      <c r="D1972" s="5">
        <v>7600</v>
      </c>
      <c r="E1972" s="5">
        <f t="shared" si="56"/>
        <v>14350</v>
      </c>
      <c r="F1972" s="5">
        <v>42025</v>
      </c>
      <c r="K1972" s="24">
        <v>1009</v>
      </c>
      <c r="L1972" s="6">
        <v>971</v>
      </c>
      <c r="M1972" s="270">
        <f t="shared" si="58"/>
        <v>-38</v>
      </c>
      <c r="N1972" s="19"/>
      <c r="O1972" s="280"/>
      <c r="P1972" s="345">
        <v>9375</v>
      </c>
      <c r="Q1972" s="28">
        <v>0.1236</v>
      </c>
      <c r="U1972" s="29">
        <v>0</v>
      </c>
      <c r="V1972" s="383"/>
      <c r="W1972" s="741">
        <f t="shared" si="59"/>
        <v>1158.75</v>
      </c>
    </row>
    <row r="1973" spans="1:24" ht="15" customHeight="1">
      <c r="A1973" s="3">
        <v>38643</v>
      </c>
      <c r="B1973" s="4">
        <v>19775</v>
      </c>
      <c r="D1973" s="5">
        <v>7400</v>
      </c>
      <c r="E1973" s="5">
        <f t="shared" si="56"/>
        <v>15350</v>
      </c>
      <c r="F1973" s="5">
        <v>42525</v>
      </c>
      <c r="K1973" s="24">
        <v>1030</v>
      </c>
      <c r="L1973" s="6">
        <v>989</v>
      </c>
      <c r="M1973" s="270">
        <f t="shared" si="58"/>
        <v>-41</v>
      </c>
      <c r="N1973" s="19"/>
      <c r="O1973" s="280"/>
      <c r="P1973" s="345">
        <v>9400</v>
      </c>
      <c r="Q1973" s="28">
        <v>0.1236</v>
      </c>
      <c r="U1973" s="29">
        <v>0</v>
      </c>
      <c r="V1973" s="383"/>
      <c r="W1973" s="741">
        <f t="shared" si="59"/>
        <v>1161.8399999999999</v>
      </c>
    </row>
    <row r="1974" spans="1:24" ht="15" customHeight="1">
      <c r="A1974" s="3">
        <v>38644</v>
      </c>
      <c r="B1974" s="4">
        <v>19350</v>
      </c>
      <c r="D1974" s="5">
        <v>7275</v>
      </c>
      <c r="E1974" s="5">
        <f t="shared" si="56"/>
        <v>16325</v>
      </c>
      <c r="F1974" s="5">
        <v>42950</v>
      </c>
      <c r="K1974" s="24">
        <v>1025</v>
      </c>
      <c r="L1974" s="6">
        <v>983</v>
      </c>
      <c r="M1974" s="270">
        <f t="shared" si="58"/>
        <v>-42</v>
      </c>
      <c r="N1974" s="19"/>
      <c r="O1974" s="280"/>
      <c r="P1974" s="345">
        <v>9400</v>
      </c>
      <c r="Q1974" s="28">
        <v>0.1236</v>
      </c>
      <c r="U1974" s="29">
        <v>0</v>
      </c>
      <c r="V1974" s="383"/>
      <c r="W1974" s="741">
        <f t="shared" si="59"/>
        <v>1161.8399999999999</v>
      </c>
    </row>
    <row r="1975" spans="1:24" ht="15" customHeight="1">
      <c r="A1975" s="3">
        <v>38645</v>
      </c>
      <c r="B1975" s="4">
        <v>19050</v>
      </c>
      <c r="D1975" s="5">
        <v>7125</v>
      </c>
      <c r="E1975" s="5">
        <f t="shared" si="56"/>
        <v>17825</v>
      </c>
      <c r="F1975" s="5">
        <v>44000</v>
      </c>
      <c r="K1975" s="24">
        <v>1035</v>
      </c>
      <c r="L1975" s="6">
        <v>984</v>
      </c>
      <c r="M1975" s="270">
        <f t="shared" ref="M1975:M2038" si="60">L1975-K1975</f>
        <v>-51</v>
      </c>
      <c r="N1975" s="19"/>
      <c r="O1975" s="280"/>
      <c r="P1975" s="345">
        <v>9350</v>
      </c>
      <c r="Q1975" s="28">
        <v>0.1236</v>
      </c>
      <c r="U1975" s="29">
        <v>0</v>
      </c>
      <c r="V1975" s="383"/>
      <c r="W1975" s="741">
        <f t="shared" si="59"/>
        <v>1155.6600000000001</v>
      </c>
    </row>
    <row r="1976" spans="1:24" ht="15" customHeight="1">
      <c r="A1976" s="3">
        <v>38646</v>
      </c>
      <c r="B1976" s="4">
        <v>18600</v>
      </c>
      <c r="D1976" s="5">
        <v>7000</v>
      </c>
      <c r="E1976" s="5">
        <f t="shared" si="56"/>
        <v>19325</v>
      </c>
      <c r="F1976" s="5">
        <v>44925</v>
      </c>
      <c r="K1976" s="24">
        <v>1000</v>
      </c>
      <c r="L1976" s="6">
        <v>955</v>
      </c>
      <c r="M1976" s="270">
        <f t="shared" si="60"/>
        <v>-45</v>
      </c>
      <c r="N1976" s="19"/>
      <c r="O1976" s="280"/>
      <c r="P1976" s="345">
        <v>9350</v>
      </c>
      <c r="Q1976" s="28">
        <v>0.1236</v>
      </c>
      <c r="U1976" s="29">
        <v>0</v>
      </c>
      <c r="V1976" s="383"/>
      <c r="W1976" s="741">
        <f t="shared" si="59"/>
        <v>1155.6600000000001</v>
      </c>
    </row>
    <row r="1977" spans="1:24" ht="15" customHeight="1">
      <c r="A1977" s="3">
        <v>38649</v>
      </c>
      <c r="B1977" s="4">
        <v>18475</v>
      </c>
      <c r="D1977" s="5">
        <v>6650</v>
      </c>
      <c r="E1977" s="5">
        <f t="shared" si="56"/>
        <v>20825</v>
      </c>
      <c r="F1977" s="5">
        <v>45950</v>
      </c>
      <c r="K1977" s="24">
        <v>1005</v>
      </c>
      <c r="L1977" s="6">
        <v>957</v>
      </c>
      <c r="M1977" s="270">
        <f t="shared" si="60"/>
        <v>-48</v>
      </c>
      <c r="N1977" s="19"/>
      <c r="O1977" s="280"/>
      <c r="P1977" s="345">
        <v>9330</v>
      </c>
      <c r="Q1977" s="28">
        <v>0.1236</v>
      </c>
      <c r="U1977" s="29">
        <v>0</v>
      </c>
      <c r="V1977" s="383"/>
      <c r="W1977" s="741">
        <f t="shared" si="59"/>
        <v>1153.1880000000001</v>
      </c>
    </row>
    <row r="1978" spans="1:24" ht="15" customHeight="1">
      <c r="A1978" s="3">
        <v>38650</v>
      </c>
      <c r="B1978" s="4">
        <v>18200</v>
      </c>
      <c r="D1978" s="5">
        <v>6000</v>
      </c>
      <c r="E1978" s="5">
        <f t="shared" si="56"/>
        <v>22325</v>
      </c>
      <c r="F1978" s="5">
        <v>46525</v>
      </c>
      <c r="K1978" s="24">
        <v>1007</v>
      </c>
      <c r="L1978" s="6">
        <v>970.5</v>
      </c>
      <c r="M1978" s="270">
        <f t="shared" si="60"/>
        <v>-36.5</v>
      </c>
      <c r="N1978" s="19"/>
      <c r="O1978" s="280"/>
      <c r="P1978" s="345">
        <v>9340</v>
      </c>
      <c r="Q1978" s="28">
        <v>0.1236</v>
      </c>
      <c r="U1978" s="29">
        <v>0</v>
      </c>
      <c r="V1978" s="383"/>
      <c r="W1978" s="741">
        <f t="shared" si="59"/>
        <v>1154.424</v>
      </c>
    </row>
    <row r="1979" spans="1:24" ht="15" customHeight="1">
      <c r="A1979" s="3">
        <v>38651</v>
      </c>
      <c r="B1979" s="4">
        <v>17625</v>
      </c>
      <c r="D1979" s="5">
        <v>5725</v>
      </c>
      <c r="E1979" s="5">
        <f t="shared" si="56"/>
        <v>23825</v>
      </c>
      <c r="F1979" s="5">
        <v>47175</v>
      </c>
      <c r="K1979" s="24">
        <v>1018</v>
      </c>
      <c r="L1979" s="6">
        <v>976</v>
      </c>
      <c r="M1979" s="270">
        <f t="shared" si="60"/>
        <v>-42</v>
      </c>
      <c r="N1979" s="19"/>
      <c r="O1979" s="280"/>
      <c r="P1979" s="345">
        <v>9350</v>
      </c>
      <c r="Q1979" s="28">
        <v>0.1236</v>
      </c>
      <c r="U1979" s="29">
        <v>0</v>
      </c>
      <c r="V1979" s="383"/>
      <c r="W1979" s="741">
        <f t="shared" si="59"/>
        <v>1155.6600000000001</v>
      </c>
    </row>
    <row r="1980" spans="1:24" ht="15" customHeight="1">
      <c r="A1980" s="3">
        <v>38652</v>
      </c>
      <c r="B1980" s="4">
        <v>17000</v>
      </c>
      <c r="D1980" s="5">
        <v>5625</v>
      </c>
      <c r="E1980" s="5">
        <f t="shared" si="56"/>
        <v>25325</v>
      </c>
      <c r="F1980" s="5">
        <v>47950</v>
      </c>
      <c r="K1980" s="24">
        <v>1007</v>
      </c>
      <c r="L1980" s="6">
        <v>972.5</v>
      </c>
      <c r="M1980" s="270">
        <f t="shared" si="60"/>
        <v>-34.5</v>
      </c>
      <c r="N1980" s="19"/>
      <c r="O1980" s="280"/>
      <c r="P1980" s="345">
        <v>9350</v>
      </c>
      <c r="Q1980" s="28">
        <v>0.1237</v>
      </c>
      <c r="U1980" s="29">
        <v>0</v>
      </c>
      <c r="V1980" s="383"/>
      <c r="W1980" s="741">
        <f t="shared" si="59"/>
        <v>1156.595</v>
      </c>
      <c r="X1980" s="35"/>
    </row>
    <row r="1981" spans="1:24" ht="15" customHeight="1">
      <c r="A1981" s="3">
        <v>38653</v>
      </c>
      <c r="B1981" s="4">
        <v>17000</v>
      </c>
      <c r="D1981" s="5">
        <v>5375</v>
      </c>
      <c r="E1981" s="5">
        <f t="shared" si="56"/>
        <v>26825</v>
      </c>
      <c r="F1981" s="5">
        <v>49200</v>
      </c>
      <c r="K1981" s="24">
        <v>1015</v>
      </c>
      <c r="L1981" s="6">
        <v>951</v>
      </c>
      <c r="M1981" s="270">
        <f t="shared" si="60"/>
        <v>-64</v>
      </c>
      <c r="N1981" s="19"/>
      <c r="O1981" s="280"/>
      <c r="P1981" s="345">
        <v>9350</v>
      </c>
      <c r="Q1981" s="28">
        <v>0.1237</v>
      </c>
      <c r="U1981" s="29">
        <v>0</v>
      </c>
      <c r="V1981" s="383"/>
      <c r="W1981" s="741">
        <f t="shared" si="59"/>
        <v>1156.595</v>
      </c>
    </row>
    <row r="1982" spans="1:24" ht="15" customHeight="1" thickBot="1">
      <c r="A1982" s="12">
        <v>38656</v>
      </c>
      <c r="B1982" s="13">
        <v>17150</v>
      </c>
      <c r="C1982" s="13"/>
      <c r="D1982" s="14">
        <v>5075</v>
      </c>
      <c r="E1982" s="14">
        <f t="shared" si="56"/>
        <v>27175</v>
      </c>
      <c r="F1982" s="14">
        <v>49400</v>
      </c>
      <c r="G1982" s="14"/>
      <c r="H1982" s="14"/>
      <c r="I1982" s="14"/>
      <c r="J1982" s="264"/>
      <c r="K1982" s="25">
        <v>1035</v>
      </c>
      <c r="L1982" s="15">
        <v>980</v>
      </c>
      <c r="M1982" s="271">
        <f t="shared" si="60"/>
        <v>-55</v>
      </c>
      <c r="N1982" s="20">
        <f>AVERAGE(K1962:K1982)</f>
        <v>1004.7619047619048</v>
      </c>
      <c r="O1982" s="281"/>
      <c r="P1982" s="346">
        <v>9340</v>
      </c>
      <c r="Q1982" s="30">
        <v>0.1237</v>
      </c>
      <c r="R1982" s="30"/>
      <c r="S1982" s="30"/>
      <c r="T1982" s="30"/>
      <c r="U1982" s="31">
        <v>0</v>
      </c>
      <c r="V1982" s="740">
        <f>AVERAGE(P1962:P1982)</f>
        <v>9353.5714285714294</v>
      </c>
      <c r="W1982" s="741">
        <f t="shared" si="59"/>
        <v>1155.3579999999999</v>
      </c>
      <c r="X1982" s="33"/>
    </row>
    <row r="1983" spans="1:24" ht="15" customHeight="1">
      <c r="A1983" s="3">
        <v>38657</v>
      </c>
      <c r="B1983" s="4">
        <v>17100</v>
      </c>
      <c r="D1983" s="5">
        <v>4975</v>
      </c>
      <c r="E1983" s="5">
        <f t="shared" si="56"/>
        <v>27175</v>
      </c>
      <c r="F1983" s="5">
        <v>49250</v>
      </c>
      <c r="K1983" s="24">
        <v>996</v>
      </c>
      <c r="L1983" s="6">
        <v>946.5</v>
      </c>
      <c r="M1983" s="270">
        <f t="shared" si="60"/>
        <v>-49.5</v>
      </c>
      <c r="N1983" s="19"/>
      <c r="O1983" s="280"/>
      <c r="P1983" s="345">
        <v>9340</v>
      </c>
      <c r="Q1983" s="28">
        <v>0.1234</v>
      </c>
      <c r="U1983" s="29">
        <v>0</v>
      </c>
      <c r="V1983" s="383"/>
      <c r="W1983" s="741">
        <f t="shared" si="59"/>
        <v>1152.556</v>
      </c>
      <c r="X1983" s="35"/>
    </row>
    <row r="1984" spans="1:24" ht="15" customHeight="1">
      <c r="A1984" s="3">
        <v>38658</v>
      </c>
      <c r="B1984" s="4">
        <v>17100</v>
      </c>
      <c r="D1984" s="5">
        <v>4900</v>
      </c>
      <c r="E1984" s="5">
        <f t="shared" si="56"/>
        <v>27175</v>
      </c>
      <c r="F1984" s="5">
        <v>49175</v>
      </c>
      <c r="K1984" s="24">
        <v>989</v>
      </c>
      <c r="L1984" s="6">
        <v>942</v>
      </c>
      <c r="M1984" s="270">
        <f t="shared" si="60"/>
        <v>-47</v>
      </c>
      <c r="N1984" s="19"/>
      <c r="O1984" s="280"/>
      <c r="P1984" s="345">
        <v>9340</v>
      </c>
      <c r="Q1984" s="28">
        <v>0.1234</v>
      </c>
      <c r="U1984" s="29">
        <v>0</v>
      </c>
      <c r="V1984" s="383"/>
      <c r="W1984" s="741">
        <f t="shared" si="59"/>
        <v>1152.556</v>
      </c>
    </row>
    <row r="1985" spans="1:24" ht="15" customHeight="1">
      <c r="A1985" s="3">
        <v>38659</v>
      </c>
      <c r="B1985" s="4">
        <v>17500</v>
      </c>
      <c r="D1985" s="5">
        <v>4450</v>
      </c>
      <c r="E1985" s="5">
        <f t="shared" si="56"/>
        <v>27150</v>
      </c>
      <c r="F1985" s="5">
        <v>49100</v>
      </c>
      <c r="K1985" s="24">
        <v>1010</v>
      </c>
      <c r="L1985" s="6">
        <v>957</v>
      </c>
      <c r="M1985" s="270">
        <f t="shared" si="60"/>
        <v>-53</v>
      </c>
      <c r="N1985" s="19"/>
      <c r="O1985" s="280"/>
      <c r="P1985" s="345">
        <v>9340</v>
      </c>
      <c r="Q1985" s="28">
        <v>0.1234</v>
      </c>
      <c r="U1985" s="29">
        <v>0</v>
      </c>
      <c r="V1985" s="383"/>
      <c r="W1985" s="741">
        <f t="shared" si="59"/>
        <v>1152.556</v>
      </c>
      <c r="X1985" s="35"/>
    </row>
    <row r="1986" spans="1:24" ht="15" customHeight="1">
      <c r="A1986" s="3">
        <v>38660</v>
      </c>
      <c r="B1986" s="4">
        <v>17500</v>
      </c>
      <c r="D1986" s="5">
        <v>4250</v>
      </c>
      <c r="E1986" s="5">
        <f t="shared" si="56"/>
        <v>27150</v>
      </c>
      <c r="F1986" s="5">
        <v>48900</v>
      </c>
      <c r="K1986" s="24">
        <v>1030</v>
      </c>
      <c r="L1986" s="6">
        <v>981</v>
      </c>
      <c r="M1986" s="270">
        <f t="shared" si="60"/>
        <v>-49</v>
      </c>
      <c r="N1986" s="19"/>
      <c r="O1986" s="280"/>
      <c r="P1986" s="345">
        <v>9375</v>
      </c>
      <c r="Q1986" s="28">
        <v>0.1234</v>
      </c>
      <c r="U1986" s="29">
        <v>0</v>
      </c>
      <c r="V1986" s="383"/>
      <c r="W1986" s="741">
        <f t="shared" si="59"/>
        <v>1156.875</v>
      </c>
    </row>
    <row r="1987" spans="1:24" ht="15" customHeight="1">
      <c r="A1987" s="3">
        <v>38663</v>
      </c>
      <c r="B1987" s="4">
        <v>17350</v>
      </c>
      <c r="D1987" s="5">
        <v>4100</v>
      </c>
      <c r="E1987" s="5">
        <f t="shared" si="56"/>
        <v>27150</v>
      </c>
      <c r="F1987" s="5">
        <v>48600</v>
      </c>
      <c r="K1987" s="24">
        <v>1036</v>
      </c>
      <c r="L1987" s="6">
        <v>980</v>
      </c>
      <c r="M1987" s="270">
        <f t="shared" si="60"/>
        <v>-56</v>
      </c>
      <c r="N1987" s="19"/>
      <c r="O1987" s="280"/>
      <c r="P1987" s="345">
        <v>9365</v>
      </c>
      <c r="Q1987" s="28">
        <v>0.1234</v>
      </c>
      <c r="U1987" s="29">
        <v>0</v>
      </c>
      <c r="V1987" s="383"/>
      <c r="W1987" s="741">
        <f t="shared" si="59"/>
        <v>1155.6409999999998</v>
      </c>
    </row>
    <row r="1988" spans="1:24" ht="15" customHeight="1">
      <c r="A1988" s="3">
        <v>38664</v>
      </c>
      <c r="B1988" s="4">
        <v>17350</v>
      </c>
      <c r="D1988" s="5">
        <v>3950</v>
      </c>
      <c r="E1988" s="5">
        <f t="shared" si="56"/>
        <v>27125</v>
      </c>
      <c r="F1988" s="5">
        <v>48425</v>
      </c>
      <c r="K1988" s="24">
        <v>1022</v>
      </c>
      <c r="L1988" s="6">
        <v>971</v>
      </c>
      <c r="M1988" s="270">
        <f t="shared" si="60"/>
        <v>-51</v>
      </c>
      <c r="N1988" s="19"/>
      <c r="O1988" s="280"/>
      <c r="P1988" s="345">
        <v>9375</v>
      </c>
      <c r="Q1988" s="28">
        <v>0.1234</v>
      </c>
      <c r="U1988" s="29">
        <v>0</v>
      </c>
      <c r="V1988" s="383"/>
      <c r="W1988" s="741">
        <f t="shared" si="59"/>
        <v>1156.875</v>
      </c>
    </row>
    <row r="1989" spans="1:24" ht="15" customHeight="1">
      <c r="A1989" s="3">
        <v>38665</v>
      </c>
      <c r="B1989" s="4">
        <v>16800</v>
      </c>
      <c r="D1989" s="5">
        <v>3700</v>
      </c>
      <c r="E1989" s="5">
        <f t="shared" si="56"/>
        <v>27125</v>
      </c>
      <c r="F1989" s="5">
        <v>47625</v>
      </c>
      <c r="K1989" s="24">
        <v>1032</v>
      </c>
      <c r="L1989" s="6">
        <v>985.5</v>
      </c>
      <c r="M1989" s="270">
        <f t="shared" si="60"/>
        <v>-46.5</v>
      </c>
      <c r="N1989" s="19"/>
      <c r="O1989" s="280"/>
      <c r="P1989" s="345">
        <v>9375</v>
      </c>
      <c r="Q1989" s="28">
        <v>0.1234</v>
      </c>
      <c r="U1989" s="29">
        <v>0</v>
      </c>
      <c r="V1989" s="383"/>
      <c r="W1989" s="741">
        <f t="shared" si="59"/>
        <v>1156.875</v>
      </c>
    </row>
    <row r="1990" spans="1:24" ht="15" customHeight="1">
      <c r="A1990" s="3">
        <v>38666</v>
      </c>
      <c r="B1990" s="4">
        <v>16625</v>
      </c>
      <c r="D1990" s="5">
        <v>3700</v>
      </c>
      <c r="E1990" s="5">
        <f t="shared" si="56"/>
        <v>27075</v>
      </c>
      <c r="F1990" s="5">
        <v>47400</v>
      </c>
      <c r="K1990" s="24">
        <v>1028</v>
      </c>
      <c r="L1990" s="6">
        <v>988</v>
      </c>
      <c r="M1990" s="270">
        <f t="shared" si="60"/>
        <v>-40</v>
      </c>
      <c r="N1990" s="19"/>
      <c r="O1990" s="280"/>
      <c r="P1990" s="345">
        <v>9375</v>
      </c>
      <c r="Q1990" s="28">
        <v>0.1234</v>
      </c>
      <c r="U1990" s="29">
        <v>0</v>
      </c>
      <c r="V1990" s="383"/>
      <c r="W1990" s="741">
        <f t="shared" si="59"/>
        <v>1156.875</v>
      </c>
    </row>
    <row r="1991" spans="1:24" ht="15" customHeight="1">
      <c r="A1991" s="3">
        <v>38667</v>
      </c>
      <c r="B1991" s="4">
        <v>16025</v>
      </c>
      <c r="D1991" s="5">
        <v>3425</v>
      </c>
      <c r="E1991" s="5">
        <f t="shared" si="56"/>
        <v>27050</v>
      </c>
      <c r="F1991" s="5">
        <v>46500</v>
      </c>
      <c r="K1991" s="24">
        <v>1022</v>
      </c>
      <c r="L1991" s="6">
        <v>987</v>
      </c>
      <c r="M1991" s="270">
        <f t="shared" si="60"/>
        <v>-35</v>
      </c>
      <c r="N1991" s="19"/>
      <c r="O1991" s="280"/>
      <c r="P1991" s="345">
        <v>9350</v>
      </c>
      <c r="Q1991" s="28">
        <v>0.1234</v>
      </c>
      <c r="U1991" s="29">
        <v>0</v>
      </c>
      <c r="V1991" s="383"/>
      <c r="W1991" s="741">
        <f t="shared" si="59"/>
        <v>1153.79</v>
      </c>
    </row>
    <row r="1992" spans="1:24" ht="15" customHeight="1">
      <c r="A1992" s="3">
        <v>38670</v>
      </c>
      <c r="B1992" s="4">
        <v>15700</v>
      </c>
      <c r="D1992" s="5">
        <v>3325</v>
      </c>
      <c r="E1992" s="5">
        <f t="shared" si="56"/>
        <v>27025</v>
      </c>
      <c r="F1992" s="5">
        <v>46050</v>
      </c>
      <c r="K1992" s="24">
        <v>998.5</v>
      </c>
      <c r="L1992" s="6">
        <v>962</v>
      </c>
      <c r="M1992" s="270">
        <f t="shared" si="60"/>
        <v>-36.5</v>
      </c>
      <c r="N1992" s="19"/>
      <c r="O1992" s="280"/>
      <c r="P1992" s="345">
        <v>9350</v>
      </c>
      <c r="Q1992" s="28">
        <v>0.1234</v>
      </c>
      <c r="U1992" s="29">
        <v>0</v>
      </c>
      <c r="V1992" s="383"/>
      <c r="W1992" s="741">
        <f t="shared" si="59"/>
        <v>1153.79</v>
      </c>
    </row>
    <row r="1993" spans="1:24" ht="15" customHeight="1">
      <c r="A1993" s="3">
        <v>38671</v>
      </c>
      <c r="B1993" s="4">
        <v>15350</v>
      </c>
      <c r="D1993" s="5">
        <v>3325</v>
      </c>
      <c r="E1993" s="5">
        <f t="shared" si="56"/>
        <v>27025</v>
      </c>
      <c r="F1993" s="5">
        <v>45700</v>
      </c>
      <c r="K1993" s="24">
        <v>1015</v>
      </c>
      <c r="L1993" s="6">
        <v>974</v>
      </c>
      <c r="M1993" s="270">
        <f t="shared" si="60"/>
        <v>-41</v>
      </c>
      <c r="N1993" s="19"/>
      <c r="O1993" s="280"/>
      <c r="P1993" s="345">
        <v>9350</v>
      </c>
      <c r="Q1993" s="28">
        <v>0.1234</v>
      </c>
      <c r="U1993" s="29">
        <v>0</v>
      </c>
      <c r="V1993" s="383"/>
      <c r="W1993" s="741">
        <f t="shared" si="59"/>
        <v>1153.79</v>
      </c>
    </row>
    <row r="1994" spans="1:24" ht="15" customHeight="1">
      <c r="A1994" s="3">
        <v>38672</v>
      </c>
      <c r="B1994" s="4">
        <v>15300</v>
      </c>
      <c r="D1994" s="5">
        <v>3025</v>
      </c>
      <c r="E1994" s="5">
        <f t="shared" si="56"/>
        <v>27025</v>
      </c>
      <c r="F1994" s="5">
        <v>45350</v>
      </c>
      <c r="K1994" s="24">
        <v>995</v>
      </c>
      <c r="L1994" s="6">
        <v>963.5</v>
      </c>
      <c r="M1994" s="270">
        <f t="shared" si="60"/>
        <v>-31.5</v>
      </c>
      <c r="N1994" s="19"/>
      <c r="O1994" s="280"/>
      <c r="P1994" s="345">
        <v>9350</v>
      </c>
      <c r="Q1994" s="28">
        <v>0.1234</v>
      </c>
      <c r="U1994" s="29">
        <v>0</v>
      </c>
      <c r="V1994" s="383"/>
      <c r="W1994" s="741">
        <f t="shared" si="59"/>
        <v>1153.79</v>
      </c>
    </row>
    <row r="1995" spans="1:24" ht="15" customHeight="1">
      <c r="A1995" s="3">
        <v>38673</v>
      </c>
      <c r="B1995" s="4">
        <v>15025</v>
      </c>
      <c r="D1995" s="5">
        <v>2875</v>
      </c>
      <c r="E1995" s="5">
        <f t="shared" si="56"/>
        <v>27025</v>
      </c>
      <c r="F1995" s="5">
        <v>44925</v>
      </c>
      <c r="K1995" s="24">
        <v>1030</v>
      </c>
      <c r="L1995" s="6">
        <v>998</v>
      </c>
      <c r="M1995" s="270">
        <f t="shared" si="60"/>
        <v>-32</v>
      </c>
      <c r="N1995" s="19"/>
      <c r="O1995" s="280"/>
      <c r="P1995" s="345">
        <v>9350</v>
      </c>
      <c r="Q1995" s="28">
        <v>0.1234</v>
      </c>
      <c r="U1995" s="29">
        <v>0</v>
      </c>
      <c r="V1995" s="383"/>
      <c r="W1995" s="741">
        <f t="shared" si="59"/>
        <v>1153.79</v>
      </c>
    </row>
    <row r="1996" spans="1:24" ht="15" customHeight="1">
      <c r="A1996" s="3">
        <v>38674</v>
      </c>
      <c r="B1996" s="4">
        <v>15000</v>
      </c>
      <c r="D1996" s="5">
        <v>2700</v>
      </c>
      <c r="E1996" s="5">
        <f t="shared" si="56"/>
        <v>27025</v>
      </c>
      <c r="F1996" s="5">
        <v>44725</v>
      </c>
      <c r="K1996" s="24">
        <v>1030</v>
      </c>
      <c r="L1996" s="6">
        <v>997</v>
      </c>
      <c r="M1996" s="270">
        <f t="shared" si="60"/>
        <v>-33</v>
      </c>
      <c r="N1996" s="19"/>
      <c r="O1996" s="280"/>
      <c r="P1996" s="345">
        <v>9350</v>
      </c>
      <c r="Q1996" s="28">
        <v>0.1234</v>
      </c>
      <c r="U1996" s="29">
        <v>0</v>
      </c>
      <c r="V1996" s="383"/>
      <c r="W1996" s="741">
        <f t="shared" si="59"/>
        <v>1153.79</v>
      </c>
    </row>
    <row r="1997" spans="1:24" ht="15" customHeight="1">
      <c r="A1997" s="3">
        <v>38677</v>
      </c>
      <c r="B1997" s="4">
        <v>15000</v>
      </c>
      <c r="D1997" s="5">
        <v>2600</v>
      </c>
      <c r="E1997" s="5">
        <f t="shared" si="56"/>
        <v>26975</v>
      </c>
      <c r="F1997" s="5">
        <v>44575</v>
      </c>
      <c r="K1997" s="24">
        <v>1020</v>
      </c>
      <c r="L1997" s="6">
        <v>995.5</v>
      </c>
      <c r="M1997" s="270">
        <f t="shared" si="60"/>
        <v>-24.5</v>
      </c>
      <c r="N1997" s="19"/>
      <c r="O1997" s="280"/>
      <c r="P1997" s="345">
        <v>9375</v>
      </c>
      <c r="Q1997" s="28">
        <v>0.1234</v>
      </c>
      <c r="U1997" s="29">
        <v>0</v>
      </c>
      <c r="V1997" s="383"/>
      <c r="W1997" s="741">
        <f t="shared" si="59"/>
        <v>1156.875</v>
      </c>
    </row>
    <row r="1998" spans="1:24" ht="15" customHeight="1">
      <c r="A1998" s="3">
        <v>38678</v>
      </c>
      <c r="B1998" s="4">
        <v>14900</v>
      </c>
      <c r="D1998" s="5">
        <v>2475</v>
      </c>
      <c r="E1998" s="5">
        <f t="shared" si="56"/>
        <v>26975</v>
      </c>
      <c r="F1998" s="5">
        <v>44350</v>
      </c>
      <c r="K1998" s="24">
        <v>1012</v>
      </c>
      <c r="L1998" s="6">
        <v>983</v>
      </c>
      <c r="M1998" s="270">
        <f t="shared" si="60"/>
        <v>-29</v>
      </c>
      <c r="N1998" s="19"/>
      <c r="O1998" s="280"/>
      <c r="P1998" s="345">
        <v>9375</v>
      </c>
      <c r="Q1998" s="28">
        <v>0.1234</v>
      </c>
      <c r="U1998" s="29">
        <v>0</v>
      </c>
      <c r="V1998" s="383"/>
      <c r="W1998" s="741">
        <f t="shared" si="59"/>
        <v>1156.875</v>
      </c>
    </row>
    <row r="1999" spans="1:24" ht="15" customHeight="1">
      <c r="A1999" s="3">
        <v>38679</v>
      </c>
      <c r="B1999" s="4">
        <v>14575</v>
      </c>
      <c r="D1999" s="5">
        <v>2275</v>
      </c>
      <c r="E1999" s="5">
        <f t="shared" si="56"/>
        <v>26975</v>
      </c>
      <c r="F1999" s="5">
        <v>43825</v>
      </c>
      <c r="K1999" s="24">
        <v>991</v>
      </c>
      <c r="L1999" s="6">
        <v>965</v>
      </c>
      <c r="M1999" s="270">
        <f t="shared" si="60"/>
        <v>-26</v>
      </c>
      <c r="N1999" s="19"/>
      <c r="O1999" s="280"/>
      <c r="P1999" s="345">
        <v>9375</v>
      </c>
      <c r="Q1999" s="28">
        <v>0.1234</v>
      </c>
      <c r="U1999" s="29">
        <v>0</v>
      </c>
      <c r="V1999" s="383"/>
      <c r="W1999" s="741">
        <f t="shared" si="59"/>
        <v>1156.875</v>
      </c>
    </row>
    <row r="2000" spans="1:24" ht="15" customHeight="1">
      <c r="A2000" s="3">
        <v>38680</v>
      </c>
      <c r="B2000" s="4">
        <v>14575</v>
      </c>
      <c r="D2000" s="5">
        <v>2100</v>
      </c>
      <c r="E2000" s="5">
        <f t="shared" si="56"/>
        <v>26925</v>
      </c>
      <c r="F2000" s="5">
        <v>43600</v>
      </c>
      <c r="K2000" s="24">
        <v>1001</v>
      </c>
      <c r="L2000" s="6">
        <v>986</v>
      </c>
      <c r="M2000" s="270">
        <f t="shared" si="60"/>
        <v>-15</v>
      </c>
      <c r="N2000" s="19"/>
      <c r="O2000" s="280"/>
      <c r="P2000" s="345">
        <v>9375</v>
      </c>
      <c r="Q2000" s="28">
        <v>0.1234</v>
      </c>
      <c r="U2000" s="29">
        <v>0</v>
      </c>
      <c r="V2000" s="383"/>
      <c r="W2000" s="741">
        <f t="shared" si="59"/>
        <v>1156.875</v>
      </c>
    </row>
    <row r="2001" spans="1:24" ht="15" customHeight="1">
      <c r="A2001" s="3">
        <v>38681</v>
      </c>
      <c r="B2001" s="4">
        <v>14575</v>
      </c>
      <c r="D2001" s="5">
        <v>1975</v>
      </c>
      <c r="E2001" s="5">
        <f t="shared" si="56"/>
        <v>26875</v>
      </c>
      <c r="F2001" s="5">
        <v>43425</v>
      </c>
      <c r="K2001" s="24">
        <v>1016.5</v>
      </c>
      <c r="L2001" s="6">
        <v>992.5</v>
      </c>
      <c r="M2001" s="270">
        <f t="shared" si="60"/>
        <v>-24</v>
      </c>
      <c r="N2001" s="19"/>
      <c r="O2001" s="280"/>
      <c r="P2001" s="345">
        <v>9425</v>
      </c>
      <c r="Q2001" s="28">
        <v>0.12379999999999999</v>
      </c>
      <c r="U2001" s="29">
        <v>0</v>
      </c>
      <c r="V2001" s="383"/>
      <c r="W2001" s="741">
        <f t="shared" si="59"/>
        <v>1166.8149999999998</v>
      </c>
    </row>
    <row r="2002" spans="1:24" ht="15" customHeight="1">
      <c r="A2002" s="3">
        <v>38684</v>
      </c>
      <c r="B2002" s="4">
        <v>14575</v>
      </c>
      <c r="D2002" s="5">
        <v>1975</v>
      </c>
      <c r="E2002" s="5">
        <f t="shared" si="56"/>
        <v>26875</v>
      </c>
      <c r="F2002" s="5">
        <v>43425</v>
      </c>
      <c r="K2002" s="24">
        <v>1027.5</v>
      </c>
      <c r="L2002" s="6">
        <v>1002</v>
      </c>
      <c r="M2002" s="270">
        <f t="shared" si="60"/>
        <v>-25.5</v>
      </c>
      <c r="N2002" s="19"/>
      <c r="O2002" s="280"/>
      <c r="P2002" s="345">
        <v>9425</v>
      </c>
      <c r="Q2002" s="28">
        <v>0.12379999999999999</v>
      </c>
      <c r="U2002" s="29">
        <v>0</v>
      </c>
      <c r="V2002" s="383"/>
      <c r="W2002" s="741">
        <f t="shared" si="59"/>
        <v>1166.8149999999998</v>
      </c>
    </row>
    <row r="2003" spans="1:24" ht="15" customHeight="1">
      <c r="A2003" s="3">
        <v>38685</v>
      </c>
      <c r="B2003" s="4">
        <v>14575</v>
      </c>
      <c r="D2003" s="5">
        <v>1975</v>
      </c>
      <c r="E2003" s="5">
        <f t="shared" si="56"/>
        <v>26875</v>
      </c>
      <c r="F2003" s="5">
        <v>43425</v>
      </c>
      <c r="K2003" s="24">
        <v>1039.5</v>
      </c>
      <c r="L2003" s="6">
        <v>1013.5</v>
      </c>
      <c r="M2003" s="270">
        <f t="shared" si="60"/>
        <v>-26</v>
      </c>
      <c r="N2003" s="19"/>
      <c r="O2003" s="280"/>
      <c r="P2003" s="345">
        <v>9425</v>
      </c>
      <c r="Q2003" s="28">
        <v>0.12379999999999999</v>
      </c>
      <c r="U2003" s="29">
        <v>0</v>
      </c>
      <c r="V2003" s="383"/>
      <c r="W2003" s="741">
        <f t="shared" si="59"/>
        <v>1166.8149999999998</v>
      </c>
    </row>
    <row r="2004" spans="1:24" ht="15" customHeight="1" thickBot="1">
      <c r="A2004" s="12">
        <v>38686</v>
      </c>
      <c r="B2004" s="13">
        <v>14200</v>
      </c>
      <c r="C2004" s="13"/>
      <c r="D2004" s="14">
        <v>1800</v>
      </c>
      <c r="E2004" s="14">
        <f t="shared" si="56"/>
        <v>26850</v>
      </c>
      <c r="F2004" s="14">
        <v>42850</v>
      </c>
      <c r="G2004" s="14"/>
      <c r="H2004" s="14"/>
      <c r="I2004" s="14"/>
      <c r="J2004" s="264"/>
      <c r="K2004" s="25">
        <v>1064</v>
      </c>
      <c r="L2004" s="15">
        <v>1035</v>
      </c>
      <c r="M2004" s="271">
        <f t="shared" si="60"/>
        <v>-29</v>
      </c>
      <c r="N2004" s="20">
        <f>AVERAGE(K1983:K2004)</f>
        <v>1018.4090909090909</v>
      </c>
      <c r="O2004" s="281"/>
      <c r="P2004" s="346">
        <v>9475</v>
      </c>
      <c r="Q2004" s="30">
        <v>0.12379999999999999</v>
      </c>
      <c r="R2004" s="30"/>
      <c r="S2004" s="30"/>
      <c r="T2004" s="30"/>
      <c r="U2004" s="31">
        <v>0</v>
      </c>
      <c r="V2004" s="740">
        <f>AVERAGE(P1983:P2004)</f>
        <v>9374.318181818182</v>
      </c>
      <c r="W2004" s="741">
        <f t="shared" si="59"/>
        <v>1173.0049999999999</v>
      </c>
      <c r="X2004" s="33"/>
    </row>
    <row r="2005" spans="1:24" ht="15" customHeight="1">
      <c r="A2005" s="3">
        <v>38687</v>
      </c>
      <c r="B2005" s="4">
        <v>13150</v>
      </c>
      <c r="D2005" s="5">
        <v>1400</v>
      </c>
      <c r="E2005" s="5">
        <f t="shared" si="56"/>
        <v>26800</v>
      </c>
      <c r="F2005" s="5">
        <v>41350</v>
      </c>
      <c r="K2005" s="24">
        <v>1065.5</v>
      </c>
      <c r="L2005" s="6">
        <v>1037.5</v>
      </c>
      <c r="M2005" s="270">
        <f t="shared" si="60"/>
        <v>-28</v>
      </c>
      <c r="N2005" s="19"/>
      <c r="O2005" s="280"/>
      <c r="P2005" s="345">
        <v>9475</v>
      </c>
      <c r="Q2005" s="28">
        <v>0.12379999999999999</v>
      </c>
      <c r="U2005" s="29">
        <v>0</v>
      </c>
      <c r="V2005" s="383"/>
      <c r="W2005" s="741">
        <f t="shared" si="59"/>
        <v>1173.0049999999999</v>
      </c>
    </row>
    <row r="2006" spans="1:24" ht="15" customHeight="1">
      <c r="A2006" s="3">
        <v>38688</v>
      </c>
      <c r="B2006" s="4">
        <v>12825</v>
      </c>
      <c r="D2006" s="5">
        <v>1225</v>
      </c>
      <c r="E2006" s="5">
        <f t="shared" si="56"/>
        <v>26775</v>
      </c>
      <c r="F2006" s="5">
        <v>40825</v>
      </c>
      <c r="K2006" s="24">
        <v>1092.5</v>
      </c>
      <c r="L2006" s="6">
        <v>1061</v>
      </c>
      <c r="M2006" s="270">
        <f t="shared" si="60"/>
        <v>-31.5</v>
      </c>
      <c r="N2006" s="19"/>
      <c r="O2006" s="280"/>
      <c r="P2006" s="345">
        <v>9475</v>
      </c>
      <c r="Q2006" s="28">
        <v>0.12379999999999999</v>
      </c>
      <c r="U2006" s="29">
        <v>0</v>
      </c>
      <c r="V2006" s="383"/>
      <c r="W2006" s="741">
        <f t="shared" si="59"/>
        <v>1173.0049999999999</v>
      </c>
    </row>
    <row r="2007" spans="1:24" ht="15" customHeight="1">
      <c r="A2007" s="3">
        <v>38691</v>
      </c>
      <c r="B2007" s="4">
        <v>12125</v>
      </c>
      <c r="D2007" s="5">
        <v>1050</v>
      </c>
      <c r="E2007" s="5">
        <f t="shared" si="56"/>
        <v>26775</v>
      </c>
      <c r="F2007" s="5">
        <v>39950</v>
      </c>
      <c r="K2007" s="24">
        <v>1126</v>
      </c>
      <c r="L2007" s="6">
        <v>1090</v>
      </c>
      <c r="M2007" s="270">
        <f t="shared" si="60"/>
        <v>-36</v>
      </c>
      <c r="N2007" s="19"/>
      <c r="O2007" s="280"/>
      <c r="P2007" s="345">
        <v>9500</v>
      </c>
      <c r="Q2007" s="28">
        <v>0.12379999999999999</v>
      </c>
      <c r="U2007" s="29">
        <v>0</v>
      </c>
      <c r="V2007" s="383"/>
      <c r="W2007" s="741">
        <f t="shared" si="59"/>
        <v>1176.0999999999999</v>
      </c>
    </row>
    <row r="2008" spans="1:24" ht="15" customHeight="1">
      <c r="A2008" s="3">
        <v>38692</v>
      </c>
      <c r="B2008" s="4">
        <v>11700</v>
      </c>
      <c r="D2008" s="5">
        <v>925</v>
      </c>
      <c r="E2008" s="5">
        <f t="shared" si="56"/>
        <v>26775</v>
      </c>
      <c r="F2008" s="5">
        <v>39400</v>
      </c>
      <c r="K2008" s="24">
        <v>1132</v>
      </c>
      <c r="L2008" s="6">
        <v>1096</v>
      </c>
      <c r="M2008" s="270">
        <f t="shared" si="60"/>
        <v>-36</v>
      </c>
      <c r="N2008" s="19"/>
      <c r="O2008" s="280"/>
      <c r="P2008" s="345">
        <v>9625</v>
      </c>
      <c r="Q2008" s="28">
        <v>0.12379999999999999</v>
      </c>
      <c r="U2008" s="29">
        <v>0</v>
      </c>
      <c r="V2008" s="383"/>
      <c r="W2008" s="741">
        <f t="shared" si="59"/>
        <v>1191.575</v>
      </c>
    </row>
    <row r="2009" spans="1:24" ht="15" customHeight="1">
      <c r="A2009" s="3">
        <v>38693</v>
      </c>
      <c r="B2009" s="4">
        <v>11700</v>
      </c>
      <c r="D2009" s="5">
        <v>850</v>
      </c>
      <c r="E2009" s="5">
        <f t="shared" si="56"/>
        <v>26775</v>
      </c>
      <c r="F2009" s="5">
        <v>39325</v>
      </c>
      <c r="K2009" s="24">
        <v>1115</v>
      </c>
      <c r="L2009" s="6">
        <v>1085</v>
      </c>
      <c r="M2009" s="270">
        <f t="shared" si="60"/>
        <v>-30</v>
      </c>
      <c r="N2009" s="19"/>
      <c r="O2009" s="280"/>
      <c r="P2009" s="345">
        <v>9625</v>
      </c>
      <c r="Q2009" s="28">
        <v>0.12379999999999999</v>
      </c>
      <c r="U2009" s="29">
        <v>0</v>
      </c>
      <c r="V2009" s="383"/>
      <c r="W2009" s="741">
        <f t="shared" si="59"/>
        <v>1191.575</v>
      </c>
    </row>
    <row r="2010" spans="1:24" ht="15" customHeight="1">
      <c r="A2010" s="3">
        <v>38694</v>
      </c>
      <c r="B2010" s="4">
        <v>11400</v>
      </c>
      <c r="D2010" s="5">
        <v>850</v>
      </c>
      <c r="E2010" s="5">
        <f t="shared" si="56"/>
        <v>26775</v>
      </c>
      <c r="F2010" s="5">
        <v>39025</v>
      </c>
      <c r="K2010" s="24">
        <v>1135</v>
      </c>
      <c r="L2010" s="6">
        <v>1096</v>
      </c>
      <c r="M2010" s="270">
        <f t="shared" si="60"/>
        <v>-39</v>
      </c>
      <c r="N2010" s="19"/>
      <c r="O2010" s="280"/>
      <c r="P2010" s="345">
        <v>9675</v>
      </c>
      <c r="Q2010" s="28">
        <v>0.12379999999999999</v>
      </c>
      <c r="U2010" s="29">
        <v>0</v>
      </c>
      <c r="V2010" s="383"/>
      <c r="W2010" s="741">
        <f t="shared" si="59"/>
        <v>1197.7649999999999</v>
      </c>
    </row>
    <row r="2011" spans="1:24" ht="15" customHeight="1">
      <c r="A2011" s="3">
        <v>38695</v>
      </c>
      <c r="B2011" s="4">
        <v>10825</v>
      </c>
      <c r="D2011" s="5">
        <v>675</v>
      </c>
      <c r="E2011" s="5">
        <f t="shared" si="56"/>
        <v>26775</v>
      </c>
      <c r="F2011" s="5">
        <v>38275</v>
      </c>
      <c r="K2011" s="24">
        <v>1142</v>
      </c>
      <c r="L2011" s="6">
        <v>1112</v>
      </c>
      <c r="M2011" s="270">
        <f t="shared" si="60"/>
        <v>-30</v>
      </c>
      <c r="N2011" s="19"/>
      <c r="O2011" s="280"/>
      <c r="P2011" s="345">
        <v>9675</v>
      </c>
      <c r="Q2011" s="28">
        <v>0.12379999999999999</v>
      </c>
      <c r="U2011" s="29">
        <v>0</v>
      </c>
      <c r="V2011" s="383"/>
      <c r="W2011" s="741">
        <f t="shared" si="59"/>
        <v>1197.7649999999999</v>
      </c>
    </row>
    <row r="2012" spans="1:24" ht="15" customHeight="1">
      <c r="A2012" s="3">
        <v>38698</v>
      </c>
      <c r="B2012" s="4">
        <v>10425</v>
      </c>
      <c r="D2012" s="5">
        <v>550</v>
      </c>
      <c r="E2012" s="5">
        <f t="shared" si="56"/>
        <v>26775</v>
      </c>
      <c r="F2012" s="5">
        <v>37750</v>
      </c>
      <c r="K2012" s="24">
        <v>1154</v>
      </c>
      <c r="L2012" s="6">
        <v>1186.5</v>
      </c>
      <c r="M2012" s="270">
        <f t="shared" si="60"/>
        <v>32.5</v>
      </c>
      <c r="N2012" s="19"/>
      <c r="O2012" s="280"/>
      <c r="P2012" s="345">
        <v>9725</v>
      </c>
      <c r="Q2012" s="28">
        <v>0.12379999999999999</v>
      </c>
      <c r="U2012" s="29">
        <v>0</v>
      </c>
      <c r="V2012" s="383"/>
      <c r="W2012" s="741">
        <f t="shared" si="59"/>
        <v>1203.9549999999999</v>
      </c>
    </row>
    <row r="2013" spans="1:24" ht="15" customHeight="1">
      <c r="A2013" s="3">
        <v>38699</v>
      </c>
      <c r="B2013" s="4">
        <v>11250</v>
      </c>
      <c r="D2013" s="5">
        <v>450</v>
      </c>
      <c r="E2013" s="5">
        <f t="shared" si="56"/>
        <v>26725</v>
      </c>
      <c r="F2013" s="5">
        <v>38425</v>
      </c>
      <c r="K2013" s="24">
        <v>1155.5</v>
      </c>
      <c r="L2013" s="6">
        <v>1118</v>
      </c>
      <c r="M2013" s="270">
        <f t="shared" si="60"/>
        <v>-37.5</v>
      </c>
      <c r="N2013" s="19"/>
      <c r="O2013" s="280"/>
      <c r="P2013" s="345">
        <v>9775</v>
      </c>
      <c r="Q2013" s="28">
        <v>0.12379999999999999</v>
      </c>
      <c r="U2013" s="29">
        <v>0</v>
      </c>
      <c r="V2013" s="383"/>
      <c r="W2013" s="741">
        <f t="shared" si="59"/>
        <v>1210.145</v>
      </c>
    </row>
    <row r="2014" spans="1:24" ht="15" customHeight="1">
      <c r="A2014" s="3">
        <v>38700</v>
      </c>
      <c r="B2014" s="4">
        <v>11150</v>
      </c>
      <c r="D2014" s="5">
        <v>450</v>
      </c>
      <c r="E2014" s="5">
        <f t="shared" si="56"/>
        <v>26700</v>
      </c>
      <c r="F2014" s="5">
        <v>38300</v>
      </c>
      <c r="K2014" s="24">
        <v>1129.5</v>
      </c>
      <c r="L2014" s="6">
        <v>1088</v>
      </c>
      <c r="M2014" s="270">
        <f t="shared" si="60"/>
        <v>-41.5</v>
      </c>
      <c r="N2014" s="19"/>
      <c r="O2014" s="280"/>
      <c r="P2014" s="345">
        <v>9825</v>
      </c>
      <c r="Q2014" s="28">
        <v>0.12379999999999999</v>
      </c>
      <c r="U2014" s="29">
        <v>0</v>
      </c>
      <c r="V2014" s="383"/>
      <c r="W2014" s="741">
        <f t="shared" si="59"/>
        <v>1216.335</v>
      </c>
    </row>
    <row r="2015" spans="1:24" ht="15" customHeight="1">
      <c r="A2015" s="3">
        <v>38701</v>
      </c>
      <c r="B2015" s="4">
        <v>12150</v>
      </c>
      <c r="D2015" s="5">
        <v>350</v>
      </c>
      <c r="E2015" s="5">
        <f t="shared" si="56"/>
        <v>26675</v>
      </c>
      <c r="F2015" s="5">
        <v>39175</v>
      </c>
      <c r="K2015" s="24">
        <v>1104.5</v>
      </c>
      <c r="L2015" s="6">
        <v>1066</v>
      </c>
      <c r="M2015" s="270">
        <f t="shared" si="60"/>
        <v>-38.5</v>
      </c>
      <c r="N2015" s="19"/>
      <c r="O2015" s="280"/>
      <c r="P2015" s="345">
        <v>9825</v>
      </c>
      <c r="Q2015" s="28">
        <v>0.1239</v>
      </c>
      <c r="U2015" s="29">
        <v>0</v>
      </c>
      <c r="V2015" s="383"/>
      <c r="W2015" s="741">
        <f t="shared" si="59"/>
        <v>1217.3174999999999</v>
      </c>
    </row>
    <row r="2016" spans="1:24" ht="15" customHeight="1">
      <c r="A2016" s="3">
        <v>38702</v>
      </c>
      <c r="B2016" s="4">
        <v>12050</v>
      </c>
      <c r="D2016" s="5">
        <v>350</v>
      </c>
      <c r="E2016" s="5">
        <f t="shared" si="56"/>
        <v>26650</v>
      </c>
      <c r="F2016" s="5">
        <v>39050</v>
      </c>
      <c r="K2016" s="24">
        <v>1141</v>
      </c>
      <c r="L2016" s="6">
        <v>1095</v>
      </c>
      <c r="M2016" s="270">
        <f t="shared" si="60"/>
        <v>-46</v>
      </c>
      <c r="N2016" s="19"/>
      <c r="O2016" s="280"/>
      <c r="P2016" s="345">
        <v>9825</v>
      </c>
      <c r="Q2016" s="28">
        <v>0.1239</v>
      </c>
      <c r="U2016" s="29">
        <v>0</v>
      </c>
      <c r="V2016" s="383"/>
      <c r="W2016" s="741">
        <f t="shared" si="59"/>
        <v>1217.3174999999999</v>
      </c>
    </row>
    <row r="2017" spans="1:24" ht="15" customHeight="1">
      <c r="A2017" s="3">
        <v>38705</v>
      </c>
      <c r="B2017" s="4">
        <v>12050</v>
      </c>
      <c r="D2017" s="5">
        <v>350</v>
      </c>
      <c r="E2017" s="5">
        <f t="shared" si="56"/>
        <v>26650</v>
      </c>
      <c r="F2017" s="5">
        <v>39050</v>
      </c>
      <c r="K2017" s="24">
        <v>1145.5</v>
      </c>
      <c r="L2017" s="6">
        <v>1097</v>
      </c>
      <c r="M2017" s="270">
        <f t="shared" si="60"/>
        <v>-48.5</v>
      </c>
      <c r="N2017" s="19"/>
      <c r="O2017" s="280"/>
      <c r="P2017" s="345">
        <v>9825</v>
      </c>
      <c r="Q2017" s="28">
        <v>0.1239</v>
      </c>
      <c r="U2017" s="29">
        <v>0</v>
      </c>
      <c r="V2017" s="383"/>
      <c r="W2017" s="741">
        <f t="shared" si="59"/>
        <v>1217.3174999999999</v>
      </c>
    </row>
    <row r="2018" spans="1:24" ht="15" customHeight="1">
      <c r="A2018" s="3">
        <v>38706</v>
      </c>
      <c r="B2018" s="4">
        <v>12025</v>
      </c>
      <c r="D2018" s="5">
        <v>350</v>
      </c>
      <c r="E2018" s="5">
        <f t="shared" si="56"/>
        <v>26650</v>
      </c>
      <c r="F2018" s="5">
        <v>39025</v>
      </c>
      <c r="K2018" s="24">
        <v>1132</v>
      </c>
      <c r="L2018" s="6">
        <v>1098</v>
      </c>
      <c r="M2018" s="270">
        <f t="shared" si="60"/>
        <v>-34</v>
      </c>
      <c r="N2018" s="19"/>
      <c r="O2018" s="280"/>
      <c r="P2018" s="345">
        <v>9875</v>
      </c>
      <c r="Q2018" s="28">
        <v>0.1239</v>
      </c>
      <c r="U2018" s="29">
        <v>0</v>
      </c>
      <c r="V2018" s="383"/>
      <c r="W2018" s="741">
        <f t="shared" si="59"/>
        <v>1223.5125</v>
      </c>
    </row>
    <row r="2019" spans="1:24" ht="15" customHeight="1">
      <c r="A2019" s="3">
        <v>38707</v>
      </c>
      <c r="B2019" s="4">
        <v>12125</v>
      </c>
      <c r="D2019" s="5">
        <v>275</v>
      </c>
      <c r="E2019" s="5">
        <f t="shared" si="56"/>
        <v>27000</v>
      </c>
      <c r="F2019" s="5">
        <v>39400</v>
      </c>
      <c r="K2019" s="24">
        <v>1122</v>
      </c>
      <c r="L2019" s="6">
        <v>1091</v>
      </c>
      <c r="M2019" s="270">
        <f t="shared" si="60"/>
        <v>-31</v>
      </c>
      <c r="N2019" s="19"/>
      <c r="O2019" s="280"/>
      <c r="P2019" s="345">
        <v>9875</v>
      </c>
      <c r="Q2019" s="28">
        <v>0.1239</v>
      </c>
      <c r="U2019" s="29">
        <v>0</v>
      </c>
      <c r="V2019" s="383"/>
      <c r="W2019" s="741">
        <f t="shared" si="59"/>
        <v>1223.5125</v>
      </c>
    </row>
    <row r="2020" spans="1:24" ht="15" customHeight="1">
      <c r="A2020" s="3">
        <v>38708</v>
      </c>
      <c r="B2020" s="4">
        <v>12425</v>
      </c>
      <c r="D2020" s="5">
        <v>150</v>
      </c>
      <c r="E2020" s="5">
        <f t="shared" si="56"/>
        <v>27500</v>
      </c>
      <c r="F2020" s="5">
        <v>40075</v>
      </c>
      <c r="K2020" s="24">
        <v>1128</v>
      </c>
      <c r="L2020" s="6">
        <v>1104</v>
      </c>
      <c r="M2020" s="270">
        <f t="shared" si="60"/>
        <v>-24</v>
      </c>
      <c r="N2020" s="19"/>
      <c r="O2020" s="280"/>
      <c r="P2020" s="345">
        <v>9875</v>
      </c>
      <c r="Q2020" s="28">
        <v>0.12379999999999999</v>
      </c>
      <c r="U2020" s="29">
        <v>0</v>
      </c>
      <c r="V2020" s="383"/>
      <c r="W2020" s="741">
        <f t="shared" si="59"/>
        <v>1222.5249999999999</v>
      </c>
    </row>
    <row r="2021" spans="1:24" ht="15" customHeight="1">
      <c r="A2021" s="3">
        <v>38709</v>
      </c>
      <c r="B2021" s="4">
        <v>12425</v>
      </c>
      <c r="D2021" s="5">
        <v>150</v>
      </c>
      <c r="E2021" s="5">
        <f t="shared" ref="E2021:E2238" si="61">F2021-(B2021+D2021)</f>
        <v>28600</v>
      </c>
      <c r="F2021" s="5">
        <v>41175</v>
      </c>
      <c r="K2021" s="24">
        <v>1135.5</v>
      </c>
      <c r="L2021" s="6">
        <v>1110</v>
      </c>
      <c r="M2021" s="270">
        <f t="shared" si="60"/>
        <v>-25.5</v>
      </c>
      <c r="N2021" s="19"/>
      <c r="O2021" s="280"/>
      <c r="P2021" s="345">
        <v>9875</v>
      </c>
      <c r="Q2021" s="28">
        <v>0.12379999999999999</v>
      </c>
      <c r="U2021" s="29">
        <v>0</v>
      </c>
      <c r="V2021" s="383"/>
      <c r="W2021" s="741">
        <f t="shared" si="59"/>
        <v>1222.5249999999999</v>
      </c>
    </row>
    <row r="2022" spans="1:24" ht="15" customHeight="1">
      <c r="A2022" s="3">
        <v>38714</v>
      </c>
      <c r="B2022" s="4">
        <v>12425</v>
      </c>
      <c r="D2022" s="5">
        <v>100</v>
      </c>
      <c r="E2022" s="5">
        <f t="shared" si="61"/>
        <v>29350</v>
      </c>
      <c r="F2022" s="5">
        <v>41875</v>
      </c>
      <c r="K2022" s="24">
        <v>1133</v>
      </c>
      <c r="L2022" s="6">
        <v>1110.5</v>
      </c>
      <c r="M2022" s="270">
        <f t="shared" si="60"/>
        <v>-22.5</v>
      </c>
      <c r="N2022" s="19"/>
      <c r="O2022" s="280"/>
      <c r="P2022" s="345">
        <v>9925</v>
      </c>
      <c r="Q2022" s="28">
        <v>0.1239</v>
      </c>
      <c r="U2022" s="29">
        <v>0</v>
      </c>
      <c r="V2022" s="383"/>
      <c r="W2022" s="741">
        <f t="shared" si="59"/>
        <v>1229.7075</v>
      </c>
    </row>
    <row r="2023" spans="1:24" ht="15" customHeight="1">
      <c r="A2023" s="3">
        <v>38715</v>
      </c>
      <c r="B2023" s="4">
        <v>13050</v>
      </c>
      <c r="D2023" s="5">
        <v>100</v>
      </c>
      <c r="E2023" s="5">
        <f t="shared" si="61"/>
        <v>30325</v>
      </c>
      <c r="F2023" s="5">
        <v>43475</v>
      </c>
      <c r="K2023" s="24">
        <v>1093</v>
      </c>
      <c r="L2023" s="6">
        <v>1055.5</v>
      </c>
      <c r="M2023" s="270">
        <f t="shared" si="60"/>
        <v>-37.5</v>
      </c>
      <c r="N2023" s="19"/>
      <c r="O2023" s="280"/>
      <c r="P2023" s="345">
        <v>10000</v>
      </c>
      <c r="Q2023" s="28">
        <v>0.1239</v>
      </c>
      <c r="U2023" s="29">
        <v>0</v>
      </c>
      <c r="V2023" s="383"/>
      <c r="W2023" s="741">
        <f t="shared" si="59"/>
        <v>1239</v>
      </c>
    </row>
    <row r="2024" spans="1:24" ht="15" customHeight="1" thickBot="1">
      <c r="A2024" s="12">
        <v>38716</v>
      </c>
      <c r="B2024" s="13">
        <v>12925</v>
      </c>
      <c r="C2024" s="13"/>
      <c r="D2024" s="14">
        <v>100</v>
      </c>
      <c r="E2024" s="14">
        <f t="shared" si="61"/>
        <v>30600</v>
      </c>
      <c r="F2024" s="14">
        <v>43625</v>
      </c>
      <c r="G2024" s="14"/>
      <c r="H2024" s="14"/>
      <c r="I2024" s="14"/>
      <c r="J2024" s="264"/>
      <c r="K2024" s="25">
        <v>1100</v>
      </c>
      <c r="L2024" s="15">
        <v>1058.5</v>
      </c>
      <c r="M2024" s="271">
        <f t="shared" si="60"/>
        <v>-41.5</v>
      </c>
      <c r="N2024" s="20">
        <f>AVERAGE(K2005:K2024)</f>
        <v>1124.075</v>
      </c>
      <c r="O2024" s="281">
        <f>AVERAGE(K1773:K2024)</f>
        <v>975.65476190476193</v>
      </c>
      <c r="P2024" s="346">
        <v>10000</v>
      </c>
      <c r="Q2024" s="30">
        <v>0.12379999999999999</v>
      </c>
      <c r="R2024" s="30"/>
      <c r="S2024" s="30"/>
      <c r="T2024" s="30"/>
      <c r="U2024" s="31">
        <v>0</v>
      </c>
      <c r="V2024" s="740">
        <f>AVERAGE(P2005:P2024)</f>
        <v>9763.75</v>
      </c>
      <c r="W2024" s="741">
        <f t="shared" si="59"/>
        <v>1238</v>
      </c>
      <c r="X2024" s="33"/>
    </row>
    <row r="2025" spans="1:24" ht="15" customHeight="1">
      <c r="A2025" s="3">
        <v>38720</v>
      </c>
      <c r="B2025" s="4">
        <v>12750</v>
      </c>
      <c r="D2025" s="5">
        <v>100</v>
      </c>
      <c r="E2025" s="5">
        <f t="shared" si="61"/>
        <v>30750</v>
      </c>
      <c r="F2025" s="5">
        <v>43600</v>
      </c>
      <c r="K2025" s="24">
        <v>1101</v>
      </c>
      <c r="L2025" s="6">
        <v>1071</v>
      </c>
      <c r="M2025" s="270">
        <f t="shared" si="60"/>
        <v>-30</v>
      </c>
      <c r="N2025" s="19"/>
      <c r="O2025" s="280"/>
      <c r="P2025" s="345">
        <v>10000</v>
      </c>
      <c r="Q2025" s="28">
        <v>0.1239</v>
      </c>
      <c r="U2025" s="29">
        <v>0</v>
      </c>
      <c r="V2025" s="383"/>
      <c r="W2025" s="741">
        <f t="shared" si="59"/>
        <v>1239</v>
      </c>
    </row>
    <row r="2026" spans="1:24" ht="15" customHeight="1">
      <c r="A2026" s="3">
        <v>38721</v>
      </c>
      <c r="B2026" s="4">
        <v>12450</v>
      </c>
      <c r="D2026" s="5">
        <v>100</v>
      </c>
      <c r="E2026" s="5">
        <f t="shared" si="61"/>
        <v>29450</v>
      </c>
      <c r="F2026" s="5">
        <v>42000</v>
      </c>
      <c r="K2026" s="24">
        <v>1138</v>
      </c>
      <c r="L2026" s="6">
        <v>1104</v>
      </c>
      <c r="M2026" s="270">
        <f t="shared" si="60"/>
        <v>-34</v>
      </c>
      <c r="N2026" s="19"/>
      <c r="O2026" s="277"/>
      <c r="P2026" s="345">
        <v>10000</v>
      </c>
      <c r="Q2026" s="28">
        <v>0.1239</v>
      </c>
      <c r="U2026" s="29">
        <v>0</v>
      </c>
      <c r="V2026" s="383"/>
      <c r="W2026" s="741">
        <f t="shared" si="59"/>
        <v>1239</v>
      </c>
    </row>
    <row r="2027" spans="1:24" ht="15" customHeight="1">
      <c r="A2027" s="3">
        <v>38722</v>
      </c>
      <c r="B2027" s="4">
        <v>13075</v>
      </c>
      <c r="D2027" s="5">
        <v>100</v>
      </c>
      <c r="E2027" s="5">
        <f t="shared" si="61"/>
        <v>30200</v>
      </c>
      <c r="F2027" s="5">
        <v>43375</v>
      </c>
      <c r="K2027" s="24">
        <v>1129</v>
      </c>
      <c r="L2027" s="6">
        <v>1099.5</v>
      </c>
      <c r="M2027" s="270">
        <f t="shared" si="60"/>
        <v>-29.5</v>
      </c>
      <c r="N2027" s="19"/>
      <c r="O2027" s="277"/>
      <c r="P2027" s="345">
        <v>10000</v>
      </c>
      <c r="Q2027" s="28">
        <v>0.1239</v>
      </c>
      <c r="U2027" s="29">
        <v>0</v>
      </c>
      <c r="V2027" s="383"/>
      <c r="W2027" s="741">
        <f t="shared" si="59"/>
        <v>1239</v>
      </c>
    </row>
    <row r="2028" spans="1:24" ht="15" customHeight="1">
      <c r="A2028" s="3">
        <v>38723</v>
      </c>
      <c r="B2028" s="4">
        <v>13125</v>
      </c>
      <c r="D2028" s="5">
        <v>100</v>
      </c>
      <c r="E2028" s="5">
        <f t="shared" si="61"/>
        <v>31175</v>
      </c>
      <c r="F2028" s="5">
        <v>44400</v>
      </c>
      <c r="K2028" s="24">
        <v>1125</v>
      </c>
      <c r="L2028" s="6">
        <v>1085.5</v>
      </c>
      <c r="M2028" s="270">
        <f t="shared" si="60"/>
        <v>-39.5</v>
      </c>
      <c r="N2028" s="19"/>
      <c r="O2028" s="277"/>
      <c r="P2028" s="345">
        <v>10000</v>
      </c>
      <c r="Q2028" s="28">
        <v>0.124</v>
      </c>
      <c r="U2028" s="29">
        <v>0</v>
      </c>
      <c r="V2028" s="383"/>
      <c r="W2028" s="741">
        <f t="shared" si="59"/>
        <v>1240</v>
      </c>
    </row>
    <row r="2029" spans="1:24" ht="15" customHeight="1">
      <c r="A2029" s="3">
        <v>38726</v>
      </c>
      <c r="B2029" s="4">
        <v>13000</v>
      </c>
      <c r="D2029" s="5">
        <v>100</v>
      </c>
      <c r="E2029" s="5">
        <f t="shared" si="61"/>
        <v>31175</v>
      </c>
      <c r="F2029" s="5">
        <v>44275</v>
      </c>
      <c r="K2029" s="24">
        <v>1140</v>
      </c>
      <c r="L2029" s="6">
        <v>1115.5</v>
      </c>
      <c r="M2029" s="270">
        <f t="shared" si="60"/>
        <v>-24.5</v>
      </c>
      <c r="N2029" s="19"/>
      <c r="O2029" s="277"/>
      <c r="P2029" s="345">
        <v>10025</v>
      </c>
      <c r="Q2029" s="28">
        <v>0.1239</v>
      </c>
      <c r="U2029" s="29">
        <v>0</v>
      </c>
      <c r="V2029" s="383"/>
      <c r="W2029" s="741">
        <f t="shared" ref="W2029:W2092" si="62">(P2029*Q2029)*(1+U2029)</f>
        <v>1242.0974999999999</v>
      </c>
    </row>
    <row r="2030" spans="1:24" ht="15" customHeight="1">
      <c r="A2030" s="3">
        <v>38727</v>
      </c>
      <c r="B2030" s="4">
        <v>13875</v>
      </c>
      <c r="D2030" s="5">
        <v>100</v>
      </c>
      <c r="E2030" s="5">
        <f t="shared" si="61"/>
        <v>31800</v>
      </c>
      <c r="F2030" s="5">
        <v>45775</v>
      </c>
      <c r="K2030" s="24">
        <v>1157.5</v>
      </c>
      <c r="L2030" s="6">
        <v>1130</v>
      </c>
      <c r="M2030" s="270">
        <f t="shared" si="60"/>
        <v>-27.5</v>
      </c>
      <c r="N2030" s="19"/>
      <c r="O2030" s="277"/>
      <c r="P2030" s="345">
        <v>10025</v>
      </c>
      <c r="Q2030" s="28">
        <v>0.124</v>
      </c>
      <c r="U2030" s="29">
        <v>0</v>
      </c>
      <c r="V2030" s="383"/>
      <c r="W2030" s="741">
        <f t="shared" si="62"/>
        <v>1243.0999999999999</v>
      </c>
    </row>
    <row r="2031" spans="1:24" ht="15" customHeight="1">
      <c r="A2031" s="3">
        <v>38728</v>
      </c>
      <c r="B2031" s="4">
        <v>13875</v>
      </c>
      <c r="D2031" s="5">
        <v>100</v>
      </c>
      <c r="E2031" s="5">
        <f t="shared" si="61"/>
        <v>32525</v>
      </c>
      <c r="F2031" s="5">
        <v>46500</v>
      </c>
      <c r="K2031" s="24">
        <v>1165</v>
      </c>
      <c r="L2031" s="6">
        <v>1138</v>
      </c>
      <c r="M2031" s="270">
        <f t="shared" si="60"/>
        <v>-27</v>
      </c>
      <c r="N2031" s="19"/>
      <c r="O2031" s="277"/>
      <c r="P2031" s="345">
        <v>10025</v>
      </c>
      <c r="Q2031" s="28">
        <v>0.1239</v>
      </c>
      <c r="U2031" s="29">
        <v>0</v>
      </c>
      <c r="V2031" s="383"/>
      <c r="W2031" s="741">
        <f t="shared" si="62"/>
        <v>1242.0974999999999</v>
      </c>
    </row>
    <row r="2032" spans="1:24" ht="15" customHeight="1">
      <c r="A2032" s="3">
        <v>38729</v>
      </c>
      <c r="B2032" s="4">
        <v>13875</v>
      </c>
      <c r="D2032" s="5">
        <v>100</v>
      </c>
      <c r="E2032" s="5">
        <f t="shared" si="61"/>
        <v>33350</v>
      </c>
      <c r="F2032" s="5">
        <v>47325</v>
      </c>
      <c r="K2032" s="24">
        <v>1189</v>
      </c>
      <c r="L2032" s="6">
        <v>1155.5</v>
      </c>
      <c r="M2032" s="270">
        <f t="shared" si="60"/>
        <v>-33.5</v>
      </c>
      <c r="N2032" s="19"/>
      <c r="O2032" s="277"/>
      <c r="P2032" s="345">
        <v>10075</v>
      </c>
      <c r="Q2032" s="28">
        <v>0.1239</v>
      </c>
      <c r="U2032" s="29">
        <v>0</v>
      </c>
      <c r="V2032" s="383"/>
      <c r="W2032" s="741">
        <f t="shared" si="62"/>
        <v>1248.2925</v>
      </c>
    </row>
    <row r="2033" spans="1:24" ht="15" customHeight="1">
      <c r="A2033" s="3">
        <v>38730</v>
      </c>
      <c r="B2033" s="4">
        <v>13575</v>
      </c>
      <c r="D2033" s="5">
        <v>100</v>
      </c>
      <c r="E2033" s="5">
        <f t="shared" si="61"/>
        <v>34200</v>
      </c>
      <c r="F2033" s="5">
        <v>47875</v>
      </c>
      <c r="K2033" s="24">
        <v>1229.5</v>
      </c>
      <c r="L2033" s="6">
        <v>1190</v>
      </c>
      <c r="M2033" s="270">
        <f t="shared" si="60"/>
        <v>-39.5</v>
      </c>
      <c r="N2033" s="19"/>
      <c r="O2033" s="277"/>
      <c r="P2033" s="345">
        <v>10150</v>
      </c>
      <c r="Q2033" s="28">
        <v>0.1239</v>
      </c>
      <c r="U2033" s="29">
        <v>0</v>
      </c>
      <c r="V2033" s="383"/>
      <c r="W2033" s="741">
        <f t="shared" si="62"/>
        <v>1257.585</v>
      </c>
    </row>
    <row r="2034" spans="1:24" ht="15" customHeight="1">
      <c r="A2034" s="3">
        <v>38733</v>
      </c>
      <c r="B2034" s="4">
        <v>14725</v>
      </c>
      <c r="D2034" s="5">
        <v>100</v>
      </c>
      <c r="E2034" s="5">
        <f t="shared" si="61"/>
        <v>35050</v>
      </c>
      <c r="F2034" s="5">
        <v>49875</v>
      </c>
      <c r="K2034" s="24">
        <v>1265</v>
      </c>
      <c r="L2034" s="6">
        <v>1233</v>
      </c>
      <c r="M2034" s="270">
        <f t="shared" si="60"/>
        <v>-32</v>
      </c>
      <c r="N2034" s="19"/>
      <c r="O2034" s="277"/>
      <c r="P2034" s="345">
        <v>10300</v>
      </c>
      <c r="Q2034" s="28">
        <v>0.1239</v>
      </c>
      <c r="U2034" s="29">
        <v>0</v>
      </c>
      <c r="V2034" s="383"/>
      <c r="W2034" s="741">
        <f t="shared" si="62"/>
        <v>1276.17</v>
      </c>
    </row>
    <row r="2035" spans="1:24" ht="15" customHeight="1">
      <c r="A2035" s="3">
        <v>38734</v>
      </c>
      <c r="B2035" s="4">
        <v>14625</v>
      </c>
      <c r="D2035" s="5">
        <v>100</v>
      </c>
      <c r="E2035" s="5">
        <f t="shared" si="61"/>
        <v>35900</v>
      </c>
      <c r="F2035" s="5">
        <v>50625</v>
      </c>
      <c r="K2035" s="24">
        <v>1269</v>
      </c>
      <c r="L2035" s="6">
        <v>1234</v>
      </c>
      <c r="M2035" s="270">
        <f t="shared" si="60"/>
        <v>-35</v>
      </c>
      <c r="N2035" s="19"/>
      <c r="O2035" s="277"/>
      <c r="P2035" s="345">
        <v>10350</v>
      </c>
      <c r="Q2035" s="28">
        <v>0.124</v>
      </c>
      <c r="U2035" s="29">
        <v>0</v>
      </c>
      <c r="V2035" s="383"/>
      <c r="W2035" s="741">
        <f t="shared" si="62"/>
        <v>1283.4000000000001</v>
      </c>
    </row>
    <row r="2036" spans="1:24" ht="15" customHeight="1">
      <c r="A2036" s="3">
        <v>38735</v>
      </c>
      <c r="B2036" s="4">
        <v>14550</v>
      </c>
      <c r="D2036" s="5">
        <v>100</v>
      </c>
      <c r="E2036" s="5">
        <f t="shared" si="61"/>
        <v>35975</v>
      </c>
      <c r="F2036" s="5">
        <v>50625</v>
      </c>
      <c r="K2036" s="24">
        <v>1296</v>
      </c>
      <c r="L2036" s="6">
        <v>1256</v>
      </c>
      <c r="M2036" s="270">
        <f t="shared" si="60"/>
        <v>-40</v>
      </c>
      <c r="N2036" s="19"/>
      <c r="O2036" s="277"/>
      <c r="P2036" s="345">
        <v>10825</v>
      </c>
      <c r="Q2036" s="28">
        <v>0.124</v>
      </c>
      <c r="U2036" s="29">
        <v>0</v>
      </c>
      <c r="V2036" s="383"/>
      <c r="W2036" s="741">
        <f t="shared" si="62"/>
        <v>1342.3</v>
      </c>
    </row>
    <row r="2037" spans="1:24" ht="15" customHeight="1">
      <c r="A2037" s="3">
        <v>38736</v>
      </c>
      <c r="B2037" s="4">
        <v>14850</v>
      </c>
      <c r="D2037" s="5">
        <v>100</v>
      </c>
      <c r="E2037" s="5">
        <f t="shared" si="61"/>
        <v>36550</v>
      </c>
      <c r="F2037" s="5">
        <v>51500</v>
      </c>
      <c r="K2037" s="24">
        <v>1307</v>
      </c>
      <c r="L2037" s="6">
        <v>1265</v>
      </c>
      <c r="M2037" s="270">
        <f t="shared" si="60"/>
        <v>-42</v>
      </c>
      <c r="N2037" s="19"/>
      <c r="O2037" s="277"/>
      <c r="P2037" s="345">
        <v>11150</v>
      </c>
      <c r="Q2037" s="28">
        <v>0.1239</v>
      </c>
      <c r="U2037" s="29">
        <v>0</v>
      </c>
      <c r="V2037" s="383"/>
      <c r="W2037" s="741">
        <f t="shared" si="62"/>
        <v>1381.4849999999999</v>
      </c>
    </row>
    <row r="2038" spans="1:24" ht="15" customHeight="1">
      <c r="A2038" s="3">
        <v>38737</v>
      </c>
      <c r="B2038" s="4">
        <v>16325</v>
      </c>
      <c r="D2038" s="5">
        <v>100</v>
      </c>
      <c r="E2038" s="5">
        <f t="shared" si="61"/>
        <v>37475</v>
      </c>
      <c r="F2038" s="5">
        <v>53900</v>
      </c>
      <c r="K2038" s="24">
        <v>1300.5</v>
      </c>
      <c r="L2038" s="6">
        <v>1270</v>
      </c>
      <c r="M2038" s="270">
        <f t="shared" si="60"/>
        <v>-30.5</v>
      </c>
      <c r="N2038" s="19"/>
      <c r="O2038" s="277"/>
      <c r="P2038" s="345">
        <v>11150</v>
      </c>
      <c r="Q2038" s="28">
        <v>0.1239</v>
      </c>
      <c r="U2038" s="29">
        <v>0</v>
      </c>
      <c r="V2038" s="383"/>
      <c r="W2038" s="741">
        <f t="shared" si="62"/>
        <v>1381.4849999999999</v>
      </c>
    </row>
    <row r="2039" spans="1:24" ht="15" customHeight="1">
      <c r="A2039" s="3">
        <v>38740</v>
      </c>
      <c r="B2039" s="4">
        <v>16450</v>
      </c>
      <c r="D2039" s="5">
        <v>100</v>
      </c>
      <c r="E2039" s="5">
        <f t="shared" si="61"/>
        <v>38100</v>
      </c>
      <c r="F2039" s="5">
        <v>54650</v>
      </c>
      <c r="K2039" s="24">
        <v>1331.5</v>
      </c>
      <c r="L2039" s="6">
        <v>1293</v>
      </c>
      <c r="M2039" s="270">
        <f t="shared" ref="M2039:M2102" si="63">L2039-K2039</f>
        <v>-38.5</v>
      </c>
      <c r="N2039" s="19"/>
      <c r="O2039" s="277"/>
      <c r="P2039" s="345">
        <v>11150</v>
      </c>
      <c r="Q2039" s="28">
        <v>0.124</v>
      </c>
      <c r="U2039" s="29">
        <v>0</v>
      </c>
      <c r="V2039" s="383"/>
      <c r="W2039" s="741">
        <f t="shared" si="62"/>
        <v>1382.6</v>
      </c>
    </row>
    <row r="2040" spans="1:24" ht="15" customHeight="1">
      <c r="A2040" s="3">
        <v>38741</v>
      </c>
      <c r="B2040" s="4">
        <v>17325</v>
      </c>
      <c r="D2040" s="5">
        <v>100</v>
      </c>
      <c r="E2040" s="5">
        <f t="shared" si="61"/>
        <v>38800</v>
      </c>
      <c r="F2040" s="5">
        <v>56225</v>
      </c>
      <c r="K2040" s="24">
        <v>1345.5</v>
      </c>
      <c r="L2040" s="6">
        <v>1313</v>
      </c>
      <c r="M2040" s="270">
        <f t="shared" si="63"/>
        <v>-32.5</v>
      </c>
      <c r="N2040" s="19"/>
      <c r="O2040" s="277"/>
      <c r="P2040" s="345">
        <v>11050</v>
      </c>
      <c r="Q2040" s="28">
        <v>0.124</v>
      </c>
      <c r="U2040" s="29">
        <v>0</v>
      </c>
      <c r="V2040" s="383"/>
      <c r="W2040" s="741">
        <f t="shared" si="62"/>
        <v>1370.2</v>
      </c>
    </row>
    <row r="2041" spans="1:24" ht="15" customHeight="1">
      <c r="A2041" s="3">
        <v>38742</v>
      </c>
      <c r="B2041" s="4">
        <v>18000</v>
      </c>
      <c r="D2041" s="5">
        <v>100</v>
      </c>
      <c r="E2041" s="5">
        <f t="shared" si="61"/>
        <v>39550</v>
      </c>
      <c r="F2041" s="5">
        <v>57650</v>
      </c>
      <c r="K2041" s="24">
        <v>1409.5</v>
      </c>
      <c r="L2041" s="6">
        <v>1374</v>
      </c>
      <c r="M2041" s="270">
        <f t="shared" si="63"/>
        <v>-35.5</v>
      </c>
      <c r="N2041" s="19"/>
      <c r="O2041" s="277"/>
      <c r="P2041" s="345">
        <v>11100</v>
      </c>
      <c r="Q2041" s="28">
        <v>0.124</v>
      </c>
      <c r="U2041" s="29">
        <v>0</v>
      </c>
      <c r="V2041" s="383"/>
      <c r="W2041" s="741">
        <f t="shared" si="62"/>
        <v>1376.4</v>
      </c>
    </row>
    <row r="2042" spans="1:24" ht="15" customHeight="1">
      <c r="A2042" s="3">
        <v>38743</v>
      </c>
      <c r="B2042" s="4">
        <v>17350</v>
      </c>
      <c r="D2042" s="5">
        <v>100</v>
      </c>
      <c r="E2042" s="5">
        <f t="shared" si="61"/>
        <v>40150</v>
      </c>
      <c r="F2042" s="5">
        <v>57600</v>
      </c>
      <c r="K2042" s="24">
        <v>1415</v>
      </c>
      <c r="L2042" s="6">
        <v>1374</v>
      </c>
      <c r="M2042" s="270">
        <f t="shared" si="63"/>
        <v>-41</v>
      </c>
      <c r="N2042" s="19"/>
      <c r="O2042" s="277"/>
      <c r="P2042" s="345">
        <v>11250</v>
      </c>
      <c r="Q2042" s="28">
        <v>0.124</v>
      </c>
      <c r="U2042" s="29">
        <v>0</v>
      </c>
      <c r="V2042" s="383"/>
      <c r="W2042" s="741">
        <f t="shared" si="62"/>
        <v>1395</v>
      </c>
    </row>
    <row r="2043" spans="1:24" ht="15" customHeight="1">
      <c r="A2043" s="3">
        <v>38744</v>
      </c>
      <c r="B2043" s="4">
        <v>17875</v>
      </c>
      <c r="D2043" s="5">
        <v>100</v>
      </c>
      <c r="E2043" s="5">
        <f t="shared" si="61"/>
        <v>41150</v>
      </c>
      <c r="F2043" s="5">
        <v>59125</v>
      </c>
      <c r="K2043" s="24">
        <v>1330</v>
      </c>
      <c r="L2043" s="6">
        <v>1290</v>
      </c>
      <c r="M2043" s="270">
        <f t="shared" si="63"/>
        <v>-40</v>
      </c>
      <c r="N2043" s="19"/>
      <c r="O2043" s="277"/>
      <c r="P2043" s="345">
        <v>11250</v>
      </c>
      <c r="Q2043" s="28">
        <v>0.124</v>
      </c>
      <c r="U2043" s="29">
        <v>0</v>
      </c>
      <c r="V2043" s="383"/>
      <c r="W2043" s="741">
        <f t="shared" si="62"/>
        <v>1395</v>
      </c>
    </row>
    <row r="2044" spans="1:24" ht="15" customHeight="1">
      <c r="A2044" s="3">
        <v>38747</v>
      </c>
      <c r="B2044" s="4">
        <v>18525</v>
      </c>
      <c r="D2044" s="5">
        <v>100</v>
      </c>
      <c r="E2044" s="5">
        <f t="shared" si="61"/>
        <v>41125</v>
      </c>
      <c r="F2044" s="5">
        <v>59750</v>
      </c>
      <c r="K2044" s="24">
        <v>1330</v>
      </c>
      <c r="L2044" s="6">
        <v>1279</v>
      </c>
      <c r="M2044" s="270">
        <f t="shared" si="63"/>
        <v>-51</v>
      </c>
      <c r="N2044" s="19"/>
      <c r="O2044" s="277"/>
      <c r="P2044" s="345">
        <v>11250</v>
      </c>
      <c r="Q2044" s="28">
        <v>0.124</v>
      </c>
      <c r="U2044" s="29">
        <v>0</v>
      </c>
      <c r="V2044" s="383"/>
      <c r="W2044" s="741">
        <f t="shared" si="62"/>
        <v>1395</v>
      </c>
    </row>
    <row r="2045" spans="1:24" ht="15" customHeight="1" thickBot="1">
      <c r="A2045" s="12">
        <v>38748</v>
      </c>
      <c r="B2045" s="13">
        <v>18525</v>
      </c>
      <c r="C2045" s="13"/>
      <c r="D2045" s="14">
        <v>100</v>
      </c>
      <c r="E2045" s="14">
        <f t="shared" si="61"/>
        <v>41125</v>
      </c>
      <c r="F2045" s="14">
        <v>59750</v>
      </c>
      <c r="G2045" s="14"/>
      <c r="H2045" s="14"/>
      <c r="I2045" s="14"/>
      <c r="J2045" s="264"/>
      <c r="K2045" s="25">
        <v>1410</v>
      </c>
      <c r="L2045" s="15">
        <v>1348</v>
      </c>
      <c r="M2045" s="271">
        <f t="shared" si="63"/>
        <v>-62</v>
      </c>
      <c r="N2045" s="20">
        <f>AVERAGE(K2025:K2045)</f>
        <v>1256.3333333333333</v>
      </c>
      <c r="O2045" s="278"/>
      <c r="P2045" s="346">
        <v>11250</v>
      </c>
      <c r="Q2045" s="30">
        <v>0.1241</v>
      </c>
      <c r="R2045" s="30"/>
      <c r="S2045" s="30"/>
      <c r="T2045" s="30"/>
      <c r="U2045" s="31">
        <v>0</v>
      </c>
      <c r="V2045" s="740">
        <f>AVERAGE(P2025:P2045)</f>
        <v>10589.285714285714</v>
      </c>
      <c r="W2045" s="741">
        <f t="shared" si="62"/>
        <v>1396.125</v>
      </c>
      <c r="X2045" s="33"/>
    </row>
    <row r="2046" spans="1:24" ht="15" customHeight="1">
      <c r="A2046" s="3">
        <v>38749</v>
      </c>
      <c r="B2046" s="4">
        <v>18525</v>
      </c>
      <c r="D2046" s="5">
        <v>100</v>
      </c>
      <c r="E2046" s="5">
        <f t="shared" si="61"/>
        <v>41125</v>
      </c>
      <c r="F2046" s="5">
        <v>59750</v>
      </c>
      <c r="K2046" s="24">
        <v>1392</v>
      </c>
      <c r="L2046" s="6">
        <v>1350</v>
      </c>
      <c r="M2046" s="270">
        <f t="shared" si="63"/>
        <v>-42</v>
      </c>
      <c r="N2046" s="19"/>
      <c r="O2046" s="280"/>
      <c r="P2046" s="345">
        <v>11250</v>
      </c>
      <c r="Q2046" s="28">
        <v>0.1241</v>
      </c>
      <c r="U2046" s="29">
        <v>0</v>
      </c>
      <c r="V2046" s="383"/>
      <c r="W2046" s="741">
        <f t="shared" si="62"/>
        <v>1396.125</v>
      </c>
    </row>
    <row r="2047" spans="1:24" ht="15" customHeight="1">
      <c r="A2047" s="3">
        <v>38750</v>
      </c>
      <c r="B2047" s="4">
        <v>18825</v>
      </c>
      <c r="D2047" s="5">
        <v>275</v>
      </c>
      <c r="E2047" s="5">
        <f t="shared" si="61"/>
        <v>41125</v>
      </c>
      <c r="F2047" s="5">
        <v>60225</v>
      </c>
      <c r="K2047" s="24">
        <v>1448</v>
      </c>
      <c r="L2047" s="6">
        <v>1411</v>
      </c>
      <c r="M2047" s="270">
        <f t="shared" si="63"/>
        <v>-37</v>
      </c>
      <c r="N2047" s="19"/>
      <c r="O2047" s="280"/>
      <c r="P2047" s="345">
        <v>11250</v>
      </c>
      <c r="Q2047" s="28">
        <v>0.1241</v>
      </c>
      <c r="U2047" s="29">
        <v>0</v>
      </c>
      <c r="V2047" s="383"/>
      <c r="W2047" s="741">
        <f t="shared" si="62"/>
        <v>1396.125</v>
      </c>
    </row>
    <row r="2048" spans="1:24" ht="15" customHeight="1">
      <c r="A2048" s="3">
        <v>38751</v>
      </c>
      <c r="B2048" s="4">
        <v>20000</v>
      </c>
      <c r="D2048" s="5">
        <v>400</v>
      </c>
      <c r="E2048" s="5">
        <f t="shared" si="61"/>
        <v>41075</v>
      </c>
      <c r="F2048" s="5">
        <v>61475</v>
      </c>
      <c r="K2048" s="24">
        <v>1420</v>
      </c>
      <c r="L2048" s="6">
        <v>1393.5</v>
      </c>
      <c r="M2048" s="270">
        <f t="shared" si="63"/>
        <v>-26.5</v>
      </c>
      <c r="N2048" s="19"/>
      <c r="O2048" s="280"/>
      <c r="P2048" s="345">
        <v>11250</v>
      </c>
      <c r="Q2048" s="28">
        <v>0.1241</v>
      </c>
      <c r="U2048" s="29">
        <v>0</v>
      </c>
      <c r="V2048" s="383"/>
      <c r="W2048" s="741">
        <f t="shared" si="62"/>
        <v>1396.125</v>
      </c>
    </row>
    <row r="2049" spans="1:23" ht="15" customHeight="1">
      <c r="A2049" s="3">
        <v>38754</v>
      </c>
      <c r="B2049" s="4">
        <v>20775</v>
      </c>
      <c r="D2049" s="5">
        <v>625</v>
      </c>
      <c r="E2049" s="5">
        <f t="shared" si="61"/>
        <v>41025</v>
      </c>
      <c r="F2049" s="5">
        <v>62425</v>
      </c>
      <c r="K2049" s="24">
        <v>1363</v>
      </c>
      <c r="L2049" s="6">
        <v>1348</v>
      </c>
      <c r="M2049" s="270">
        <f t="shared" si="63"/>
        <v>-15</v>
      </c>
      <c r="N2049" s="19"/>
      <c r="O2049" s="280"/>
      <c r="P2049" s="345">
        <v>12750</v>
      </c>
      <c r="Q2049" s="28">
        <v>0.1241</v>
      </c>
      <c r="U2049" s="29">
        <v>0</v>
      </c>
      <c r="V2049" s="383"/>
      <c r="W2049" s="741">
        <f t="shared" si="62"/>
        <v>1582.2750000000001</v>
      </c>
    </row>
    <row r="2050" spans="1:23" ht="15" customHeight="1">
      <c r="A2050" s="3">
        <v>38755</v>
      </c>
      <c r="B2050" s="4">
        <v>21550</v>
      </c>
      <c r="D2050" s="5">
        <v>625</v>
      </c>
      <c r="E2050" s="5">
        <f t="shared" si="61"/>
        <v>41050</v>
      </c>
      <c r="F2050" s="5">
        <v>63225</v>
      </c>
      <c r="K2050" s="24">
        <v>1372.5</v>
      </c>
      <c r="L2050" s="6">
        <v>1355</v>
      </c>
      <c r="M2050" s="270">
        <f t="shared" si="63"/>
        <v>-17.5</v>
      </c>
      <c r="N2050" s="19"/>
      <c r="O2050" s="280"/>
      <c r="P2050" s="345">
        <v>12750</v>
      </c>
      <c r="Q2050" s="28">
        <v>0.1241</v>
      </c>
      <c r="U2050" s="29">
        <v>0</v>
      </c>
      <c r="V2050" s="383"/>
      <c r="W2050" s="741">
        <f t="shared" si="62"/>
        <v>1582.2750000000001</v>
      </c>
    </row>
    <row r="2051" spans="1:23" ht="15" customHeight="1">
      <c r="A2051" s="3">
        <v>38756</v>
      </c>
      <c r="B2051" s="4">
        <v>22625</v>
      </c>
      <c r="D2051" s="5">
        <v>625</v>
      </c>
      <c r="E2051" s="5">
        <f t="shared" si="61"/>
        <v>40950</v>
      </c>
      <c r="F2051" s="5">
        <v>64200</v>
      </c>
      <c r="K2051" s="24">
        <v>1280</v>
      </c>
      <c r="L2051" s="6">
        <v>1256</v>
      </c>
      <c r="M2051" s="270">
        <f t="shared" si="63"/>
        <v>-24</v>
      </c>
      <c r="N2051" s="19"/>
      <c r="O2051" s="280"/>
      <c r="P2051" s="345">
        <v>12400</v>
      </c>
      <c r="Q2051" s="28">
        <v>0.1241</v>
      </c>
      <c r="U2051" s="29">
        <v>0</v>
      </c>
      <c r="V2051" s="383"/>
      <c r="W2051" s="741">
        <f t="shared" si="62"/>
        <v>1538.84</v>
      </c>
    </row>
    <row r="2052" spans="1:23" ht="15" customHeight="1">
      <c r="A2052" s="3">
        <v>38757</v>
      </c>
      <c r="B2052" s="4">
        <v>23300</v>
      </c>
      <c r="D2052" s="5">
        <v>625</v>
      </c>
      <c r="E2052" s="5">
        <f t="shared" si="61"/>
        <v>40875</v>
      </c>
      <c r="F2052" s="5">
        <v>64800</v>
      </c>
      <c r="K2052" s="24">
        <v>1336.5</v>
      </c>
      <c r="L2052" s="6">
        <v>1324</v>
      </c>
      <c r="M2052" s="270">
        <f t="shared" si="63"/>
        <v>-12.5</v>
      </c>
      <c r="N2052" s="19"/>
      <c r="O2052" s="280"/>
      <c r="P2052" s="345">
        <v>12400</v>
      </c>
      <c r="Q2052" s="28">
        <v>0.1242</v>
      </c>
      <c r="U2052" s="29">
        <v>0</v>
      </c>
      <c r="V2052" s="383"/>
      <c r="W2052" s="741">
        <f t="shared" si="62"/>
        <v>1540.0800000000002</v>
      </c>
    </row>
    <row r="2053" spans="1:23" ht="15" customHeight="1">
      <c r="A2053" s="3">
        <v>38758</v>
      </c>
      <c r="B2053" s="4">
        <v>23300</v>
      </c>
      <c r="D2053" s="5">
        <v>625</v>
      </c>
      <c r="E2053" s="5">
        <f t="shared" si="61"/>
        <v>40700</v>
      </c>
      <c r="F2053" s="5">
        <v>64625</v>
      </c>
      <c r="K2053" s="24">
        <v>1285.5</v>
      </c>
      <c r="L2053" s="6">
        <v>1269</v>
      </c>
      <c r="M2053" s="270">
        <f t="shared" si="63"/>
        <v>-16.5</v>
      </c>
      <c r="N2053" s="19"/>
      <c r="O2053" s="280"/>
      <c r="P2053" s="345">
        <v>12500</v>
      </c>
      <c r="Q2053" s="28">
        <v>0.1241</v>
      </c>
      <c r="U2053" s="29">
        <v>0</v>
      </c>
      <c r="V2053" s="383"/>
      <c r="W2053" s="741">
        <f t="shared" si="62"/>
        <v>1551.25</v>
      </c>
    </row>
    <row r="2054" spans="1:23" ht="15" customHeight="1">
      <c r="A2054" s="3">
        <v>38761</v>
      </c>
      <c r="B2054" s="4">
        <v>24050</v>
      </c>
      <c r="D2054" s="5">
        <v>625</v>
      </c>
      <c r="E2054" s="5">
        <f t="shared" si="61"/>
        <v>40775</v>
      </c>
      <c r="F2054" s="5">
        <v>65450</v>
      </c>
      <c r="K2054" s="24">
        <v>1195</v>
      </c>
      <c r="L2054" s="6">
        <v>1195</v>
      </c>
      <c r="M2054" s="270">
        <f t="shared" si="63"/>
        <v>0</v>
      </c>
      <c r="N2054" s="19"/>
      <c r="O2054" s="280"/>
      <c r="P2054" s="345">
        <v>12350</v>
      </c>
      <c r="Q2054" s="28">
        <v>0.1242</v>
      </c>
      <c r="U2054" s="29">
        <v>0</v>
      </c>
      <c r="V2054" s="383"/>
      <c r="W2054" s="741">
        <f t="shared" si="62"/>
        <v>1533.8700000000001</v>
      </c>
    </row>
    <row r="2055" spans="1:23" ht="15" customHeight="1">
      <c r="A2055" s="3">
        <v>38762</v>
      </c>
      <c r="B2055" s="4">
        <v>25425</v>
      </c>
      <c r="D2055" s="5">
        <v>625</v>
      </c>
      <c r="E2055" s="5">
        <f t="shared" si="61"/>
        <v>40775</v>
      </c>
      <c r="F2055" s="5">
        <v>66825</v>
      </c>
      <c r="K2055" s="24">
        <v>1294</v>
      </c>
      <c r="L2055" s="6">
        <v>1255</v>
      </c>
      <c r="M2055" s="270">
        <f t="shared" si="63"/>
        <v>-39</v>
      </c>
      <c r="N2055" s="19"/>
      <c r="O2055" s="280"/>
      <c r="P2055" s="345">
        <v>12150</v>
      </c>
      <c r="Q2055" s="28">
        <v>0.12429999999999999</v>
      </c>
      <c r="U2055" s="29">
        <v>0</v>
      </c>
      <c r="V2055" s="383"/>
      <c r="W2055" s="741">
        <f t="shared" si="62"/>
        <v>1510.2449999999999</v>
      </c>
    </row>
    <row r="2056" spans="1:23" ht="15" customHeight="1">
      <c r="A2056" s="3">
        <v>38763</v>
      </c>
      <c r="B2056" s="4">
        <v>26125</v>
      </c>
      <c r="D2056" s="5">
        <v>625</v>
      </c>
      <c r="E2056" s="5">
        <f t="shared" si="61"/>
        <v>40775</v>
      </c>
      <c r="F2056" s="5">
        <v>67525</v>
      </c>
      <c r="K2056" s="24">
        <v>1240</v>
      </c>
      <c r="L2056" s="6">
        <v>1220.5</v>
      </c>
      <c r="M2056" s="270">
        <f t="shared" si="63"/>
        <v>-19.5</v>
      </c>
      <c r="N2056" s="19"/>
      <c r="O2056" s="280"/>
      <c r="P2056" s="345">
        <v>12150</v>
      </c>
      <c r="Q2056" s="28">
        <v>0.12429999999999999</v>
      </c>
      <c r="U2056" s="29">
        <v>0</v>
      </c>
      <c r="V2056" s="383"/>
      <c r="W2056" s="741">
        <f t="shared" si="62"/>
        <v>1510.2449999999999</v>
      </c>
    </row>
    <row r="2057" spans="1:23" ht="15" customHeight="1">
      <c r="A2057" s="3">
        <v>38764</v>
      </c>
      <c r="B2057" s="4">
        <v>21375</v>
      </c>
      <c r="D2057" s="5">
        <v>700</v>
      </c>
      <c r="E2057" s="5">
        <f t="shared" si="61"/>
        <v>46175</v>
      </c>
      <c r="F2057" s="5">
        <v>68250</v>
      </c>
      <c r="K2057" s="24">
        <v>1170</v>
      </c>
      <c r="L2057" s="6">
        <v>1155</v>
      </c>
      <c r="M2057" s="270">
        <f t="shared" si="63"/>
        <v>-15</v>
      </c>
      <c r="N2057" s="19"/>
      <c r="O2057" s="280"/>
      <c r="P2057" s="345">
        <v>12150</v>
      </c>
      <c r="Q2057" s="28">
        <v>0.12429999999999999</v>
      </c>
      <c r="U2057" s="29">
        <v>0</v>
      </c>
      <c r="V2057" s="383"/>
      <c r="W2057" s="741">
        <f t="shared" si="62"/>
        <v>1510.2449999999999</v>
      </c>
    </row>
    <row r="2058" spans="1:23" ht="15" customHeight="1">
      <c r="A2058" s="3">
        <v>38765</v>
      </c>
      <c r="B2058" s="4">
        <v>28800</v>
      </c>
      <c r="D2058" s="5">
        <v>825</v>
      </c>
      <c r="E2058" s="5">
        <f t="shared" si="61"/>
        <v>40525</v>
      </c>
      <c r="F2058" s="5">
        <v>70150</v>
      </c>
      <c r="K2058" s="24">
        <v>1239</v>
      </c>
      <c r="L2058" s="6">
        <v>1215</v>
      </c>
      <c r="M2058" s="270">
        <f t="shared" si="63"/>
        <v>-24</v>
      </c>
      <c r="N2058" s="19"/>
      <c r="O2058" s="280"/>
      <c r="P2058" s="345">
        <v>12100</v>
      </c>
      <c r="Q2058" s="28">
        <v>0.1242</v>
      </c>
      <c r="U2058" s="29">
        <v>0</v>
      </c>
      <c r="V2058" s="383"/>
      <c r="W2058" s="741">
        <f t="shared" si="62"/>
        <v>1502.8200000000002</v>
      </c>
    </row>
    <row r="2059" spans="1:23" ht="15" customHeight="1">
      <c r="A2059" s="3">
        <v>38768</v>
      </c>
      <c r="B2059" s="4">
        <v>29050</v>
      </c>
      <c r="D2059" s="5">
        <v>1125</v>
      </c>
      <c r="E2059" s="5">
        <f t="shared" si="61"/>
        <v>40400</v>
      </c>
      <c r="F2059" s="5">
        <v>70575</v>
      </c>
      <c r="K2059" s="24">
        <v>1245</v>
      </c>
      <c r="L2059" s="6">
        <v>1226</v>
      </c>
      <c r="M2059" s="270">
        <f t="shared" si="63"/>
        <v>-19</v>
      </c>
      <c r="N2059" s="19"/>
      <c r="O2059" s="280"/>
      <c r="P2059" s="345">
        <v>12000</v>
      </c>
      <c r="Q2059" s="28">
        <v>0.1242</v>
      </c>
      <c r="U2059" s="29">
        <v>0</v>
      </c>
      <c r="V2059" s="383"/>
      <c r="W2059" s="741">
        <f t="shared" si="62"/>
        <v>1490.4</v>
      </c>
    </row>
    <row r="2060" spans="1:23" ht="15" customHeight="1">
      <c r="A2060" s="3">
        <v>38769</v>
      </c>
      <c r="B2060" s="4">
        <v>30450</v>
      </c>
      <c r="D2060" s="5">
        <v>1350</v>
      </c>
      <c r="E2060" s="5">
        <f t="shared" si="61"/>
        <v>40400</v>
      </c>
      <c r="F2060" s="5">
        <v>72200</v>
      </c>
      <c r="K2060" s="24">
        <v>1250</v>
      </c>
      <c r="L2060" s="6">
        <v>1235</v>
      </c>
      <c r="M2060" s="270">
        <f t="shared" si="63"/>
        <v>-15</v>
      </c>
      <c r="N2060" s="19"/>
      <c r="O2060" s="280"/>
      <c r="P2060" s="345">
        <v>12150</v>
      </c>
      <c r="Q2060" s="28">
        <v>0.1242</v>
      </c>
      <c r="U2060" s="29">
        <v>0</v>
      </c>
      <c r="V2060" s="383"/>
      <c r="W2060" s="741">
        <f t="shared" si="62"/>
        <v>1509.03</v>
      </c>
    </row>
    <row r="2061" spans="1:23" ht="15" customHeight="1">
      <c r="A2061" s="3">
        <v>38770</v>
      </c>
      <c r="B2061" s="4">
        <v>32025</v>
      </c>
      <c r="D2061" s="5">
        <v>1350</v>
      </c>
      <c r="E2061" s="5">
        <f t="shared" si="61"/>
        <v>40400</v>
      </c>
      <c r="F2061" s="5">
        <v>73775</v>
      </c>
      <c r="K2061" s="24">
        <v>1233</v>
      </c>
      <c r="L2061" s="6">
        <v>1217</v>
      </c>
      <c r="M2061" s="270">
        <f t="shared" si="63"/>
        <v>-16</v>
      </c>
      <c r="N2061" s="19"/>
      <c r="O2061" s="280"/>
      <c r="P2061" s="345">
        <v>12150</v>
      </c>
      <c r="Q2061" s="28">
        <v>0.12429999999999999</v>
      </c>
      <c r="U2061" s="29">
        <v>0</v>
      </c>
      <c r="V2061" s="383"/>
      <c r="W2061" s="741">
        <f t="shared" si="62"/>
        <v>1510.2449999999999</v>
      </c>
    </row>
    <row r="2062" spans="1:23" ht="15" customHeight="1">
      <c r="A2062" s="3">
        <v>38771</v>
      </c>
      <c r="B2062" s="4">
        <v>33500</v>
      </c>
      <c r="D2062" s="5">
        <v>1375</v>
      </c>
      <c r="E2062" s="5">
        <f t="shared" si="61"/>
        <v>40375</v>
      </c>
      <c r="F2062" s="5">
        <v>75250</v>
      </c>
      <c r="K2062" s="24">
        <v>1198.5</v>
      </c>
      <c r="L2062" s="6">
        <v>1191</v>
      </c>
      <c r="M2062" s="270">
        <f t="shared" si="63"/>
        <v>-7.5</v>
      </c>
      <c r="N2062" s="19"/>
      <c r="O2062" s="280"/>
      <c r="P2062" s="345">
        <v>12150</v>
      </c>
      <c r="Q2062" s="28">
        <v>0.1242</v>
      </c>
      <c r="U2062" s="29">
        <v>0</v>
      </c>
      <c r="V2062" s="383"/>
      <c r="W2062" s="741">
        <f t="shared" si="62"/>
        <v>1509.03</v>
      </c>
    </row>
    <row r="2063" spans="1:23" ht="15" customHeight="1">
      <c r="A2063" s="3">
        <v>38772</v>
      </c>
      <c r="B2063" s="4">
        <v>33950</v>
      </c>
      <c r="D2063" s="5">
        <v>1375</v>
      </c>
      <c r="E2063" s="5">
        <f t="shared" si="61"/>
        <v>40325</v>
      </c>
      <c r="F2063" s="5">
        <v>75650</v>
      </c>
      <c r="K2063" s="24">
        <v>1190</v>
      </c>
      <c r="L2063" s="6">
        <v>1180.5</v>
      </c>
      <c r="M2063" s="270">
        <f t="shared" si="63"/>
        <v>-9.5</v>
      </c>
      <c r="N2063" s="19"/>
      <c r="O2063" s="280"/>
      <c r="P2063" s="345">
        <v>12000</v>
      </c>
      <c r="Q2063" s="28">
        <v>0.1242</v>
      </c>
      <c r="U2063" s="29">
        <v>0</v>
      </c>
      <c r="V2063" s="383"/>
      <c r="W2063" s="741">
        <f t="shared" si="62"/>
        <v>1490.4</v>
      </c>
    </row>
    <row r="2064" spans="1:23" ht="15" customHeight="1">
      <c r="A2064" s="3">
        <v>38775</v>
      </c>
      <c r="B2064" s="4">
        <v>34700</v>
      </c>
      <c r="D2064" s="5">
        <v>1375</v>
      </c>
      <c r="E2064" s="5">
        <f t="shared" si="61"/>
        <v>40300</v>
      </c>
      <c r="F2064" s="5">
        <v>76375</v>
      </c>
      <c r="K2064" s="24">
        <v>1196.5</v>
      </c>
      <c r="L2064" s="6">
        <v>1190</v>
      </c>
      <c r="M2064" s="270">
        <f t="shared" si="63"/>
        <v>-6.5</v>
      </c>
      <c r="N2064" s="19"/>
      <c r="O2064" s="280"/>
      <c r="P2064" s="345">
        <v>12000</v>
      </c>
      <c r="Q2064" s="28">
        <v>0.12429999999999999</v>
      </c>
      <c r="U2064" s="29">
        <v>0</v>
      </c>
      <c r="V2064" s="383"/>
      <c r="W2064" s="741">
        <f t="shared" si="62"/>
        <v>1491.6</v>
      </c>
    </row>
    <row r="2065" spans="1:24" ht="15" customHeight="1" thickBot="1">
      <c r="A2065" s="12">
        <v>38776</v>
      </c>
      <c r="B2065" s="13">
        <v>35700</v>
      </c>
      <c r="C2065" s="13"/>
      <c r="D2065" s="14">
        <v>1375</v>
      </c>
      <c r="E2065" s="14">
        <f t="shared" si="61"/>
        <v>40300</v>
      </c>
      <c r="F2065" s="14">
        <v>77375</v>
      </c>
      <c r="G2065" s="14"/>
      <c r="H2065" s="14"/>
      <c r="I2065" s="14"/>
      <c r="J2065" s="264"/>
      <c r="K2065" s="25">
        <v>1192.5</v>
      </c>
      <c r="L2065" s="15">
        <v>1181</v>
      </c>
      <c r="M2065" s="271">
        <f t="shared" si="63"/>
        <v>-11.5</v>
      </c>
      <c r="N2065" s="20">
        <f>AVERAGE(K2046:K2065)</f>
        <v>1277.05</v>
      </c>
      <c r="O2065" s="281"/>
      <c r="P2065" s="346">
        <v>12000</v>
      </c>
      <c r="Q2065" s="30">
        <v>0.12429999999999999</v>
      </c>
      <c r="R2065" s="30"/>
      <c r="S2065" s="30"/>
      <c r="T2065" s="30"/>
      <c r="U2065" s="31">
        <v>0</v>
      </c>
      <c r="V2065" s="740">
        <f>AVERAGE(P2046:P2065)</f>
        <v>12095</v>
      </c>
      <c r="W2065" s="741">
        <f t="shared" si="62"/>
        <v>1491.6</v>
      </c>
      <c r="X2065" s="33"/>
    </row>
    <row r="2066" spans="1:24" ht="15" customHeight="1">
      <c r="A2066" s="3">
        <v>38777</v>
      </c>
      <c r="B2066" s="4">
        <v>36300</v>
      </c>
      <c r="D2066" s="5">
        <v>1375</v>
      </c>
      <c r="E2066" s="5">
        <f t="shared" si="61"/>
        <v>40300</v>
      </c>
      <c r="F2066" s="5">
        <v>77975</v>
      </c>
      <c r="K2066" s="24">
        <v>1170</v>
      </c>
      <c r="L2066" s="6">
        <v>1169</v>
      </c>
      <c r="M2066" s="270">
        <f t="shared" si="63"/>
        <v>-1</v>
      </c>
      <c r="N2066" s="19"/>
      <c r="O2066" s="280"/>
      <c r="P2066" s="345">
        <v>11850</v>
      </c>
      <c r="Q2066" s="28">
        <v>0.1244</v>
      </c>
      <c r="U2066" s="29">
        <v>0</v>
      </c>
      <c r="V2066" s="383"/>
      <c r="W2066" s="741">
        <f t="shared" si="62"/>
        <v>1474.1399999999999</v>
      </c>
    </row>
    <row r="2067" spans="1:24" ht="15" customHeight="1">
      <c r="A2067" s="3">
        <v>38778</v>
      </c>
      <c r="B2067" s="4">
        <v>36175</v>
      </c>
      <c r="D2067" s="5">
        <v>1375</v>
      </c>
      <c r="E2067" s="5">
        <f t="shared" si="61"/>
        <v>40300</v>
      </c>
      <c r="F2067" s="5">
        <v>77850</v>
      </c>
      <c r="K2067" s="24">
        <v>1225</v>
      </c>
      <c r="L2067" s="6">
        <v>1215</v>
      </c>
      <c r="M2067" s="270">
        <f t="shared" si="63"/>
        <v>-10</v>
      </c>
      <c r="N2067" s="7"/>
      <c r="O2067" s="277"/>
      <c r="P2067" s="345">
        <v>11750</v>
      </c>
      <c r="Q2067" s="28">
        <v>0.1244</v>
      </c>
      <c r="U2067" s="29">
        <v>0</v>
      </c>
      <c r="V2067" s="383"/>
      <c r="W2067" s="741">
        <f t="shared" si="62"/>
        <v>1461.7</v>
      </c>
    </row>
    <row r="2068" spans="1:24" ht="15" customHeight="1">
      <c r="A2068" s="3">
        <v>38779</v>
      </c>
      <c r="B2068" s="4">
        <v>36150</v>
      </c>
      <c r="D2068" s="5">
        <v>1375</v>
      </c>
      <c r="E2068" s="5">
        <f t="shared" si="61"/>
        <v>40300</v>
      </c>
      <c r="F2068" s="5">
        <v>77825</v>
      </c>
      <c r="K2068" s="24">
        <v>1232.5</v>
      </c>
      <c r="L2068" s="6">
        <v>1226</v>
      </c>
      <c r="M2068" s="270">
        <f t="shared" si="63"/>
        <v>-6.5</v>
      </c>
      <c r="N2068" s="19"/>
      <c r="O2068" s="280"/>
      <c r="P2068" s="345">
        <v>11750</v>
      </c>
      <c r="Q2068" s="28">
        <v>0.1244</v>
      </c>
      <c r="U2068" s="29">
        <v>0</v>
      </c>
      <c r="V2068" s="383"/>
      <c r="W2068" s="741">
        <f t="shared" si="62"/>
        <v>1461.7</v>
      </c>
    </row>
    <row r="2069" spans="1:24" ht="15" customHeight="1">
      <c r="A2069" s="3">
        <v>38782</v>
      </c>
      <c r="B2069" s="4">
        <v>36125</v>
      </c>
      <c r="D2069" s="5">
        <v>1325</v>
      </c>
      <c r="E2069" s="5">
        <f t="shared" si="61"/>
        <v>39300</v>
      </c>
      <c r="F2069" s="5">
        <v>76750</v>
      </c>
      <c r="K2069" s="24">
        <v>1218</v>
      </c>
      <c r="L2069" s="6">
        <v>1214</v>
      </c>
      <c r="M2069" s="270">
        <f t="shared" si="63"/>
        <v>-4</v>
      </c>
      <c r="N2069" s="19"/>
      <c r="O2069" s="280"/>
      <c r="P2069" s="345">
        <v>11700</v>
      </c>
      <c r="Q2069" s="28">
        <v>0.1244</v>
      </c>
      <c r="U2069" s="29">
        <v>0</v>
      </c>
      <c r="V2069" s="383"/>
      <c r="W2069" s="741">
        <f t="shared" si="62"/>
        <v>1455.48</v>
      </c>
    </row>
    <row r="2070" spans="1:24" ht="15" customHeight="1">
      <c r="A2070" s="3">
        <v>38783</v>
      </c>
      <c r="B2070" s="4">
        <v>36125</v>
      </c>
      <c r="D2070" s="5">
        <v>1300</v>
      </c>
      <c r="E2070" s="5">
        <f t="shared" si="61"/>
        <v>38875</v>
      </c>
      <c r="F2070" s="5">
        <v>76300</v>
      </c>
      <c r="K2070" s="24">
        <v>1204</v>
      </c>
      <c r="L2070" s="6">
        <v>1191</v>
      </c>
      <c r="M2070" s="270">
        <f t="shared" si="63"/>
        <v>-13</v>
      </c>
      <c r="N2070" s="19"/>
      <c r="O2070" s="280"/>
      <c r="P2070" s="345">
        <v>11700</v>
      </c>
      <c r="Q2070" s="28">
        <v>0.1244</v>
      </c>
      <c r="U2070" s="29">
        <v>0</v>
      </c>
      <c r="V2070" s="383"/>
      <c r="W2070" s="741">
        <f t="shared" si="62"/>
        <v>1455.48</v>
      </c>
    </row>
    <row r="2071" spans="1:24" ht="15" customHeight="1">
      <c r="A2071" s="3">
        <v>38784</v>
      </c>
      <c r="B2071" s="4">
        <v>36325</v>
      </c>
      <c r="D2071" s="5">
        <v>1250</v>
      </c>
      <c r="E2071" s="5">
        <f t="shared" si="61"/>
        <v>38525</v>
      </c>
      <c r="F2071" s="5">
        <v>76100</v>
      </c>
      <c r="K2071" s="24">
        <v>1170</v>
      </c>
      <c r="L2071" s="6">
        <v>1160</v>
      </c>
      <c r="M2071" s="270">
        <f t="shared" si="63"/>
        <v>-10</v>
      </c>
      <c r="N2071" s="19"/>
      <c r="O2071" s="280"/>
      <c r="P2071" s="345">
        <v>11675</v>
      </c>
      <c r="Q2071" s="28">
        <v>0.12429999999999999</v>
      </c>
      <c r="U2071" s="29">
        <v>0</v>
      </c>
      <c r="V2071" s="383"/>
      <c r="W2071" s="741">
        <f t="shared" si="62"/>
        <v>1451.2024999999999</v>
      </c>
    </row>
    <row r="2072" spans="1:24" ht="15" customHeight="1">
      <c r="A2072" s="3">
        <v>38785</v>
      </c>
      <c r="B2072" s="4">
        <v>39950</v>
      </c>
      <c r="D2072" s="5">
        <v>1225</v>
      </c>
      <c r="E2072" s="5">
        <f t="shared" si="61"/>
        <v>38300</v>
      </c>
      <c r="F2072" s="5">
        <v>79475</v>
      </c>
      <c r="K2072" s="24">
        <v>1175.5</v>
      </c>
      <c r="L2072" s="6">
        <v>1171</v>
      </c>
      <c r="M2072" s="270">
        <f t="shared" si="63"/>
        <v>-4.5</v>
      </c>
      <c r="N2072" s="19"/>
      <c r="O2072" s="280"/>
      <c r="P2072" s="345">
        <v>11600</v>
      </c>
      <c r="Q2072" s="28">
        <v>0.12429999999999999</v>
      </c>
      <c r="U2072" s="29">
        <v>0</v>
      </c>
      <c r="V2072" s="383"/>
      <c r="W2072" s="741">
        <f t="shared" si="62"/>
        <v>1441.8799999999999</v>
      </c>
    </row>
    <row r="2073" spans="1:24" ht="15" customHeight="1">
      <c r="A2073" s="3">
        <v>38786</v>
      </c>
      <c r="B2073" s="4">
        <v>40950</v>
      </c>
      <c r="D2073" s="5">
        <v>1325</v>
      </c>
      <c r="E2073" s="5">
        <f t="shared" si="61"/>
        <v>38300</v>
      </c>
      <c r="F2073" s="5">
        <v>80575</v>
      </c>
      <c r="K2073" s="24">
        <v>1174.5</v>
      </c>
      <c r="L2073" s="6">
        <v>1175</v>
      </c>
      <c r="M2073" s="270">
        <f t="shared" si="63"/>
        <v>0.5</v>
      </c>
      <c r="N2073" s="19"/>
      <c r="O2073" s="280"/>
      <c r="P2073" s="345">
        <v>11600</v>
      </c>
      <c r="Q2073" s="28">
        <v>0.12429999999999999</v>
      </c>
      <c r="U2073" s="29">
        <v>0</v>
      </c>
      <c r="V2073" s="383"/>
      <c r="W2073" s="741">
        <f t="shared" si="62"/>
        <v>1441.8799999999999</v>
      </c>
    </row>
    <row r="2074" spans="1:24" ht="15" customHeight="1">
      <c r="A2074" s="3">
        <v>38789</v>
      </c>
      <c r="B2074" s="4">
        <v>41850</v>
      </c>
      <c r="D2074" s="5">
        <v>1525</v>
      </c>
      <c r="E2074" s="5">
        <f t="shared" si="61"/>
        <v>38275</v>
      </c>
      <c r="F2074" s="5">
        <v>81650</v>
      </c>
      <c r="K2074" s="24">
        <v>1164.5</v>
      </c>
      <c r="L2074" s="6">
        <v>1168</v>
      </c>
      <c r="M2074" s="270">
        <f t="shared" si="63"/>
        <v>3.5</v>
      </c>
      <c r="N2074" s="19"/>
      <c r="O2074" s="280"/>
      <c r="P2074" s="345">
        <v>11475</v>
      </c>
      <c r="Q2074" s="28">
        <v>0.1242</v>
      </c>
      <c r="U2074" s="29">
        <v>0</v>
      </c>
      <c r="V2074" s="383"/>
      <c r="W2074" s="741">
        <f t="shared" si="62"/>
        <v>1425.1950000000002</v>
      </c>
    </row>
    <row r="2075" spans="1:24" ht="15" customHeight="1">
      <c r="A2075" s="3">
        <v>38790</v>
      </c>
      <c r="B2075" s="4">
        <v>44225</v>
      </c>
      <c r="D2075" s="5">
        <v>1525</v>
      </c>
      <c r="E2075" s="5">
        <f t="shared" si="61"/>
        <v>38275</v>
      </c>
      <c r="F2075" s="5">
        <v>84025</v>
      </c>
      <c r="K2075" s="24">
        <v>1170</v>
      </c>
      <c r="L2075" s="6">
        <v>1170</v>
      </c>
      <c r="M2075" s="270">
        <f t="shared" si="63"/>
        <v>0</v>
      </c>
      <c r="N2075" s="19"/>
      <c r="O2075" s="280"/>
      <c r="P2075" s="345">
        <v>11425</v>
      </c>
      <c r="Q2075" s="28">
        <v>0.1242</v>
      </c>
      <c r="U2075" s="29">
        <v>0</v>
      </c>
      <c r="V2075" s="383"/>
      <c r="W2075" s="741">
        <f t="shared" si="62"/>
        <v>1418.9850000000001</v>
      </c>
    </row>
    <row r="2076" spans="1:24" ht="15" customHeight="1">
      <c r="A2076" s="3">
        <v>38791</v>
      </c>
      <c r="B2076" s="4">
        <v>45125</v>
      </c>
      <c r="D2076" s="5">
        <v>1475</v>
      </c>
      <c r="E2076" s="5">
        <f t="shared" si="61"/>
        <v>38250</v>
      </c>
      <c r="F2076" s="5">
        <v>84850</v>
      </c>
      <c r="K2076" s="24">
        <v>1185</v>
      </c>
      <c r="L2076" s="6">
        <v>1187</v>
      </c>
      <c r="M2076" s="270">
        <f t="shared" si="63"/>
        <v>2</v>
      </c>
      <c r="N2076" s="19"/>
      <c r="O2076" s="280"/>
      <c r="P2076" s="345">
        <v>11425</v>
      </c>
      <c r="Q2076" s="28">
        <v>0.12429999999999999</v>
      </c>
      <c r="U2076" s="29">
        <v>0</v>
      </c>
      <c r="V2076" s="383"/>
      <c r="W2076" s="741">
        <f t="shared" si="62"/>
        <v>1420.1274999999998</v>
      </c>
    </row>
    <row r="2077" spans="1:24" ht="15" customHeight="1">
      <c r="A2077" s="3">
        <v>38792</v>
      </c>
      <c r="B2077" s="4">
        <v>45500</v>
      </c>
      <c r="D2077" s="5">
        <v>2375</v>
      </c>
      <c r="E2077" s="5">
        <f t="shared" si="61"/>
        <v>38250</v>
      </c>
      <c r="F2077" s="5">
        <v>86125</v>
      </c>
      <c r="K2077" s="24">
        <v>1143</v>
      </c>
      <c r="L2077" s="6">
        <v>1147</v>
      </c>
      <c r="M2077" s="270">
        <f t="shared" si="63"/>
        <v>4</v>
      </c>
      <c r="N2077" s="19"/>
      <c r="O2077" s="280"/>
      <c r="P2077" s="345">
        <v>11325</v>
      </c>
      <c r="Q2077" s="28">
        <v>0.1244</v>
      </c>
      <c r="U2077" s="29">
        <v>0</v>
      </c>
      <c r="V2077" s="383"/>
      <c r="W2077" s="741">
        <f t="shared" si="62"/>
        <v>1408.83</v>
      </c>
    </row>
    <row r="2078" spans="1:24" ht="15" customHeight="1">
      <c r="A2078" s="3">
        <v>38793</v>
      </c>
      <c r="B2078" s="4">
        <v>45400</v>
      </c>
      <c r="D2078" s="5">
        <v>2625</v>
      </c>
      <c r="E2078" s="5">
        <f t="shared" si="61"/>
        <v>38125</v>
      </c>
      <c r="F2078" s="5">
        <v>86150</v>
      </c>
      <c r="K2078" s="24">
        <v>1175.5</v>
      </c>
      <c r="L2078" s="6">
        <v>1184.5</v>
      </c>
      <c r="M2078" s="270">
        <f t="shared" si="63"/>
        <v>9</v>
      </c>
      <c r="N2078" s="19"/>
      <c r="O2078" s="280"/>
      <c r="P2078" s="345">
        <v>11250</v>
      </c>
      <c r="Q2078" s="28">
        <v>0.1245</v>
      </c>
      <c r="U2078" s="29">
        <v>0</v>
      </c>
      <c r="V2078" s="383"/>
      <c r="W2078" s="741">
        <f t="shared" si="62"/>
        <v>1400.625</v>
      </c>
    </row>
    <row r="2079" spans="1:24" ht="15" customHeight="1">
      <c r="A2079" s="3">
        <v>38796</v>
      </c>
      <c r="B2079" s="4">
        <v>45525</v>
      </c>
      <c r="D2079" s="5">
        <v>2700</v>
      </c>
      <c r="E2079" s="5">
        <f t="shared" si="61"/>
        <v>37950</v>
      </c>
      <c r="F2079" s="5">
        <v>86175</v>
      </c>
      <c r="K2079" s="24">
        <v>1172</v>
      </c>
      <c r="L2079" s="6">
        <v>1175</v>
      </c>
      <c r="M2079" s="270">
        <f t="shared" si="63"/>
        <v>3</v>
      </c>
      <c r="N2079" s="19"/>
      <c r="O2079" s="280"/>
      <c r="P2079" s="345">
        <v>11400</v>
      </c>
      <c r="Q2079" s="28">
        <v>0.1245</v>
      </c>
      <c r="U2079" s="29">
        <v>0</v>
      </c>
      <c r="V2079" s="383"/>
      <c r="W2079" s="741">
        <f t="shared" si="62"/>
        <v>1419.3</v>
      </c>
    </row>
    <row r="2080" spans="1:24" ht="15" customHeight="1">
      <c r="A2080" s="3">
        <v>38797</v>
      </c>
      <c r="B2080" s="4">
        <v>44025</v>
      </c>
      <c r="D2080" s="5">
        <v>2700</v>
      </c>
      <c r="E2080" s="5">
        <f t="shared" si="61"/>
        <v>37700</v>
      </c>
      <c r="F2080" s="5">
        <v>84425</v>
      </c>
      <c r="K2080" s="24">
        <v>1184</v>
      </c>
      <c r="L2080" s="6">
        <v>1192</v>
      </c>
      <c r="M2080" s="270">
        <f t="shared" si="63"/>
        <v>8</v>
      </c>
      <c r="N2080" s="19"/>
      <c r="O2080" s="280"/>
      <c r="P2080" s="345">
        <v>11400</v>
      </c>
      <c r="Q2080" s="28">
        <v>0.1246</v>
      </c>
      <c r="U2080" s="29">
        <v>0</v>
      </c>
      <c r="V2080" s="383"/>
      <c r="W2080" s="741">
        <f t="shared" si="62"/>
        <v>1420.44</v>
      </c>
    </row>
    <row r="2081" spans="1:24" ht="15" customHeight="1">
      <c r="A2081" s="3">
        <v>38798</v>
      </c>
      <c r="B2081" s="4">
        <v>44425</v>
      </c>
      <c r="D2081" s="5">
        <v>2700</v>
      </c>
      <c r="E2081" s="5">
        <f t="shared" si="61"/>
        <v>37675</v>
      </c>
      <c r="F2081" s="5">
        <v>84800</v>
      </c>
      <c r="K2081" s="24">
        <v>1170</v>
      </c>
      <c r="L2081" s="6">
        <v>1172</v>
      </c>
      <c r="M2081" s="270">
        <f t="shared" si="63"/>
        <v>2</v>
      </c>
      <c r="N2081" s="19"/>
      <c r="O2081" s="280"/>
      <c r="P2081" s="345">
        <v>11325</v>
      </c>
      <c r="Q2081" s="28">
        <v>0.1246</v>
      </c>
      <c r="U2081" s="29">
        <v>0</v>
      </c>
      <c r="V2081" s="383"/>
      <c r="W2081" s="741">
        <f t="shared" si="62"/>
        <v>1411.095</v>
      </c>
    </row>
    <row r="2082" spans="1:24" ht="15" customHeight="1">
      <c r="A2082" s="3">
        <v>38799</v>
      </c>
      <c r="B2082" s="4">
        <v>44625</v>
      </c>
      <c r="D2082" s="5">
        <v>2800</v>
      </c>
      <c r="E2082" s="5">
        <f t="shared" si="61"/>
        <v>37650</v>
      </c>
      <c r="F2082" s="5">
        <v>85075</v>
      </c>
      <c r="K2082" s="24">
        <v>1187.5</v>
      </c>
      <c r="L2082" s="6">
        <v>1190</v>
      </c>
      <c r="M2082" s="270">
        <f t="shared" si="63"/>
        <v>2.5</v>
      </c>
      <c r="N2082" s="19"/>
      <c r="O2082" s="280"/>
      <c r="P2082" s="345">
        <v>11400</v>
      </c>
      <c r="Q2082" s="28">
        <v>0.1245</v>
      </c>
      <c r="U2082" s="29">
        <v>0</v>
      </c>
      <c r="V2082" s="383"/>
      <c r="W2082" s="741">
        <f t="shared" si="62"/>
        <v>1419.3</v>
      </c>
    </row>
    <row r="2083" spans="1:24" ht="15" customHeight="1">
      <c r="A2083" s="3">
        <v>38800</v>
      </c>
      <c r="B2083" s="4">
        <v>44575</v>
      </c>
      <c r="D2083" s="5">
        <v>3025</v>
      </c>
      <c r="E2083" s="5">
        <f t="shared" si="61"/>
        <v>37650</v>
      </c>
      <c r="F2083" s="5">
        <v>85250</v>
      </c>
      <c r="K2083" s="24">
        <v>1229</v>
      </c>
      <c r="L2083" s="6">
        <v>1235</v>
      </c>
      <c r="M2083" s="270">
        <f t="shared" si="63"/>
        <v>6</v>
      </c>
      <c r="N2083" s="19"/>
      <c r="O2083" s="280"/>
      <c r="P2083" s="345">
        <v>11250</v>
      </c>
      <c r="Q2083" s="28">
        <v>0.1245</v>
      </c>
      <c r="U2083" s="29">
        <v>0</v>
      </c>
      <c r="V2083" s="383"/>
      <c r="W2083" s="741">
        <f t="shared" si="62"/>
        <v>1400.625</v>
      </c>
    </row>
    <row r="2084" spans="1:24" ht="15" customHeight="1">
      <c r="A2084" s="3">
        <v>38803</v>
      </c>
      <c r="B2084" s="4">
        <v>45150</v>
      </c>
      <c r="D2084" s="5">
        <v>3575</v>
      </c>
      <c r="E2084" s="5">
        <f t="shared" si="61"/>
        <v>37525</v>
      </c>
      <c r="F2084" s="5">
        <v>86250</v>
      </c>
      <c r="K2084" s="24">
        <v>1227</v>
      </c>
      <c r="L2084" s="6">
        <v>1230</v>
      </c>
      <c r="M2084" s="270">
        <f t="shared" si="63"/>
        <v>3</v>
      </c>
      <c r="N2084" s="19"/>
      <c r="O2084" s="280"/>
      <c r="P2084" s="345">
        <v>11300</v>
      </c>
      <c r="Q2084" s="28">
        <v>0.1245</v>
      </c>
      <c r="U2084" s="29">
        <v>0</v>
      </c>
      <c r="V2084" s="383"/>
      <c r="W2084" s="741">
        <f t="shared" si="62"/>
        <v>1406.85</v>
      </c>
    </row>
    <row r="2085" spans="1:24" ht="15" customHeight="1">
      <c r="A2085" s="3">
        <v>38804</v>
      </c>
      <c r="B2085" s="4">
        <v>46800</v>
      </c>
      <c r="D2085" s="5">
        <v>3600</v>
      </c>
      <c r="E2085" s="5">
        <f t="shared" si="61"/>
        <v>37525</v>
      </c>
      <c r="F2085" s="5">
        <v>87925</v>
      </c>
      <c r="K2085" s="24">
        <v>1221.5</v>
      </c>
      <c r="L2085" s="6">
        <v>1230</v>
      </c>
      <c r="M2085" s="270">
        <f t="shared" si="63"/>
        <v>8.5</v>
      </c>
      <c r="N2085" s="19"/>
      <c r="O2085" s="280"/>
      <c r="P2085" s="345">
        <v>11200</v>
      </c>
      <c r="Q2085" s="28">
        <v>0.1246</v>
      </c>
      <c r="U2085" s="29">
        <v>0</v>
      </c>
      <c r="V2085" s="383"/>
      <c r="W2085" s="741">
        <f t="shared" si="62"/>
        <v>1395.52</v>
      </c>
    </row>
    <row r="2086" spans="1:24" ht="15" customHeight="1">
      <c r="A2086" s="3">
        <v>38805</v>
      </c>
      <c r="B2086" s="4">
        <v>46800</v>
      </c>
      <c r="D2086" s="5">
        <v>3975</v>
      </c>
      <c r="E2086" s="5">
        <f t="shared" si="61"/>
        <v>37475</v>
      </c>
      <c r="F2086" s="5">
        <v>88250</v>
      </c>
      <c r="K2086" s="24">
        <v>1207.5</v>
      </c>
      <c r="L2086" s="6">
        <v>1214</v>
      </c>
      <c r="M2086" s="270">
        <f t="shared" si="63"/>
        <v>6.5</v>
      </c>
      <c r="N2086" s="19"/>
      <c r="O2086" s="280"/>
      <c r="P2086" s="345">
        <v>11200</v>
      </c>
      <c r="Q2086" s="28">
        <v>0.12470000000000001</v>
      </c>
      <c r="U2086" s="29">
        <v>0</v>
      </c>
      <c r="V2086" s="383"/>
      <c r="W2086" s="741">
        <f t="shared" si="62"/>
        <v>1396.64</v>
      </c>
    </row>
    <row r="2087" spans="1:24" ht="15.75" customHeight="1">
      <c r="A2087" s="3">
        <v>38806</v>
      </c>
      <c r="B2087" s="4">
        <v>46700</v>
      </c>
      <c r="D2087" s="5">
        <v>4125</v>
      </c>
      <c r="E2087" s="5">
        <f t="shared" si="61"/>
        <v>37425</v>
      </c>
      <c r="F2087" s="5">
        <v>88250</v>
      </c>
      <c r="K2087" s="24">
        <v>1202</v>
      </c>
      <c r="L2087" s="6">
        <v>1209</v>
      </c>
      <c r="M2087" s="270">
        <f t="shared" si="63"/>
        <v>7</v>
      </c>
      <c r="N2087" s="19"/>
      <c r="O2087" s="280"/>
      <c r="P2087" s="345">
        <v>11100</v>
      </c>
      <c r="Q2087" s="28">
        <v>0.1246</v>
      </c>
      <c r="U2087" s="29">
        <v>0</v>
      </c>
      <c r="V2087" s="383"/>
      <c r="W2087" s="741">
        <f t="shared" si="62"/>
        <v>1383.06</v>
      </c>
    </row>
    <row r="2088" spans="1:24" ht="15" customHeight="1" thickBot="1">
      <c r="A2088" s="12">
        <v>38807</v>
      </c>
      <c r="B2088" s="13">
        <v>47475</v>
      </c>
      <c r="C2088" s="13"/>
      <c r="D2088" s="14">
        <v>4725</v>
      </c>
      <c r="E2088" s="14">
        <f t="shared" si="61"/>
        <v>37425</v>
      </c>
      <c r="F2088" s="14">
        <v>89625</v>
      </c>
      <c r="G2088" s="14"/>
      <c r="H2088" s="14"/>
      <c r="I2088" s="14"/>
      <c r="J2088" s="264"/>
      <c r="K2088" s="25">
        <v>1210</v>
      </c>
      <c r="L2088" s="15">
        <v>1215</v>
      </c>
      <c r="M2088" s="271">
        <f t="shared" si="63"/>
        <v>5</v>
      </c>
      <c r="N2088" s="20">
        <f>AVERAGE(K2066:K2088)</f>
        <v>1192.0869565217392</v>
      </c>
      <c r="O2088" s="281"/>
      <c r="P2088" s="346">
        <v>11150</v>
      </c>
      <c r="Q2088" s="30">
        <v>0.1246</v>
      </c>
      <c r="R2088" s="30"/>
      <c r="S2088" s="30"/>
      <c r="T2088" s="30"/>
      <c r="U2088" s="31">
        <v>0</v>
      </c>
      <c r="V2088" s="740">
        <f>AVERAGE(P2066:P2088)</f>
        <v>11445.652173913044</v>
      </c>
      <c r="W2088" s="741">
        <f t="shared" si="62"/>
        <v>1389.29</v>
      </c>
      <c r="X2088" s="33"/>
    </row>
    <row r="2089" spans="1:24" ht="15" customHeight="1">
      <c r="A2089" s="3">
        <v>38810</v>
      </c>
      <c r="B2089" s="4">
        <v>47225</v>
      </c>
      <c r="D2089" s="5">
        <v>5100</v>
      </c>
      <c r="E2089" s="5">
        <f t="shared" si="61"/>
        <v>37425</v>
      </c>
      <c r="F2089" s="5">
        <v>89750</v>
      </c>
      <c r="K2089" s="24">
        <v>1209</v>
      </c>
      <c r="L2089" s="6">
        <v>1207</v>
      </c>
      <c r="M2089" s="270">
        <f t="shared" si="63"/>
        <v>-2</v>
      </c>
      <c r="N2089" s="19"/>
      <c r="O2089" s="280"/>
      <c r="P2089" s="345">
        <v>11150</v>
      </c>
      <c r="Q2089" s="28">
        <v>0.12470000000000001</v>
      </c>
      <c r="U2089" s="29">
        <v>0</v>
      </c>
      <c r="V2089" s="383"/>
      <c r="W2089" s="741">
        <f t="shared" si="62"/>
        <v>1390.405</v>
      </c>
    </row>
    <row r="2090" spans="1:24" ht="15" customHeight="1">
      <c r="A2090" s="3">
        <v>38811</v>
      </c>
      <c r="B2090" s="4">
        <v>47650</v>
      </c>
      <c r="D2090" s="5">
        <v>5425</v>
      </c>
      <c r="E2090" s="5">
        <f t="shared" si="61"/>
        <v>37425</v>
      </c>
      <c r="F2090" s="5">
        <v>90500</v>
      </c>
      <c r="K2090" s="24">
        <v>1161</v>
      </c>
      <c r="L2090" s="6">
        <v>1164</v>
      </c>
      <c r="M2090" s="270">
        <f t="shared" si="63"/>
        <v>3</v>
      </c>
      <c r="N2090" s="19"/>
      <c r="O2090" s="280"/>
      <c r="P2090" s="345">
        <v>11250</v>
      </c>
      <c r="Q2090" s="28">
        <v>0.12470000000000001</v>
      </c>
      <c r="U2090" s="29">
        <v>0</v>
      </c>
      <c r="V2090" s="383"/>
      <c r="W2090" s="741">
        <f t="shared" si="62"/>
        <v>1402.875</v>
      </c>
    </row>
    <row r="2091" spans="1:24" ht="15" customHeight="1">
      <c r="A2091" s="3">
        <v>38812</v>
      </c>
      <c r="B2091" s="4">
        <v>47650</v>
      </c>
      <c r="D2091" s="5">
        <v>5425</v>
      </c>
      <c r="E2091" s="5">
        <f t="shared" si="61"/>
        <v>37400</v>
      </c>
      <c r="F2091" s="5">
        <v>90475</v>
      </c>
      <c r="K2091" s="24">
        <v>1162.5</v>
      </c>
      <c r="L2091" s="6">
        <v>1175</v>
      </c>
      <c r="M2091" s="270">
        <f t="shared" si="63"/>
        <v>12.5</v>
      </c>
      <c r="N2091" s="19"/>
      <c r="O2091" s="280"/>
      <c r="P2091" s="345">
        <v>11250</v>
      </c>
      <c r="Q2091" s="28">
        <v>0.12470000000000001</v>
      </c>
      <c r="U2091" s="29">
        <v>0</v>
      </c>
      <c r="V2091" s="383"/>
      <c r="W2091" s="741">
        <f t="shared" si="62"/>
        <v>1402.875</v>
      </c>
    </row>
    <row r="2092" spans="1:24" ht="15" customHeight="1">
      <c r="A2092" s="3">
        <v>38813</v>
      </c>
      <c r="B2092" s="4">
        <v>47650</v>
      </c>
      <c r="D2092" s="5">
        <v>5425</v>
      </c>
      <c r="E2092" s="5">
        <f t="shared" si="61"/>
        <v>37400</v>
      </c>
      <c r="F2092" s="5">
        <v>90475</v>
      </c>
      <c r="K2092" s="24">
        <v>1155</v>
      </c>
      <c r="L2092" s="6">
        <v>1168</v>
      </c>
      <c r="M2092" s="270">
        <f t="shared" si="63"/>
        <v>13</v>
      </c>
      <c r="N2092" s="19"/>
      <c r="O2092" s="280"/>
      <c r="P2092" s="345">
        <v>11075</v>
      </c>
      <c r="Q2092" s="28">
        <v>0.12479999999999999</v>
      </c>
      <c r="U2092" s="29">
        <v>0</v>
      </c>
      <c r="V2092" s="383"/>
      <c r="W2092" s="741">
        <f t="shared" si="62"/>
        <v>1382.1599999999999</v>
      </c>
    </row>
    <row r="2093" spans="1:24" ht="15" customHeight="1">
      <c r="A2093" s="3">
        <v>38814</v>
      </c>
      <c r="B2093" s="4">
        <v>47500</v>
      </c>
      <c r="D2093" s="5">
        <v>5450</v>
      </c>
      <c r="E2093" s="5">
        <f t="shared" si="61"/>
        <v>37375</v>
      </c>
      <c r="F2093" s="5">
        <v>90325</v>
      </c>
      <c r="K2093" s="24">
        <v>1166.5</v>
      </c>
      <c r="L2093" s="6">
        <v>1182</v>
      </c>
      <c r="M2093" s="270">
        <f t="shared" si="63"/>
        <v>15.5</v>
      </c>
      <c r="N2093" s="19"/>
      <c r="O2093" s="280"/>
      <c r="P2093" s="345">
        <v>11150</v>
      </c>
      <c r="Q2093" s="28">
        <v>0.1249</v>
      </c>
      <c r="U2093" s="29">
        <v>0</v>
      </c>
      <c r="V2093" s="383"/>
      <c r="W2093" s="741">
        <f t="shared" ref="W2093:W2156" si="64">(P2093*Q2093)*(1+U2093)</f>
        <v>1392.635</v>
      </c>
    </row>
    <row r="2094" spans="1:24" ht="15" customHeight="1">
      <c r="A2094" s="3">
        <v>38817</v>
      </c>
      <c r="B2094" s="4">
        <v>49500</v>
      </c>
      <c r="D2094" s="5">
        <v>5450</v>
      </c>
      <c r="E2094" s="5">
        <f t="shared" si="61"/>
        <v>37375</v>
      </c>
      <c r="F2094" s="5">
        <v>92325</v>
      </c>
      <c r="K2094" s="24">
        <v>1164</v>
      </c>
      <c r="L2094" s="6">
        <v>1183</v>
      </c>
      <c r="M2094" s="270">
        <f t="shared" si="63"/>
        <v>19</v>
      </c>
      <c r="N2094" s="19"/>
      <c r="O2094" s="280"/>
      <c r="P2094" s="345">
        <v>11050</v>
      </c>
      <c r="Q2094" s="28">
        <v>0.12479999999999999</v>
      </c>
      <c r="U2094" s="29">
        <v>0</v>
      </c>
      <c r="V2094" s="383"/>
      <c r="W2094" s="741">
        <f t="shared" si="64"/>
        <v>1379.04</v>
      </c>
    </row>
    <row r="2095" spans="1:24" ht="15" customHeight="1">
      <c r="A2095" s="3">
        <v>38818</v>
      </c>
      <c r="B2095" s="4">
        <v>49300</v>
      </c>
      <c r="D2095" s="5">
        <v>5450</v>
      </c>
      <c r="E2095" s="5">
        <f t="shared" si="61"/>
        <v>37375</v>
      </c>
      <c r="F2095" s="5">
        <v>92125</v>
      </c>
      <c r="K2095" s="24">
        <v>1149.5</v>
      </c>
      <c r="L2095" s="6">
        <v>1173</v>
      </c>
      <c r="M2095" s="270">
        <f t="shared" si="63"/>
        <v>23.5</v>
      </c>
      <c r="N2095" s="19"/>
      <c r="O2095" s="280"/>
      <c r="P2095" s="345">
        <v>11050</v>
      </c>
      <c r="Q2095" s="28">
        <v>0.1249</v>
      </c>
      <c r="U2095" s="29">
        <v>0</v>
      </c>
      <c r="V2095" s="383"/>
      <c r="W2095" s="741">
        <f t="shared" si="64"/>
        <v>1380.145</v>
      </c>
    </row>
    <row r="2096" spans="1:24" ht="15" customHeight="1">
      <c r="A2096" s="3">
        <v>38819</v>
      </c>
      <c r="B2096" s="4">
        <v>50075</v>
      </c>
      <c r="D2096" s="5">
        <v>5450</v>
      </c>
      <c r="E2096" s="5">
        <f t="shared" si="61"/>
        <v>37325</v>
      </c>
      <c r="F2096" s="5">
        <v>92850</v>
      </c>
      <c r="K2096" s="24">
        <v>1149</v>
      </c>
      <c r="L2096" s="6">
        <v>1173.5</v>
      </c>
      <c r="M2096" s="270">
        <f t="shared" si="63"/>
        <v>24.5</v>
      </c>
      <c r="N2096" s="19"/>
      <c r="O2096" s="280"/>
      <c r="P2096" s="345">
        <v>11100</v>
      </c>
      <c r="Q2096" s="28">
        <v>0.12479999999999999</v>
      </c>
      <c r="U2096" s="29">
        <v>0</v>
      </c>
      <c r="V2096" s="383"/>
      <c r="W2096" s="741">
        <f t="shared" si="64"/>
        <v>1385.28</v>
      </c>
    </row>
    <row r="2097" spans="1:24" ht="15" customHeight="1">
      <c r="A2097" s="3">
        <v>38820</v>
      </c>
      <c r="B2097" s="4">
        <v>50025</v>
      </c>
      <c r="D2097" s="5">
        <v>5450</v>
      </c>
      <c r="E2097" s="5">
        <f t="shared" si="61"/>
        <v>37300</v>
      </c>
      <c r="F2097" s="5">
        <v>92775</v>
      </c>
      <c r="K2097" s="24">
        <v>1148.5</v>
      </c>
      <c r="L2097" s="6">
        <v>1177</v>
      </c>
      <c r="M2097" s="270">
        <f t="shared" si="63"/>
        <v>28.5</v>
      </c>
      <c r="N2097" s="19"/>
      <c r="O2097" s="280"/>
      <c r="P2097" s="345">
        <v>11050</v>
      </c>
      <c r="Q2097" s="28">
        <v>0.12479999999999999</v>
      </c>
      <c r="U2097" s="29">
        <v>0</v>
      </c>
      <c r="V2097" s="383"/>
      <c r="W2097" s="741">
        <f t="shared" si="64"/>
        <v>1379.04</v>
      </c>
    </row>
    <row r="2098" spans="1:24" ht="15" customHeight="1">
      <c r="A2098" s="3">
        <v>38825</v>
      </c>
      <c r="B2098" s="4">
        <v>51450</v>
      </c>
      <c r="D2098" s="5">
        <v>5450</v>
      </c>
      <c r="E2098" s="5">
        <f t="shared" si="61"/>
        <v>37300</v>
      </c>
      <c r="F2098" s="5">
        <v>94200</v>
      </c>
      <c r="K2098" s="24">
        <v>1149.5</v>
      </c>
      <c r="L2098" s="6">
        <v>1177.5</v>
      </c>
      <c r="M2098" s="270">
        <f t="shared" si="63"/>
        <v>28</v>
      </c>
      <c r="N2098" s="19"/>
      <c r="O2098" s="280"/>
      <c r="P2098" s="345">
        <v>10700</v>
      </c>
      <c r="Q2098" s="28">
        <v>0.12479999999999999</v>
      </c>
      <c r="U2098" s="29">
        <v>0</v>
      </c>
      <c r="V2098" s="383"/>
      <c r="W2098" s="741">
        <f t="shared" si="64"/>
        <v>1335.36</v>
      </c>
    </row>
    <row r="2099" spans="1:24" ht="15" customHeight="1">
      <c r="A2099" s="3">
        <v>38826</v>
      </c>
      <c r="B2099" s="4">
        <v>51925</v>
      </c>
      <c r="D2099" s="5">
        <v>5450</v>
      </c>
      <c r="E2099" s="5">
        <f t="shared" si="61"/>
        <v>37300</v>
      </c>
      <c r="F2099" s="5">
        <v>94675</v>
      </c>
      <c r="K2099" s="24">
        <v>1176</v>
      </c>
      <c r="L2099" s="6">
        <v>1190</v>
      </c>
      <c r="M2099" s="270">
        <f t="shared" si="63"/>
        <v>14</v>
      </c>
      <c r="N2099" s="19"/>
      <c r="O2099" s="280"/>
      <c r="P2099" s="345">
        <v>10700</v>
      </c>
      <c r="Q2099" s="28">
        <v>0.12479999999999999</v>
      </c>
      <c r="U2099" s="29">
        <v>0</v>
      </c>
      <c r="V2099" s="383"/>
      <c r="W2099" s="741">
        <f t="shared" si="64"/>
        <v>1335.36</v>
      </c>
    </row>
    <row r="2100" spans="1:24" ht="15" customHeight="1">
      <c r="A2100" s="3">
        <v>38827</v>
      </c>
      <c r="B2100" s="4">
        <v>51925</v>
      </c>
      <c r="D2100" s="5">
        <v>5450</v>
      </c>
      <c r="E2100" s="5">
        <f t="shared" si="61"/>
        <v>37275</v>
      </c>
      <c r="F2100" s="5">
        <v>94650</v>
      </c>
      <c r="K2100" s="24">
        <v>1166</v>
      </c>
      <c r="L2100" s="6">
        <v>1190</v>
      </c>
      <c r="M2100" s="270">
        <f t="shared" si="63"/>
        <v>24</v>
      </c>
      <c r="N2100" s="19"/>
      <c r="O2100" s="280"/>
      <c r="P2100" s="345">
        <v>10660</v>
      </c>
      <c r="Q2100" s="28">
        <v>0.12479999999999999</v>
      </c>
      <c r="U2100" s="29">
        <v>0</v>
      </c>
      <c r="V2100" s="383"/>
      <c r="W2100" s="741">
        <f t="shared" si="64"/>
        <v>1330.3679999999999</v>
      </c>
    </row>
    <row r="2101" spans="1:24" ht="15" customHeight="1">
      <c r="A2101" s="3">
        <v>38830</v>
      </c>
      <c r="B2101" s="4">
        <v>51950</v>
      </c>
      <c r="D2101" s="5">
        <v>5450</v>
      </c>
      <c r="E2101" s="5">
        <f t="shared" si="61"/>
        <v>37275</v>
      </c>
      <c r="F2101" s="5">
        <v>94675</v>
      </c>
      <c r="K2101" s="24">
        <v>1205.5</v>
      </c>
      <c r="L2101" s="6">
        <v>1224</v>
      </c>
      <c r="M2101" s="270">
        <f t="shared" si="63"/>
        <v>18.5</v>
      </c>
      <c r="N2101" s="19"/>
      <c r="O2101" s="280"/>
      <c r="P2101" s="345">
        <v>10550</v>
      </c>
      <c r="Q2101" s="28">
        <v>0.12470000000000001</v>
      </c>
      <c r="U2101" s="29">
        <v>0</v>
      </c>
      <c r="V2101" s="383"/>
      <c r="W2101" s="741">
        <f t="shared" si="64"/>
        <v>1315.585</v>
      </c>
    </row>
    <row r="2102" spans="1:24" ht="15" customHeight="1">
      <c r="A2102" s="3">
        <v>38831</v>
      </c>
      <c r="B2102" s="4">
        <v>51775</v>
      </c>
      <c r="D2102" s="5">
        <v>5450</v>
      </c>
      <c r="E2102" s="5">
        <f t="shared" si="61"/>
        <v>37200</v>
      </c>
      <c r="F2102" s="5">
        <v>94425</v>
      </c>
      <c r="K2102" s="24">
        <v>1170</v>
      </c>
      <c r="L2102" s="6">
        <v>1209</v>
      </c>
      <c r="M2102" s="270">
        <f t="shared" si="63"/>
        <v>39</v>
      </c>
      <c r="N2102" s="19"/>
      <c r="O2102" s="280"/>
      <c r="P2102" s="345">
        <v>10800</v>
      </c>
      <c r="Q2102" s="28">
        <v>0.12470000000000001</v>
      </c>
      <c r="U2102" s="29">
        <v>0</v>
      </c>
      <c r="V2102" s="383"/>
      <c r="W2102" s="741">
        <f t="shared" si="64"/>
        <v>1346.76</v>
      </c>
    </row>
    <row r="2103" spans="1:24" ht="15" customHeight="1">
      <c r="A2103" s="3">
        <v>38832</v>
      </c>
      <c r="B2103" s="4">
        <v>54000</v>
      </c>
      <c r="D2103" s="5">
        <v>5450</v>
      </c>
      <c r="E2103" s="5">
        <f t="shared" si="61"/>
        <v>37000</v>
      </c>
      <c r="F2103" s="5">
        <v>96450</v>
      </c>
      <c r="K2103" s="24">
        <v>1185</v>
      </c>
      <c r="L2103" s="6">
        <v>1205</v>
      </c>
      <c r="M2103" s="270">
        <f t="shared" ref="M2103:M2166" si="65">L2103-K2103</f>
        <v>20</v>
      </c>
      <c r="N2103" s="19"/>
      <c r="O2103" s="280"/>
      <c r="P2103" s="345">
        <v>10800</v>
      </c>
      <c r="Q2103" s="28">
        <v>0.12470000000000001</v>
      </c>
      <c r="U2103" s="29">
        <v>0</v>
      </c>
      <c r="V2103" s="383"/>
      <c r="W2103" s="741">
        <f t="shared" si="64"/>
        <v>1346.76</v>
      </c>
    </row>
    <row r="2104" spans="1:24" ht="15" customHeight="1">
      <c r="A2104" s="3">
        <v>38833</v>
      </c>
      <c r="B2104" s="4">
        <v>54600</v>
      </c>
      <c r="D2104" s="5">
        <v>5450</v>
      </c>
      <c r="E2104" s="5">
        <f t="shared" si="61"/>
        <v>36875</v>
      </c>
      <c r="F2104" s="5">
        <v>96925</v>
      </c>
      <c r="K2104" s="24">
        <v>1169</v>
      </c>
      <c r="L2104" s="6">
        <v>1205</v>
      </c>
      <c r="M2104" s="270">
        <f t="shared" si="65"/>
        <v>36</v>
      </c>
      <c r="N2104" s="19"/>
      <c r="O2104" s="280"/>
      <c r="P2104" s="345">
        <v>10800</v>
      </c>
      <c r="Q2104" s="28">
        <v>0.12470000000000001</v>
      </c>
      <c r="U2104" s="29">
        <v>0</v>
      </c>
      <c r="V2104" s="383"/>
      <c r="W2104" s="741">
        <f t="shared" si="64"/>
        <v>1346.76</v>
      </c>
    </row>
    <row r="2105" spans="1:24" ht="15" customHeight="1">
      <c r="A2105" s="3">
        <v>38834</v>
      </c>
      <c r="B2105" s="4">
        <v>54575</v>
      </c>
      <c r="D2105" s="5">
        <v>5450</v>
      </c>
      <c r="E2105" s="5">
        <f t="shared" si="61"/>
        <v>36800</v>
      </c>
      <c r="F2105" s="5">
        <v>96825</v>
      </c>
      <c r="K2105" s="24">
        <v>1191.5</v>
      </c>
      <c r="L2105" s="6">
        <v>1203</v>
      </c>
      <c r="M2105" s="270">
        <f t="shared" si="65"/>
        <v>11.5</v>
      </c>
      <c r="N2105" s="19"/>
      <c r="O2105" s="280"/>
      <c r="P2105" s="345">
        <v>10800</v>
      </c>
      <c r="Q2105" s="28">
        <v>0.12470000000000001</v>
      </c>
      <c r="U2105" s="29">
        <v>0</v>
      </c>
      <c r="V2105" s="383"/>
      <c r="W2105" s="741">
        <f t="shared" si="64"/>
        <v>1346.76</v>
      </c>
    </row>
    <row r="2106" spans="1:24" ht="15" customHeight="1" thickBot="1">
      <c r="A2106" s="12">
        <v>38835</v>
      </c>
      <c r="B2106" s="13">
        <v>57575</v>
      </c>
      <c r="C2106" s="13"/>
      <c r="D2106" s="14">
        <v>5450</v>
      </c>
      <c r="E2106" s="14">
        <f t="shared" si="61"/>
        <v>36775</v>
      </c>
      <c r="F2106" s="14">
        <v>99800</v>
      </c>
      <c r="G2106" s="14"/>
      <c r="H2106" s="14"/>
      <c r="I2106" s="14"/>
      <c r="J2106" s="264"/>
      <c r="K2106" s="25">
        <v>1190</v>
      </c>
      <c r="L2106" s="15">
        <v>1210</v>
      </c>
      <c r="M2106" s="271">
        <f t="shared" si="65"/>
        <v>20</v>
      </c>
      <c r="N2106" s="20">
        <f>AVERAGE(K2089:K2106)</f>
        <v>1170.4166666666667</v>
      </c>
      <c r="O2106" s="281"/>
      <c r="P2106" s="346">
        <v>10800</v>
      </c>
      <c r="Q2106" s="30">
        <v>0.12470000000000001</v>
      </c>
      <c r="R2106" s="30"/>
      <c r="S2106" s="30"/>
      <c r="T2106" s="30"/>
      <c r="U2106" s="31">
        <v>0</v>
      </c>
      <c r="V2106" s="740">
        <f>AVERAGE(P2089:P2106)</f>
        <v>10929.722222222223</v>
      </c>
      <c r="W2106" s="741">
        <f t="shared" si="64"/>
        <v>1346.76</v>
      </c>
      <c r="X2106" s="33"/>
    </row>
    <row r="2107" spans="1:24" ht="15" customHeight="1">
      <c r="A2107" s="3">
        <v>38839</v>
      </c>
      <c r="B2107" s="4">
        <v>57375</v>
      </c>
      <c r="D2107" s="5">
        <v>5450</v>
      </c>
      <c r="E2107" s="5">
        <f t="shared" si="61"/>
        <v>36775</v>
      </c>
      <c r="F2107" s="5">
        <v>99600</v>
      </c>
      <c r="K2107" s="24">
        <v>1196</v>
      </c>
      <c r="L2107" s="6">
        <v>1240</v>
      </c>
      <c r="M2107" s="270">
        <f t="shared" si="65"/>
        <v>44</v>
      </c>
      <c r="N2107" s="19"/>
      <c r="O2107" s="280"/>
      <c r="P2107" s="345">
        <v>10800</v>
      </c>
      <c r="Q2107" s="28">
        <v>0.12470000000000001</v>
      </c>
      <c r="U2107" s="29">
        <v>0</v>
      </c>
      <c r="V2107" s="383"/>
      <c r="W2107" s="741">
        <f t="shared" si="64"/>
        <v>1346.76</v>
      </c>
    </row>
    <row r="2108" spans="1:24" ht="15" customHeight="1">
      <c r="A2108" s="3">
        <v>38840</v>
      </c>
      <c r="B2108" s="4">
        <v>57925</v>
      </c>
      <c r="D2108" s="5">
        <v>5450</v>
      </c>
      <c r="E2108" s="5">
        <f t="shared" si="61"/>
        <v>36275</v>
      </c>
      <c r="F2108" s="5">
        <v>99650</v>
      </c>
      <c r="K2108" s="24">
        <v>1160.5</v>
      </c>
      <c r="L2108" s="6">
        <v>1195</v>
      </c>
      <c r="M2108" s="270">
        <f t="shared" si="65"/>
        <v>34.5</v>
      </c>
      <c r="N2108" s="19"/>
      <c r="O2108" s="280"/>
      <c r="P2108" s="345">
        <v>10800</v>
      </c>
      <c r="Q2108" s="28">
        <v>0.12470000000000001</v>
      </c>
      <c r="U2108" s="29">
        <v>0</v>
      </c>
      <c r="V2108" s="383"/>
      <c r="W2108" s="741">
        <f t="shared" si="64"/>
        <v>1346.76</v>
      </c>
    </row>
    <row r="2109" spans="1:24" ht="15" customHeight="1">
      <c r="A2109" s="3">
        <v>38841</v>
      </c>
      <c r="B2109" s="4">
        <v>58400</v>
      </c>
      <c r="D2109" s="5">
        <v>5450</v>
      </c>
      <c r="E2109" s="5">
        <f t="shared" si="61"/>
        <v>35300</v>
      </c>
      <c r="F2109" s="5">
        <v>99150</v>
      </c>
      <c r="K2109" s="24">
        <v>1175</v>
      </c>
      <c r="L2109" s="6">
        <v>1205</v>
      </c>
      <c r="M2109" s="270">
        <f t="shared" si="65"/>
        <v>30</v>
      </c>
      <c r="N2109" s="19"/>
      <c r="O2109" s="280"/>
      <c r="P2109" s="345">
        <v>10800</v>
      </c>
      <c r="Q2109" s="28">
        <v>0.12470000000000001</v>
      </c>
      <c r="U2109" s="29">
        <v>0</v>
      </c>
      <c r="V2109" s="383"/>
      <c r="W2109" s="741">
        <f t="shared" si="64"/>
        <v>1346.76</v>
      </c>
    </row>
    <row r="2110" spans="1:24" ht="15" customHeight="1">
      <c r="A2110" s="3">
        <v>38842</v>
      </c>
      <c r="B2110" s="4">
        <v>58375</v>
      </c>
      <c r="D2110" s="5">
        <v>5450</v>
      </c>
      <c r="E2110" s="5">
        <f t="shared" si="61"/>
        <v>34925</v>
      </c>
      <c r="F2110" s="5">
        <v>98750</v>
      </c>
      <c r="K2110" s="24">
        <v>1191</v>
      </c>
      <c r="L2110" s="6">
        <v>1225</v>
      </c>
      <c r="M2110" s="270">
        <f t="shared" si="65"/>
        <v>34</v>
      </c>
      <c r="N2110" s="19"/>
      <c r="O2110" s="280"/>
      <c r="P2110" s="345">
        <v>10800</v>
      </c>
      <c r="Q2110" s="28">
        <v>0.12470000000000001</v>
      </c>
      <c r="U2110" s="29">
        <v>0</v>
      </c>
      <c r="V2110" s="383"/>
      <c r="W2110" s="741">
        <f t="shared" si="64"/>
        <v>1346.76</v>
      </c>
    </row>
    <row r="2111" spans="1:24" ht="15" customHeight="1">
      <c r="A2111" s="3">
        <v>38845</v>
      </c>
      <c r="B2111" s="4">
        <v>58275</v>
      </c>
      <c r="D2111" s="5">
        <v>5450</v>
      </c>
      <c r="E2111" s="5">
        <f t="shared" si="61"/>
        <v>34275</v>
      </c>
      <c r="F2111" s="5">
        <v>98000</v>
      </c>
      <c r="K2111" s="24">
        <v>1170</v>
      </c>
      <c r="L2111" s="6">
        <v>1200.5</v>
      </c>
      <c r="M2111" s="270">
        <f t="shared" si="65"/>
        <v>30.5</v>
      </c>
      <c r="N2111" s="19"/>
      <c r="O2111" s="280"/>
      <c r="P2111" s="345">
        <v>10800</v>
      </c>
      <c r="Q2111" s="28">
        <v>0.12470000000000001</v>
      </c>
      <c r="U2111" s="29">
        <v>0</v>
      </c>
      <c r="V2111" s="383"/>
      <c r="W2111" s="741">
        <f t="shared" si="64"/>
        <v>1346.76</v>
      </c>
    </row>
    <row r="2112" spans="1:24" ht="15" customHeight="1">
      <c r="A2112" s="3">
        <v>38846</v>
      </c>
      <c r="B2112" s="4">
        <v>60625</v>
      </c>
      <c r="D2112" s="5">
        <v>5450</v>
      </c>
      <c r="E2112" s="5">
        <f t="shared" si="61"/>
        <v>34150</v>
      </c>
      <c r="F2112" s="5">
        <v>100225</v>
      </c>
      <c r="K2112" s="24">
        <v>1205</v>
      </c>
      <c r="L2112" s="6">
        <v>1237.5</v>
      </c>
      <c r="M2112" s="270">
        <f t="shared" si="65"/>
        <v>32.5</v>
      </c>
      <c r="N2112" s="19"/>
      <c r="O2112" s="280"/>
      <c r="P2112" s="345">
        <v>10900</v>
      </c>
      <c r="Q2112" s="28">
        <v>0.1249</v>
      </c>
      <c r="U2112" s="29">
        <v>0</v>
      </c>
      <c r="V2112" s="383"/>
      <c r="W2112" s="741">
        <f t="shared" si="64"/>
        <v>1361.41</v>
      </c>
    </row>
    <row r="2113" spans="1:24" ht="15" customHeight="1">
      <c r="A2113" s="3">
        <v>38847</v>
      </c>
      <c r="B2113" s="4">
        <v>60850</v>
      </c>
      <c r="D2113" s="5">
        <v>5450</v>
      </c>
      <c r="E2113" s="5">
        <f t="shared" si="61"/>
        <v>33825</v>
      </c>
      <c r="F2113" s="5">
        <v>100125</v>
      </c>
      <c r="K2113" s="24">
        <v>1282.5</v>
      </c>
      <c r="L2113" s="6">
        <v>1304</v>
      </c>
      <c r="M2113" s="270">
        <f t="shared" si="65"/>
        <v>21.5</v>
      </c>
      <c r="N2113" s="19"/>
      <c r="O2113" s="280"/>
      <c r="P2113" s="345">
        <v>11075</v>
      </c>
      <c r="Q2113" s="28">
        <v>0.1249</v>
      </c>
      <c r="U2113" s="29">
        <v>0</v>
      </c>
      <c r="V2113" s="383"/>
      <c r="W2113" s="741">
        <f t="shared" si="64"/>
        <v>1383.2674999999999</v>
      </c>
    </row>
    <row r="2114" spans="1:24" ht="15" customHeight="1">
      <c r="A2114" s="3">
        <v>38848</v>
      </c>
      <c r="B2114" s="4">
        <v>62275</v>
      </c>
      <c r="D2114" s="5">
        <v>5450</v>
      </c>
      <c r="E2114" s="5">
        <f t="shared" si="61"/>
        <v>33750</v>
      </c>
      <c r="F2114" s="5">
        <v>101475</v>
      </c>
      <c r="K2114" s="24">
        <v>1316</v>
      </c>
      <c r="L2114" s="6">
        <v>1332.5</v>
      </c>
      <c r="M2114" s="270">
        <f t="shared" si="65"/>
        <v>16.5</v>
      </c>
      <c r="N2114" s="19"/>
      <c r="O2114" s="280"/>
      <c r="P2114" s="345">
        <v>11325</v>
      </c>
      <c r="Q2114" s="28">
        <v>0.1249</v>
      </c>
      <c r="U2114" s="29">
        <v>0</v>
      </c>
      <c r="V2114" s="383"/>
      <c r="W2114" s="741">
        <f t="shared" si="64"/>
        <v>1414.4925000000001</v>
      </c>
    </row>
    <row r="2115" spans="1:24" ht="15" customHeight="1">
      <c r="A2115" s="3">
        <v>38849</v>
      </c>
      <c r="B2115" s="4">
        <v>62175</v>
      </c>
      <c r="D2115" s="5">
        <v>5450</v>
      </c>
      <c r="E2115" s="5">
        <f t="shared" si="61"/>
        <v>33750</v>
      </c>
      <c r="F2115" s="5">
        <v>101375</v>
      </c>
      <c r="K2115" s="24">
        <v>1270</v>
      </c>
      <c r="L2115" s="6">
        <v>1280</v>
      </c>
      <c r="M2115" s="270">
        <f t="shared" si="65"/>
        <v>10</v>
      </c>
      <c r="N2115" s="19"/>
      <c r="O2115" s="280"/>
      <c r="P2115" s="345">
        <v>11400</v>
      </c>
      <c r="Q2115" s="28">
        <v>0.1249</v>
      </c>
      <c r="U2115" s="29">
        <v>0</v>
      </c>
      <c r="V2115" s="383"/>
      <c r="W2115" s="741">
        <f t="shared" si="64"/>
        <v>1423.86</v>
      </c>
    </row>
    <row r="2116" spans="1:24" ht="15" customHeight="1">
      <c r="A2116" s="3">
        <v>38852</v>
      </c>
      <c r="B2116" s="4">
        <v>62175</v>
      </c>
      <c r="D2116" s="5">
        <v>5450</v>
      </c>
      <c r="E2116" s="5">
        <f t="shared" si="61"/>
        <v>33750</v>
      </c>
      <c r="F2116" s="5">
        <v>101375</v>
      </c>
      <c r="K2116" s="24">
        <v>1172</v>
      </c>
      <c r="L2116" s="6">
        <v>1196</v>
      </c>
      <c r="M2116" s="270">
        <f t="shared" si="65"/>
        <v>24</v>
      </c>
      <c r="N2116" s="19"/>
      <c r="O2116" s="280"/>
      <c r="P2116" s="345">
        <v>11450</v>
      </c>
      <c r="Q2116" s="28">
        <v>0.1249</v>
      </c>
      <c r="U2116" s="29">
        <v>0</v>
      </c>
      <c r="V2116" s="383"/>
      <c r="W2116" s="741">
        <f t="shared" si="64"/>
        <v>1430.105</v>
      </c>
    </row>
    <row r="2117" spans="1:24" ht="15" customHeight="1">
      <c r="A2117" s="3">
        <v>38853</v>
      </c>
      <c r="B2117" s="4">
        <v>63325</v>
      </c>
      <c r="D2117" s="5">
        <v>5450</v>
      </c>
      <c r="E2117" s="5">
        <f t="shared" si="61"/>
        <v>33725</v>
      </c>
      <c r="F2117" s="5">
        <v>102500</v>
      </c>
      <c r="K2117" s="24">
        <v>1172.5</v>
      </c>
      <c r="L2117" s="6">
        <v>1201</v>
      </c>
      <c r="M2117" s="270">
        <f t="shared" si="65"/>
        <v>28.5</v>
      </c>
      <c r="N2117" s="19"/>
      <c r="O2117" s="280"/>
      <c r="P2117" s="345">
        <v>11450</v>
      </c>
      <c r="Q2117" s="28">
        <v>0.125</v>
      </c>
      <c r="U2117" s="29">
        <v>0</v>
      </c>
      <c r="V2117" s="383"/>
      <c r="W2117" s="741">
        <f t="shared" si="64"/>
        <v>1431.25</v>
      </c>
    </row>
    <row r="2118" spans="1:24" ht="15" customHeight="1">
      <c r="A2118" s="3">
        <v>38854</v>
      </c>
      <c r="B2118" s="4">
        <v>63575</v>
      </c>
      <c r="D2118" s="5">
        <v>5450</v>
      </c>
      <c r="E2118" s="5">
        <f t="shared" si="61"/>
        <v>33725</v>
      </c>
      <c r="F2118" s="5">
        <v>102750</v>
      </c>
      <c r="K2118" s="24">
        <v>1202.5</v>
      </c>
      <c r="L2118" s="6">
        <v>1232</v>
      </c>
      <c r="M2118" s="270">
        <f t="shared" si="65"/>
        <v>29.5</v>
      </c>
      <c r="N2118" s="19"/>
      <c r="O2118" s="280"/>
      <c r="P2118" s="345">
        <v>11450</v>
      </c>
      <c r="Q2118" s="28">
        <v>0.12479999999999999</v>
      </c>
      <c r="U2118" s="29">
        <v>0</v>
      </c>
      <c r="V2118" s="383"/>
      <c r="W2118" s="741">
        <f t="shared" si="64"/>
        <v>1428.96</v>
      </c>
    </row>
    <row r="2119" spans="1:24" ht="15" customHeight="1">
      <c r="A2119" s="3">
        <v>38855</v>
      </c>
      <c r="B2119" s="4">
        <v>64525</v>
      </c>
      <c r="D2119" s="5">
        <v>5450</v>
      </c>
      <c r="E2119" s="5">
        <f t="shared" si="61"/>
        <v>33725</v>
      </c>
      <c r="F2119" s="5">
        <v>103700</v>
      </c>
      <c r="K2119" s="24">
        <v>1196</v>
      </c>
      <c r="L2119" s="6">
        <v>1230</v>
      </c>
      <c r="M2119" s="270">
        <f t="shared" si="65"/>
        <v>34</v>
      </c>
      <c r="N2119" s="19"/>
      <c r="O2119" s="280"/>
      <c r="P2119" s="345">
        <v>11450</v>
      </c>
      <c r="Q2119" s="28">
        <v>0.1249</v>
      </c>
      <c r="U2119" s="29">
        <v>0</v>
      </c>
      <c r="V2119" s="383"/>
      <c r="W2119" s="741">
        <f t="shared" si="64"/>
        <v>1430.105</v>
      </c>
    </row>
    <row r="2120" spans="1:24" ht="15" customHeight="1">
      <c r="A2120" s="3">
        <v>38856</v>
      </c>
      <c r="B2120" s="4">
        <v>65225</v>
      </c>
      <c r="D2120" s="5">
        <v>5450</v>
      </c>
      <c r="E2120" s="5">
        <f t="shared" si="61"/>
        <v>33700</v>
      </c>
      <c r="F2120" s="5">
        <v>104375</v>
      </c>
      <c r="K2120" s="24">
        <v>1162</v>
      </c>
      <c r="L2120" s="6">
        <v>1186</v>
      </c>
      <c r="M2120" s="270">
        <f t="shared" si="65"/>
        <v>24</v>
      </c>
      <c r="N2120" s="19"/>
      <c r="O2120" s="280"/>
      <c r="P2120" s="345">
        <v>11450</v>
      </c>
      <c r="Q2120" s="28">
        <v>0.12470000000000001</v>
      </c>
      <c r="U2120" s="29">
        <v>0</v>
      </c>
      <c r="V2120" s="383"/>
      <c r="W2120" s="741">
        <f t="shared" si="64"/>
        <v>1427.8150000000001</v>
      </c>
    </row>
    <row r="2121" spans="1:24" ht="15" customHeight="1">
      <c r="A2121" s="3">
        <v>38859</v>
      </c>
      <c r="B2121" s="4">
        <v>66625</v>
      </c>
      <c r="D2121" s="5">
        <v>5450</v>
      </c>
      <c r="E2121" s="5">
        <f t="shared" si="61"/>
        <v>33700</v>
      </c>
      <c r="F2121" s="5">
        <v>105775</v>
      </c>
      <c r="K2121" s="24">
        <v>1130</v>
      </c>
      <c r="L2121" s="6">
        <v>1150</v>
      </c>
      <c r="M2121" s="270">
        <f t="shared" si="65"/>
        <v>20</v>
      </c>
      <c r="N2121" s="19"/>
      <c r="O2121" s="280"/>
      <c r="P2121" s="345">
        <v>11150</v>
      </c>
      <c r="Q2121" s="28">
        <v>0.12479999999999999</v>
      </c>
      <c r="U2121" s="29">
        <v>0</v>
      </c>
      <c r="V2121" s="383"/>
      <c r="W2121" s="741">
        <f t="shared" si="64"/>
        <v>1391.52</v>
      </c>
    </row>
    <row r="2122" spans="1:24" ht="15" customHeight="1">
      <c r="A2122" s="3">
        <v>38860</v>
      </c>
      <c r="B2122" s="4">
        <v>67200</v>
      </c>
      <c r="D2122" s="5">
        <v>5450</v>
      </c>
      <c r="E2122" s="5">
        <f t="shared" si="61"/>
        <v>33700</v>
      </c>
      <c r="F2122" s="5">
        <v>106350</v>
      </c>
      <c r="K2122" s="24">
        <v>1125</v>
      </c>
      <c r="L2122" s="6">
        <v>1157</v>
      </c>
      <c r="M2122" s="270">
        <f t="shared" si="65"/>
        <v>32</v>
      </c>
      <c r="N2122" s="19"/>
      <c r="O2122" s="280"/>
      <c r="P2122" s="345">
        <v>11000</v>
      </c>
      <c r="Q2122" s="28">
        <v>0.12470000000000001</v>
      </c>
      <c r="U2122" s="29">
        <v>0</v>
      </c>
      <c r="V2122" s="383"/>
      <c r="W2122" s="741">
        <f t="shared" si="64"/>
        <v>1371.7</v>
      </c>
    </row>
    <row r="2123" spans="1:24" ht="15" customHeight="1">
      <c r="A2123" s="3">
        <v>38861</v>
      </c>
      <c r="B2123" s="4">
        <v>68825</v>
      </c>
      <c r="D2123" s="5">
        <v>5450</v>
      </c>
      <c r="E2123" s="5">
        <f t="shared" si="61"/>
        <v>33625</v>
      </c>
      <c r="F2123" s="5">
        <v>107900</v>
      </c>
      <c r="K2123" s="24">
        <v>1090</v>
      </c>
      <c r="L2123" s="6">
        <v>1111</v>
      </c>
      <c r="M2123" s="270">
        <f t="shared" si="65"/>
        <v>21</v>
      </c>
      <c r="N2123" s="19"/>
      <c r="O2123" s="280"/>
      <c r="P2123" s="345">
        <v>11250</v>
      </c>
      <c r="Q2123" s="28">
        <v>0.12470000000000001</v>
      </c>
      <c r="U2123" s="29">
        <v>0</v>
      </c>
      <c r="V2123" s="383"/>
      <c r="W2123" s="741">
        <f t="shared" si="64"/>
        <v>1402.875</v>
      </c>
    </row>
    <row r="2124" spans="1:24" ht="15" customHeight="1">
      <c r="A2124" s="3">
        <v>38862</v>
      </c>
      <c r="B2124" s="4">
        <v>70050</v>
      </c>
      <c r="D2124" s="5">
        <v>5450</v>
      </c>
      <c r="E2124" s="5">
        <f t="shared" si="61"/>
        <v>33475</v>
      </c>
      <c r="F2124" s="5">
        <v>108975</v>
      </c>
      <c r="K2124" s="24">
        <v>1076.5</v>
      </c>
      <c r="L2124" s="6">
        <v>1115</v>
      </c>
      <c r="M2124" s="270">
        <f t="shared" si="65"/>
        <v>38.5</v>
      </c>
      <c r="N2124" s="19"/>
      <c r="O2124" s="280"/>
      <c r="P2124" s="345">
        <v>11100</v>
      </c>
      <c r="Q2124" s="28">
        <v>0.1246</v>
      </c>
      <c r="U2124" s="29">
        <v>0</v>
      </c>
      <c r="V2124" s="383"/>
      <c r="W2124" s="741">
        <f t="shared" si="64"/>
        <v>1383.06</v>
      </c>
    </row>
    <row r="2125" spans="1:24" ht="15" customHeight="1">
      <c r="A2125" s="3">
        <v>38863</v>
      </c>
      <c r="B2125" s="4">
        <v>70175</v>
      </c>
      <c r="D2125" s="5">
        <v>5450</v>
      </c>
      <c r="E2125" s="5">
        <f t="shared" si="61"/>
        <v>33475</v>
      </c>
      <c r="F2125" s="5">
        <v>109100</v>
      </c>
      <c r="K2125" s="24">
        <v>1090</v>
      </c>
      <c r="L2125" s="6">
        <v>1117</v>
      </c>
      <c r="M2125" s="270">
        <f t="shared" si="65"/>
        <v>27</v>
      </c>
      <c r="N2125" s="19"/>
      <c r="O2125" s="280"/>
      <c r="P2125" s="345">
        <v>11050</v>
      </c>
      <c r="Q2125" s="28">
        <v>0.1246</v>
      </c>
      <c r="U2125" s="29">
        <v>0</v>
      </c>
      <c r="V2125" s="383"/>
      <c r="W2125" s="741">
        <f t="shared" si="64"/>
        <v>1376.83</v>
      </c>
    </row>
    <row r="2126" spans="1:24" ht="15" customHeight="1">
      <c r="A2126" s="3">
        <v>38867</v>
      </c>
      <c r="B2126" s="4">
        <v>70900</v>
      </c>
      <c r="D2126" s="5">
        <v>5450</v>
      </c>
      <c r="E2126" s="5">
        <f t="shared" si="61"/>
        <v>33450</v>
      </c>
      <c r="F2126" s="5">
        <v>109800</v>
      </c>
      <c r="K2126" s="24">
        <v>1070</v>
      </c>
      <c r="L2126" s="6">
        <v>1105</v>
      </c>
      <c r="M2126" s="270">
        <f t="shared" si="65"/>
        <v>35</v>
      </c>
      <c r="N2126" s="19"/>
      <c r="O2126" s="280"/>
      <c r="P2126" s="345">
        <v>11000</v>
      </c>
      <c r="Q2126" s="28">
        <v>0.1246</v>
      </c>
      <c r="U2126" s="29">
        <v>0</v>
      </c>
      <c r="V2126" s="383"/>
      <c r="W2126" s="741">
        <f t="shared" si="64"/>
        <v>1370.6000000000001</v>
      </c>
    </row>
    <row r="2127" spans="1:24" ht="15" customHeight="1" thickBot="1">
      <c r="A2127" s="12">
        <v>38868</v>
      </c>
      <c r="B2127" s="13">
        <v>72325</v>
      </c>
      <c r="C2127" s="13"/>
      <c r="D2127" s="14">
        <v>5450</v>
      </c>
      <c r="E2127" s="14">
        <f t="shared" si="61"/>
        <v>33300</v>
      </c>
      <c r="F2127" s="14">
        <v>111075</v>
      </c>
      <c r="G2127" s="14"/>
      <c r="H2127" s="14"/>
      <c r="I2127" s="14"/>
      <c r="J2127" s="264"/>
      <c r="K2127" s="25">
        <v>1051.5</v>
      </c>
      <c r="L2127" s="15">
        <v>1085.5</v>
      </c>
      <c r="M2127" s="271">
        <f t="shared" si="65"/>
        <v>34</v>
      </c>
      <c r="N2127" s="20">
        <f>AVERAGE(K2107:K2127)</f>
        <v>1166.8571428571429</v>
      </c>
      <c r="O2127" s="281"/>
      <c r="P2127" s="346">
        <v>11000</v>
      </c>
      <c r="Q2127" s="30">
        <v>0.12470000000000001</v>
      </c>
      <c r="R2127" s="30"/>
      <c r="S2127" s="30"/>
      <c r="T2127" s="30"/>
      <c r="U2127" s="31">
        <v>0</v>
      </c>
      <c r="V2127" s="740">
        <f>AVERAGE(P2107:P2127)</f>
        <v>11119.047619047618</v>
      </c>
      <c r="W2127" s="741">
        <f t="shared" si="64"/>
        <v>1371.7</v>
      </c>
      <c r="X2127" s="33"/>
    </row>
    <row r="2128" spans="1:24" ht="15" customHeight="1">
      <c r="A2128" s="3">
        <v>38869</v>
      </c>
      <c r="B2128" s="4">
        <v>73575</v>
      </c>
      <c r="D2128" s="5">
        <v>5450</v>
      </c>
      <c r="E2128" s="5">
        <f t="shared" si="61"/>
        <v>33150</v>
      </c>
      <c r="F2128" s="5">
        <v>112175</v>
      </c>
      <c r="K2128" s="24">
        <v>1020</v>
      </c>
      <c r="L2128" s="6">
        <v>1055</v>
      </c>
      <c r="M2128" s="270">
        <f t="shared" si="65"/>
        <v>35</v>
      </c>
      <c r="N2128" s="19"/>
      <c r="O2128" s="280"/>
      <c r="P2128" s="345">
        <v>10800</v>
      </c>
      <c r="Q2128" s="28">
        <v>0.12470000000000001</v>
      </c>
      <c r="U2128" s="29">
        <v>0</v>
      </c>
      <c r="V2128" s="383"/>
      <c r="W2128" s="741">
        <f t="shared" si="64"/>
        <v>1346.76</v>
      </c>
    </row>
    <row r="2129" spans="1:23" ht="15" customHeight="1">
      <c r="A2129" s="3">
        <v>38870</v>
      </c>
      <c r="B2129" s="4">
        <v>73875</v>
      </c>
      <c r="D2129" s="5">
        <v>5425</v>
      </c>
      <c r="E2129" s="5">
        <f t="shared" si="61"/>
        <v>33150</v>
      </c>
      <c r="F2129" s="5">
        <v>112450</v>
      </c>
      <c r="K2129" s="24">
        <v>1025.5</v>
      </c>
      <c r="L2129" s="6">
        <v>1060.5</v>
      </c>
      <c r="M2129" s="270">
        <f t="shared" si="65"/>
        <v>35</v>
      </c>
      <c r="N2129" s="19"/>
      <c r="O2129" s="280"/>
      <c r="P2129" s="345">
        <v>10750</v>
      </c>
      <c r="Q2129" s="28">
        <v>0.12470000000000001</v>
      </c>
      <c r="U2129" s="29">
        <v>0</v>
      </c>
      <c r="V2129" s="383"/>
      <c r="W2129" s="741">
        <f t="shared" si="64"/>
        <v>1340.5250000000001</v>
      </c>
    </row>
    <row r="2130" spans="1:23" ht="15" customHeight="1">
      <c r="A2130" s="3">
        <v>38873</v>
      </c>
      <c r="B2130" s="4">
        <v>74075</v>
      </c>
      <c r="D2130" s="5">
        <v>5425</v>
      </c>
      <c r="E2130" s="5">
        <f t="shared" si="61"/>
        <v>33150</v>
      </c>
      <c r="F2130" s="5">
        <v>112650</v>
      </c>
      <c r="K2130" s="24">
        <v>1020.5</v>
      </c>
      <c r="L2130" s="6">
        <v>1050</v>
      </c>
      <c r="M2130" s="270">
        <f t="shared" si="65"/>
        <v>29.5</v>
      </c>
      <c r="N2130" s="19"/>
      <c r="O2130" s="280"/>
      <c r="P2130" s="345">
        <v>10750</v>
      </c>
      <c r="Q2130" s="28">
        <v>0.12470000000000001</v>
      </c>
      <c r="U2130" s="29">
        <v>0</v>
      </c>
      <c r="V2130" s="383"/>
      <c r="W2130" s="741">
        <f t="shared" si="64"/>
        <v>1340.5250000000001</v>
      </c>
    </row>
    <row r="2131" spans="1:23" ht="15" customHeight="1">
      <c r="A2131" s="3">
        <v>38874</v>
      </c>
      <c r="B2131" s="4">
        <v>73225</v>
      </c>
      <c r="D2131" s="5">
        <v>5400</v>
      </c>
      <c r="E2131" s="5">
        <f t="shared" si="61"/>
        <v>33125</v>
      </c>
      <c r="F2131" s="5">
        <v>111750</v>
      </c>
      <c r="K2131" s="24">
        <v>1017</v>
      </c>
      <c r="L2131" s="6">
        <v>1050</v>
      </c>
      <c r="M2131" s="270">
        <f t="shared" si="65"/>
        <v>33</v>
      </c>
      <c r="N2131" s="19"/>
      <c r="O2131" s="280"/>
      <c r="P2131" s="345">
        <v>10600</v>
      </c>
      <c r="Q2131" s="28">
        <v>0.12479999999999999</v>
      </c>
      <c r="U2131" s="29">
        <v>0</v>
      </c>
      <c r="V2131" s="383"/>
      <c r="W2131" s="741">
        <f t="shared" si="64"/>
        <v>1322.8799999999999</v>
      </c>
    </row>
    <row r="2132" spans="1:23" ht="15" customHeight="1">
      <c r="A2132" s="3">
        <v>38875</v>
      </c>
      <c r="B2132" s="4">
        <v>73550</v>
      </c>
      <c r="D2132" s="5">
        <v>5325</v>
      </c>
      <c r="E2132" s="5">
        <f t="shared" si="61"/>
        <v>33125</v>
      </c>
      <c r="F2132" s="5">
        <v>112000</v>
      </c>
      <c r="K2132" s="24">
        <v>1016</v>
      </c>
      <c r="L2132" s="6">
        <v>1038</v>
      </c>
      <c r="M2132" s="270">
        <f t="shared" si="65"/>
        <v>22</v>
      </c>
      <c r="N2132" s="19"/>
      <c r="O2132" s="280"/>
      <c r="P2132" s="345">
        <v>10600</v>
      </c>
      <c r="Q2132" s="28">
        <v>0.12470000000000001</v>
      </c>
      <c r="U2132" s="29">
        <v>0</v>
      </c>
      <c r="V2132" s="383"/>
      <c r="W2132" s="741">
        <f t="shared" si="64"/>
        <v>1321.8200000000002</v>
      </c>
    </row>
    <row r="2133" spans="1:23" ht="15" customHeight="1">
      <c r="A2133" s="3">
        <v>38876</v>
      </c>
      <c r="B2133" s="4">
        <v>74350</v>
      </c>
      <c r="D2133" s="5">
        <v>5250</v>
      </c>
      <c r="E2133" s="5">
        <f t="shared" si="61"/>
        <v>33125</v>
      </c>
      <c r="F2133" s="5">
        <v>112725</v>
      </c>
      <c r="K2133" s="24">
        <v>996</v>
      </c>
      <c r="L2133" s="6">
        <v>1028</v>
      </c>
      <c r="M2133" s="270">
        <f t="shared" si="65"/>
        <v>32</v>
      </c>
      <c r="N2133" s="19"/>
      <c r="O2133" s="280"/>
      <c r="P2133" s="345">
        <v>10600</v>
      </c>
      <c r="Q2133" s="28">
        <v>0.12470000000000001</v>
      </c>
      <c r="U2133" s="29">
        <v>0</v>
      </c>
      <c r="V2133" s="383"/>
      <c r="W2133" s="741">
        <f t="shared" si="64"/>
        <v>1321.8200000000002</v>
      </c>
    </row>
    <row r="2134" spans="1:23" ht="15" customHeight="1">
      <c r="A2134" s="3">
        <v>38877</v>
      </c>
      <c r="B2134" s="4">
        <v>73175</v>
      </c>
      <c r="D2134" s="5">
        <v>5225</v>
      </c>
      <c r="E2134" s="5">
        <f t="shared" si="61"/>
        <v>33125</v>
      </c>
      <c r="F2134" s="5">
        <v>111525</v>
      </c>
      <c r="K2134" s="24">
        <v>980</v>
      </c>
      <c r="L2134" s="6">
        <v>1011</v>
      </c>
      <c r="M2134" s="270">
        <f t="shared" si="65"/>
        <v>31</v>
      </c>
      <c r="N2134" s="19"/>
      <c r="O2134" s="280"/>
      <c r="P2134" s="345">
        <v>10600</v>
      </c>
      <c r="Q2134" s="28">
        <v>0.12470000000000001</v>
      </c>
      <c r="U2134" s="29">
        <v>0</v>
      </c>
      <c r="V2134" s="383"/>
      <c r="W2134" s="741">
        <f t="shared" si="64"/>
        <v>1321.8200000000002</v>
      </c>
    </row>
    <row r="2135" spans="1:23" ht="15" customHeight="1">
      <c r="A2135" s="3">
        <v>38880</v>
      </c>
      <c r="B2135" s="4">
        <v>73650</v>
      </c>
      <c r="D2135" s="5">
        <v>5225</v>
      </c>
      <c r="E2135" s="5">
        <f t="shared" si="61"/>
        <v>33125</v>
      </c>
      <c r="F2135" s="5">
        <v>112000</v>
      </c>
      <c r="K2135" s="24">
        <v>1015</v>
      </c>
      <c r="L2135" s="6">
        <v>1045</v>
      </c>
      <c r="M2135" s="270">
        <f t="shared" si="65"/>
        <v>30</v>
      </c>
      <c r="N2135" s="19"/>
      <c r="O2135" s="280"/>
      <c r="P2135" s="345">
        <v>10600</v>
      </c>
      <c r="Q2135" s="28">
        <v>0.12470000000000001</v>
      </c>
      <c r="U2135" s="29">
        <v>0</v>
      </c>
      <c r="V2135" s="383"/>
      <c r="W2135" s="741">
        <f t="shared" si="64"/>
        <v>1321.8200000000002</v>
      </c>
    </row>
    <row r="2136" spans="1:23" ht="15" customHeight="1">
      <c r="A2136" s="3">
        <v>38881</v>
      </c>
      <c r="B2136" s="4">
        <v>75100</v>
      </c>
      <c r="D2136" s="5">
        <v>5175</v>
      </c>
      <c r="E2136" s="5">
        <f t="shared" si="61"/>
        <v>33125</v>
      </c>
      <c r="F2136" s="5">
        <v>113400</v>
      </c>
      <c r="K2136" s="24">
        <v>969</v>
      </c>
      <c r="L2136" s="6">
        <v>968</v>
      </c>
      <c r="M2136" s="270">
        <f t="shared" si="65"/>
        <v>-1</v>
      </c>
      <c r="N2136" s="19"/>
      <c r="O2136" s="280"/>
      <c r="P2136" s="345">
        <v>10525</v>
      </c>
      <c r="Q2136" s="28">
        <v>0.12470000000000001</v>
      </c>
      <c r="U2136" s="29">
        <v>0</v>
      </c>
      <c r="V2136" s="383"/>
      <c r="W2136" s="741">
        <f t="shared" si="64"/>
        <v>1312.4675</v>
      </c>
    </row>
    <row r="2137" spans="1:23" ht="15" customHeight="1">
      <c r="A2137" s="3">
        <v>38882</v>
      </c>
      <c r="B2137" s="4">
        <v>75650</v>
      </c>
      <c r="D2137" s="5">
        <v>5150</v>
      </c>
      <c r="E2137" s="5">
        <f t="shared" si="61"/>
        <v>32525</v>
      </c>
      <c r="F2137" s="5">
        <v>113325</v>
      </c>
      <c r="K2137" s="24">
        <v>943</v>
      </c>
      <c r="L2137" s="6">
        <v>968</v>
      </c>
      <c r="M2137" s="270">
        <f t="shared" si="65"/>
        <v>25</v>
      </c>
      <c r="N2137" s="19"/>
      <c r="O2137" s="280"/>
      <c r="P2137" s="345">
        <v>10475</v>
      </c>
      <c r="Q2137" s="28">
        <v>0.1249</v>
      </c>
      <c r="U2137" s="29">
        <v>0</v>
      </c>
      <c r="V2137" s="383"/>
      <c r="W2137" s="741">
        <f t="shared" si="64"/>
        <v>1308.3274999999999</v>
      </c>
    </row>
    <row r="2138" spans="1:23" ht="15" customHeight="1">
      <c r="A2138" s="3">
        <v>38883</v>
      </c>
      <c r="B2138" s="4">
        <v>76275</v>
      </c>
      <c r="D2138" s="5">
        <v>5150</v>
      </c>
      <c r="E2138" s="5">
        <f t="shared" si="61"/>
        <v>31875</v>
      </c>
      <c r="F2138" s="5">
        <v>113300</v>
      </c>
      <c r="K2138" s="24">
        <v>917</v>
      </c>
      <c r="L2138" s="6">
        <v>952</v>
      </c>
      <c r="M2138" s="270">
        <f t="shared" si="65"/>
        <v>35</v>
      </c>
      <c r="N2138" s="19"/>
      <c r="O2138" s="280"/>
      <c r="P2138" s="345">
        <v>10475</v>
      </c>
      <c r="Q2138" s="28">
        <v>0.1249</v>
      </c>
      <c r="U2138" s="29">
        <v>0</v>
      </c>
      <c r="V2138" s="383"/>
      <c r="W2138" s="741">
        <f t="shared" si="64"/>
        <v>1308.3274999999999</v>
      </c>
    </row>
    <row r="2139" spans="1:23" ht="15" customHeight="1">
      <c r="A2139" s="3">
        <v>38884</v>
      </c>
      <c r="B2139" s="4">
        <v>79375</v>
      </c>
      <c r="D2139" s="5">
        <v>5125</v>
      </c>
      <c r="E2139" s="5">
        <f t="shared" si="61"/>
        <v>31050</v>
      </c>
      <c r="F2139" s="5">
        <v>115550</v>
      </c>
      <c r="K2139" s="24">
        <v>934.5</v>
      </c>
      <c r="L2139" s="6">
        <v>965</v>
      </c>
      <c r="M2139" s="270">
        <f t="shared" si="65"/>
        <v>30.5</v>
      </c>
      <c r="N2139" s="19"/>
      <c r="O2139" s="280"/>
      <c r="P2139" s="345">
        <v>10600</v>
      </c>
      <c r="Q2139" s="28">
        <v>0.125</v>
      </c>
      <c r="U2139" s="29">
        <v>0</v>
      </c>
      <c r="V2139" s="383"/>
      <c r="W2139" s="741">
        <f t="shared" si="64"/>
        <v>1325</v>
      </c>
    </row>
    <row r="2140" spans="1:23" ht="15" customHeight="1">
      <c r="A2140" s="3">
        <v>38887</v>
      </c>
      <c r="B2140" s="4">
        <v>82000</v>
      </c>
      <c r="D2140" s="5">
        <v>5050</v>
      </c>
      <c r="E2140" s="5">
        <f t="shared" si="61"/>
        <v>30225</v>
      </c>
      <c r="F2140" s="5">
        <v>117275</v>
      </c>
      <c r="K2140" s="24">
        <v>932.5</v>
      </c>
      <c r="L2140" s="6">
        <v>961</v>
      </c>
      <c r="M2140" s="270">
        <f t="shared" si="65"/>
        <v>28.5</v>
      </c>
      <c r="N2140" s="19"/>
      <c r="O2140" s="280"/>
      <c r="P2140" s="345">
        <v>10600</v>
      </c>
      <c r="Q2140" s="28">
        <v>0.125</v>
      </c>
      <c r="U2140" s="29">
        <v>0</v>
      </c>
      <c r="V2140" s="383"/>
      <c r="W2140" s="741">
        <f t="shared" si="64"/>
        <v>1325</v>
      </c>
    </row>
    <row r="2141" spans="1:23" ht="15" customHeight="1">
      <c r="A2141" s="3">
        <v>38888</v>
      </c>
      <c r="B2141" s="4">
        <v>82575</v>
      </c>
      <c r="D2141" s="5">
        <v>5025</v>
      </c>
      <c r="E2141" s="5">
        <f t="shared" si="61"/>
        <v>30050</v>
      </c>
      <c r="F2141" s="5">
        <v>117650</v>
      </c>
      <c r="K2141" s="24">
        <v>914.5</v>
      </c>
      <c r="L2141" s="6">
        <v>940</v>
      </c>
      <c r="M2141" s="270">
        <f t="shared" si="65"/>
        <v>25.5</v>
      </c>
      <c r="N2141" s="19"/>
      <c r="O2141" s="280"/>
      <c r="P2141" s="345">
        <v>10600</v>
      </c>
      <c r="Q2141" s="28">
        <v>0.125</v>
      </c>
      <c r="U2141" s="29">
        <v>0</v>
      </c>
      <c r="V2141" s="383"/>
      <c r="W2141" s="741">
        <f t="shared" si="64"/>
        <v>1325</v>
      </c>
    </row>
    <row r="2142" spans="1:23" ht="15" customHeight="1">
      <c r="A2142" s="3">
        <v>38889</v>
      </c>
      <c r="B2142" s="4">
        <v>82900</v>
      </c>
      <c r="D2142" s="5">
        <v>5025</v>
      </c>
      <c r="E2142" s="5">
        <f t="shared" si="61"/>
        <v>29975</v>
      </c>
      <c r="F2142" s="5">
        <v>117900</v>
      </c>
      <c r="K2142" s="24">
        <v>920.5</v>
      </c>
      <c r="L2142" s="6">
        <v>946</v>
      </c>
      <c r="M2142" s="270">
        <f t="shared" si="65"/>
        <v>25.5</v>
      </c>
      <c r="N2142" s="19"/>
      <c r="O2142" s="280"/>
      <c r="P2142" s="345">
        <v>10600</v>
      </c>
      <c r="Q2142" s="28">
        <v>0.125</v>
      </c>
      <c r="U2142" s="29">
        <v>0</v>
      </c>
      <c r="V2142" s="383"/>
      <c r="W2142" s="741">
        <f t="shared" si="64"/>
        <v>1325</v>
      </c>
    </row>
    <row r="2143" spans="1:23" ht="15" customHeight="1">
      <c r="A2143" s="3">
        <v>38890</v>
      </c>
      <c r="B2143" s="4">
        <v>81925</v>
      </c>
      <c r="D2143" s="5">
        <v>5025</v>
      </c>
      <c r="E2143" s="5">
        <f t="shared" si="61"/>
        <v>29950</v>
      </c>
      <c r="F2143" s="5">
        <v>116900</v>
      </c>
      <c r="K2143" s="24">
        <v>920.5</v>
      </c>
      <c r="L2143" s="6">
        <v>955</v>
      </c>
      <c r="M2143" s="270">
        <f t="shared" si="65"/>
        <v>34.5</v>
      </c>
      <c r="N2143" s="19"/>
      <c r="O2143" s="280"/>
      <c r="P2143" s="345">
        <v>10600</v>
      </c>
      <c r="Q2143" s="28">
        <v>0.125</v>
      </c>
      <c r="U2143" s="29">
        <v>0</v>
      </c>
      <c r="V2143" s="383"/>
      <c r="W2143" s="741">
        <f t="shared" si="64"/>
        <v>1325</v>
      </c>
    </row>
    <row r="2144" spans="1:23" ht="15" customHeight="1">
      <c r="A2144" s="3">
        <v>38891</v>
      </c>
      <c r="B2144" s="4">
        <v>81675</v>
      </c>
      <c r="D2144" s="5">
        <v>5000</v>
      </c>
      <c r="E2144" s="5">
        <f t="shared" si="61"/>
        <v>29800</v>
      </c>
      <c r="F2144" s="5">
        <v>116475</v>
      </c>
      <c r="K2144" s="24">
        <v>927</v>
      </c>
      <c r="L2144" s="6">
        <v>955</v>
      </c>
      <c r="M2144" s="270">
        <f t="shared" si="65"/>
        <v>28</v>
      </c>
      <c r="N2144" s="19"/>
      <c r="O2144" s="280"/>
      <c r="P2144" s="345">
        <v>10600</v>
      </c>
      <c r="Q2144" s="28">
        <v>0.125</v>
      </c>
      <c r="U2144" s="29">
        <v>0</v>
      </c>
      <c r="V2144" s="383"/>
      <c r="W2144" s="741">
        <f t="shared" si="64"/>
        <v>1325</v>
      </c>
    </row>
    <row r="2145" spans="1:24" ht="15" customHeight="1">
      <c r="A2145" s="3">
        <v>38894</v>
      </c>
      <c r="B2145" s="4">
        <v>80625</v>
      </c>
      <c r="D2145" s="5">
        <v>5000</v>
      </c>
      <c r="E2145" s="5">
        <f t="shared" si="61"/>
        <v>29675</v>
      </c>
      <c r="F2145" s="5">
        <v>115300</v>
      </c>
      <c r="K2145" s="24">
        <v>946</v>
      </c>
      <c r="L2145" s="6">
        <v>980</v>
      </c>
      <c r="M2145" s="270">
        <f t="shared" si="65"/>
        <v>34</v>
      </c>
      <c r="N2145" s="19"/>
      <c r="O2145" s="280"/>
      <c r="P2145" s="345">
        <v>10600</v>
      </c>
      <c r="Q2145" s="28">
        <v>0.125</v>
      </c>
      <c r="U2145" s="29">
        <v>0</v>
      </c>
      <c r="V2145" s="383"/>
      <c r="W2145" s="741">
        <f t="shared" si="64"/>
        <v>1325</v>
      </c>
    </row>
    <row r="2146" spans="1:24" ht="15" customHeight="1">
      <c r="A2146" s="3">
        <v>38895</v>
      </c>
      <c r="B2146" s="4">
        <v>78875</v>
      </c>
      <c r="D2146" s="5">
        <v>5000</v>
      </c>
      <c r="E2146" s="5">
        <f t="shared" si="61"/>
        <v>29600</v>
      </c>
      <c r="F2146" s="5">
        <v>113475</v>
      </c>
      <c r="K2146" s="24">
        <v>922.5</v>
      </c>
      <c r="L2146" s="6">
        <v>952.5</v>
      </c>
      <c r="M2146" s="270">
        <f t="shared" si="65"/>
        <v>30</v>
      </c>
      <c r="N2146" s="19"/>
      <c r="O2146" s="280"/>
      <c r="P2146" s="345">
        <v>10500</v>
      </c>
      <c r="Q2146" s="28">
        <v>0.1249</v>
      </c>
      <c r="U2146" s="29">
        <v>0</v>
      </c>
      <c r="V2146" s="383"/>
      <c r="W2146" s="741">
        <f t="shared" si="64"/>
        <v>1311.45</v>
      </c>
    </row>
    <row r="2147" spans="1:24" ht="15" customHeight="1">
      <c r="A2147" s="3">
        <v>38896</v>
      </c>
      <c r="B2147" s="4">
        <v>78775</v>
      </c>
      <c r="D2147" s="5">
        <v>5000</v>
      </c>
      <c r="E2147" s="5">
        <f t="shared" si="61"/>
        <v>29525</v>
      </c>
      <c r="F2147" s="5">
        <v>113300</v>
      </c>
      <c r="K2147" s="24">
        <v>960</v>
      </c>
      <c r="L2147" s="6">
        <v>978</v>
      </c>
      <c r="M2147" s="270">
        <f t="shared" si="65"/>
        <v>18</v>
      </c>
      <c r="N2147" s="19"/>
      <c r="O2147" s="280"/>
      <c r="P2147" s="345">
        <v>10550</v>
      </c>
      <c r="Q2147" s="28">
        <v>0.125</v>
      </c>
      <c r="U2147" s="29">
        <v>0</v>
      </c>
      <c r="V2147" s="383"/>
      <c r="W2147" s="741">
        <f t="shared" si="64"/>
        <v>1318.75</v>
      </c>
    </row>
    <row r="2148" spans="1:24" ht="15" customHeight="1">
      <c r="A2148" s="3">
        <v>38897</v>
      </c>
      <c r="B2148" s="4">
        <v>78300</v>
      </c>
      <c r="D2148" s="5">
        <v>5000</v>
      </c>
      <c r="E2148" s="5">
        <f t="shared" si="61"/>
        <v>29275</v>
      </c>
      <c r="F2148" s="5">
        <v>112575</v>
      </c>
      <c r="K2148" s="24">
        <v>953</v>
      </c>
      <c r="L2148" s="6">
        <v>977</v>
      </c>
      <c r="M2148" s="270">
        <f t="shared" si="65"/>
        <v>24</v>
      </c>
      <c r="N2148" s="19"/>
      <c r="O2148" s="280"/>
      <c r="P2148" s="345">
        <v>10575</v>
      </c>
      <c r="Q2148" s="28">
        <v>0.125</v>
      </c>
      <c r="U2148" s="29">
        <v>0</v>
      </c>
      <c r="V2148" s="383"/>
      <c r="W2148" s="741">
        <f t="shared" si="64"/>
        <v>1321.875</v>
      </c>
    </row>
    <row r="2149" spans="1:24" ht="15" customHeight="1" thickBot="1">
      <c r="A2149" s="12">
        <v>38898</v>
      </c>
      <c r="B2149" s="13">
        <v>77375</v>
      </c>
      <c r="C2149" s="13"/>
      <c r="D2149" s="14">
        <v>4925</v>
      </c>
      <c r="E2149" s="14">
        <f t="shared" si="61"/>
        <v>29075</v>
      </c>
      <c r="F2149" s="14">
        <v>111375</v>
      </c>
      <c r="G2149" s="14"/>
      <c r="H2149" s="14"/>
      <c r="I2149" s="14"/>
      <c r="J2149" s="264"/>
      <c r="K2149" s="25">
        <v>955</v>
      </c>
      <c r="L2149" s="15">
        <v>992</v>
      </c>
      <c r="M2149" s="271">
        <f t="shared" si="65"/>
        <v>37</v>
      </c>
      <c r="N2149" s="20">
        <f>AVERAGE(K2128:K2149)</f>
        <v>963.86363636363637</v>
      </c>
      <c r="O2149" s="282">
        <f>AVERAGE(K2025:K2149)</f>
        <v>1168.9480000000001</v>
      </c>
      <c r="P2149" s="346">
        <v>10575</v>
      </c>
      <c r="Q2149" s="30">
        <v>0.125</v>
      </c>
      <c r="R2149" s="30"/>
      <c r="S2149" s="30"/>
      <c r="T2149" s="30"/>
      <c r="U2149" s="31">
        <v>0</v>
      </c>
      <c r="V2149" s="740">
        <f>AVERAGE(P2128:P2149)</f>
        <v>10598.863636363636</v>
      </c>
      <c r="W2149" s="741">
        <f t="shared" si="64"/>
        <v>1321.875</v>
      </c>
      <c r="X2149" s="33"/>
    </row>
    <row r="2150" spans="1:24" ht="13.5" customHeight="1">
      <c r="A2150" s="3">
        <v>38901</v>
      </c>
      <c r="B2150" s="4">
        <v>78025</v>
      </c>
      <c r="D2150" s="5">
        <v>4700</v>
      </c>
      <c r="E2150" s="5">
        <f t="shared" si="61"/>
        <v>28950</v>
      </c>
      <c r="F2150" s="5">
        <v>111675</v>
      </c>
      <c r="K2150" s="24">
        <v>975.5</v>
      </c>
      <c r="L2150" s="6">
        <v>1003.5</v>
      </c>
      <c r="M2150" s="270">
        <f t="shared" si="65"/>
        <v>28</v>
      </c>
      <c r="N2150" s="19"/>
      <c r="O2150" s="280"/>
      <c r="P2150" s="345">
        <v>10575</v>
      </c>
      <c r="Q2150" s="28">
        <v>0.12509999999999999</v>
      </c>
      <c r="U2150" s="29">
        <v>0</v>
      </c>
      <c r="V2150" s="383"/>
      <c r="W2150" s="741">
        <f t="shared" si="64"/>
        <v>1322.9324999999999</v>
      </c>
    </row>
    <row r="2151" spans="1:24" ht="15" customHeight="1">
      <c r="A2151" s="3">
        <v>38902</v>
      </c>
      <c r="B2151" s="4">
        <v>77350</v>
      </c>
      <c r="D2151" s="5">
        <v>4500</v>
      </c>
      <c r="E2151" s="5">
        <f t="shared" si="61"/>
        <v>28875</v>
      </c>
      <c r="F2151" s="5">
        <v>110725</v>
      </c>
      <c r="K2151" s="24">
        <v>986</v>
      </c>
      <c r="L2151" s="6">
        <v>1016</v>
      </c>
      <c r="M2151" s="270">
        <f t="shared" si="65"/>
        <v>30</v>
      </c>
      <c r="N2151" s="19"/>
      <c r="O2151" s="280"/>
      <c r="P2151" s="345">
        <v>10575</v>
      </c>
      <c r="Q2151" s="28">
        <v>0.12509999999999999</v>
      </c>
      <c r="U2151" s="29">
        <v>0</v>
      </c>
      <c r="V2151" s="383"/>
      <c r="W2151" s="741">
        <f t="shared" si="64"/>
        <v>1322.9324999999999</v>
      </c>
    </row>
    <row r="2152" spans="1:24" ht="15" customHeight="1">
      <c r="A2152" s="3">
        <v>38903</v>
      </c>
      <c r="B2152" s="4">
        <v>78300</v>
      </c>
      <c r="D2152" s="5">
        <v>4500</v>
      </c>
      <c r="E2152" s="5">
        <f t="shared" si="61"/>
        <v>28825</v>
      </c>
      <c r="F2152" s="5">
        <v>111625</v>
      </c>
      <c r="K2152" s="24">
        <v>998.5</v>
      </c>
      <c r="L2152" s="6">
        <v>1017</v>
      </c>
      <c r="M2152" s="270">
        <f t="shared" si="65"/>
        <v>18.5</v>
      </c>
      <c r="N2152" s="19"/>
      <c r="O2152" s="280"/>
      <c r="P2152" s="345">
        <v>10600</v>
      </c>
      <c r="Q2152" s="28">
        <v>0.12509999999999999</v>
      </c>
      <c r="U2152" s="29">
        <v>0</v>
      </c>
      <c r="V2152" s="383"/>
      <c r="W2152" s="741">
        <f t="shared" si="64"/>
        <v>1326.06</v>
      </c>
    </row>
    <row r="2153" spans="1:24" ht="15" customHeight="1">
      <c r="A2153" s="3">
        <v>38904</v>
      </c>
      <c r="B2153" s="4">
        <v>78300</v>
      </c>
      <c r="D2153" s="5">
        <v>4500</v>
      </c>
      <c r="E2153" s="5">
        <f t="shared" si="61"/>
        <v>28700</v>
      </c>
      <c r="F2153" s="5">
        <v>111500</v>
      </c>
      <c r="K2153" s="24">
        <v>981</v>
      </c>
      <c r="L2153" s="6">
        <v>1007</v>
      </c>
      <c r="M2153" s="270">
        <f t="shared" si="65"/>
        <v>26</v>
      </c>
      <c r="N2153" s="7"/>
      <c r="O2153" s="277"/>
      <c r="P2153" s="345">
        <v>10575</v>
      </c>
      <c r="Q2153" s="28">
        <v>0.12509999999999999</v>
      </c>
      <c r="U2153" s="29">
        <v>0</v>
      </c>
      <c r="V2153" s="383"/>
      <c r="W2153" s="741">
        <f t="shared" si="64"/>
        <v>1322.9324999999999</v>
      </c>
    </row>
    <row r="2154" spans="1:24" ht="15" customHeight="1">
      <c r="A2154" s="3">
        <v>38905</v>
      </c>
      <c r="B2154" s="4">
        <v>78025</v>
      </c>
      <c r="D2154" s="5">
        <v>4375</v>
      </c>
      <c r="E2154" s="5">
        <f t="shared" si="61"/>
        <v>28550</v>
      </c>
      <c r="F2154" s="5">
        <v>110950</v>
      </c>
      <c r="K2154" s="24">
        <v>1010.5</v>
      </c>
      <c r="L2154" s="6">
        <v>1030</v>
      </c>
      <c r="M2154" s="270">
        <f t="shared" si="65"/>
        <v>19.5</v>
      </c>
      <c r="N2154" s="19"/>
      <c r="O2154" s="280"/>
      <c r="P2154" s="345">
        <v>10575</v>
      </c>
      <c r="Q2154" s="28">
        <v>0.12509999999999999</v>
      </c>
      <c r="U2154" s="29">
        <v>0</v>
      </c>
      <c r="V2154" s="383"/>
      <c r="W2154" s="741">
        <f t="shared" si="64"/>
        <v>1322.9324999999999</v>
      </c>
    </row>
    <row r="2155" spans="1:24" ht="15" customHeight="1">
      <c r="A2155" s="3">
        <v>38908</v>
      </c>
      <c r="B2155" s="4">
        <v>77325</v>
      </c>
      <c r="D2155" s="5">
        <v>4175</v>
      </c>
      <c r="E2155" s="5">
        <f t="shared" si="61"/>
        <v>28475</v>
      </c>
      <c r="F2155" s="5">
        <v>109975</v>
      </c>
      <c r="K2155" s="24">
        <v>1020.5</v>
      </c>
      <c r="L2155" s="6">
        <v>1045.5</v>
      </c>
      <c r="M2155" s="270">
        <f t="shared" si="65"/>
        <v>25</v>
      </c>
      <c r="N2155" s="19"/>
      <c r="O2155" s="280"/>
      <c r="P2155" s="345">
        <v>10575</v>
      </c>
      <c r="Q2155" s="28">
        <v>0.12509999999999999</v>
      </c>
      <c r="U2155" s="29">
        <v>0</v>
      </c>
      <c r="V2155" s="383"/>
      <c r="W2155" s="741">
        <f t="shared" si="64"/>
        <v>1322.9324999999999</v>
      </c>
    </row>
    <row r="2156" spans="1:24" ht="15" customHeight="1">
      <c r="A2156" s="3">
        <v>38909</v>
      </c>
      <c r="B2156" s="4">
        <v>76775</v>
      </c>
      <c r="D2156" s="5">
        <v>4025</v>
      </c>
      <c r="E2156" s="5">
        <f t="shared" si="61"/>
        <v>28475</v>
      </c>
      <c r="F2156" s="5">
        <v>109275</v>
      </c>
      <c r="K2156" s="24">
        <v>1083</v>
      </c>
      <c r="L2156" s="6">
        <v>1104</v>
      </c>
      <c r="M2156" s="270">
        <f t="shared" si="65"/>
        <v>21</v>
      </c>
      <c r="N2156" s="19"/>
      <c r="O2156" s="280"/>
      <c r="P2156" s="345">
        <v>10575</v>
      </c>
      <c r="Q2156" s="28">
        <v>0.12509999999999999</v>
      </c>
      <c r="U2156" s="29">
        <v>0</v>
      </c>
      <c r="V2156" s="383"/>
      <c r="W2156" s="741">
        <f t="shared" si="64"/>
        <v>1322.9324999999999</v>
      </c>
    </row>
    <row r="2157" spans="1:24" ht="15" customHeight="1">
      <c r="A2157" s="3">
        <v>38910</v>
      </c>
      <c r="B2157" s="4">
        <v>76625</v>
      </c>
      <c r="D2157" s="5">
        <v>3900</v>
      </c>
      <c r="E2157" s="5">
        <f t="shared" si="61"/>
        <v>28350</v>
      </c>
      <c r="F2157" s="5">
        <v>108875</v>
      </c>
      <c r="K2157" s="24">
        <v>1156</v>
      </c>
      <c r="L2157" s="6">
        <v>1151</v>
      </c>
      <c r="M2157" s="270">
        <f t="shared" si="65"/>
        <v>-5</v>
      </c>
      <c r="N2157" s="19"/>
      <c r="O2157" s="280"/>
      <c r="P2157" s="345">
        <v>10600</v>
      </c>
      <c r="Q2157" s="28">
        <v>0.12509999999999999</v>
      </c>
      <c r="U2157" s="29">
        <v>0</v>
      </c>
      <c r="V2157" s="383"/>
      <c r="W2157" s="741">
        <f t="shared" ref="W2157:W2220" si="66">(P2157*Q2157)*(1+U2157)</f>
        <v>1326.06</v>
      </c>
    </row>
    <row r="2158" spans="1:24" ht="15" customHeight="1">
      <c r="A2158" s="3">
        <v>38911</v>
      </c>
      <c r="B2158" s="4">
        <v>76700</v>
      </c>
      <c r="D2158" s="5">
        <v>3800</v>
      </c>
      <c r="E2158" s="5">
        <f t="shared" si="61"/>
        <v>28200</v>
      </c>
      <c r="F2158" s="5">
        <v>108700</v>
      </c>
      <c r="K2158" s="24">
        <v>1120.5</v>
      </c>
      <c r="L2158" s="6">
        <v>1135</v>
      </c>
      <c r="M2158" s="270">
        <f t="shared" si="65"/>
        <v>14.5</v>
      </c>
      <c r="N2158" s="19"/>
      <c r="O2158" s="280"/>
      <c r="P2158" s="345">
        <v>10750</v>
      </c>
      <c r="Q2158" s="28">
        <v>0.12509999999999999</v>
      </c>
      <c r="U2158" s="29">
        <v>0</v>
      </c>
      <c r="V2158" s="383"/>
      <c r="W2158" s="741">
        <f t="shared" si="66"/>
        <v>1344.8249999999998</v>
      </c>
    </row>
    <row r="2159" spans="1:24" ht="15" customHeight="1">
      <c r="A2159" s="3">
        <v>38912</v>
      </c>
      <c r="B2159" s="4">
        <v>77075</v>
      </c>
      <c r="D2159" s="5">
        <v>3650</v>
      </c>
      <c r="E2159" s="5">
        <f t="shared" si="61"/>
        <v>28075</v>
      </c>
      <c r="F2159" s="5">
        <v>108800</v>
      </c>
      <c r="K2159" s="24">
        <v>1145.5</v>
      </c>
      <c r="L2159" s="6">
        <v>1155.5</v>
      </c>
      <c r="M2159" s="270">
        <f t="shared" si="65"/>
        <v>10</v>
      </c>
      <c r="N2159" s="19"/>
      <c r="O2159" s="280"/>
      <c r="P2159" s="345">
        <v>10750</v>
      </c>
      <c r="Q2159" s="28">
        <v>0.12509999999999999</v>
      </c>
      <c r="U2159" s="29">
        <v>0</v>
      </c>
      <c r="V2159" s="383"/>
      <c r="W2159" s="741">
        <f t="shared" si="66"/>
        <v>1344.8249999999998</v>
      </c>
    </row>
    <row r="2160" spans="1:24" ht="15" customHeight="1">
      <c r="A2160" s="3">
        <v>38915</v>
      </c>
      <c r="B2160" s="4">
        <v>77300</v>
      </c>
      <c r="D2160" s="5">
        <v>3575</v>
      </c>
      <c r="E2160" s="5">
        <f t="shared" si="61"/>
        <v>27950</v>
      </c>
      <c r="F2160" s="5">
        <v>108825</v>
      </c>
      <c r="K2160" s="24">
        <v>1111</v>
      </c>
      <c r="L2160" s="6">
        <v>1125</v>
      </c>
      <c r="M2160" s="270">
        <f t="shared" si="65"/>
        <v>14</v>
      </c>
      <c r="N2160" s="19"/>
      <c r="O2160" s="280"/>
      <c r="P2160" s="345">
        <v>10750</v>
      </c>
      <c r="Q2160" s="28">
        <v>0.12509999999999999</v>
      </c>
      <c r="U2160" s="29">
        <v>0</v>
      </c>
      <c r="V2160" s="383"/>
      <c r="W2160" s="741">
        <f t="shared" si="66"/>
        <v>1344.8249999999998</v>
      </c>
    </row>
    <row r="2161" spans="1:24" ht="15" customHeight="1">
      <c r="A2161" s="3">
        <v>38916</v>
      </c>
      <c r="B2161" s="4">
        <v>77750</v>
      </c>
      <c r="D2161" s="5">
        <v>3525</v>
      </c>
      <c r="E2161" s="5">
        <f t="shared" si="61"/>
        <v>27675</v>
      </c>
      <c r="F2161" s="5">
        <v>108950</v>
      </c>
      <c r="K2161" s="24">
        <v>1066</v>
      </c>
      <c r="L2161" s="6">
        <v>1085</v>
      </c>
      <c r="M2161" s="270">
        <f t="shared" si="65"/>
        <v>19</v>
      </c>
      <c r="N2161" s="19"/>
      <c r="O2161" s="280"/>
      <c r="P2161" s="345">
        <v>10750</v>
      </c>
      <c r="Q2161" s="28">
        <v>0.125</v>
      </c>
      <c r="U2161" s="29">
        <v>0</v>
      </c>
      <c r="V2161" s="383"/>
      <c r="W2161" s="741">
        <f t="shared" si="66"/>
        <v>1343.75</v>
      </c>
    </row>
    <row r="2162" spans="1:24" ht="15" customHeight="1">
      <c r="A2162" s="3">
        <v>38917</v>
      </c>
      <c r="B2162" s="4">
        <v>76675</v>
      </c>
      <c r="D2162" s="5">
        <v>3525</v>
      </c>
      <c r="E2162" s="5">
        <f t="shared" si="61"/>
        <v>27575</v>
      </c>
      <c r="F2162" s="5">
        <v>107775</v>
      </c>
      <c r="K2162" s="24">
        <v>1030</v>
      </c>
      <c r="L2162" s="6">
        <v>1043</v>
      </c>
      <c r="M2162" s="270">
        <f t="shared" si="65"/>
        <v>13</v>
      </c>
      <c r="N2162" s="19"/>
      <c r="O2162" s="280"/>
      <c r="P2162" s="345">
        <v>10700</v>
      </c>
      <c r="Q2162" s="28">
        <v>0.125</v>
      </c>
      <c r="U2162" s="29">
        <v>0</v>
      </c>
      <c r="V2162" s="383"/>
      <c r="W2162" s="741">
        <f t="shared" si="66"/>
        <v>1337.5</v>
      </c>
    </row>
    <row r="2163" spans="1:24" ht="15" customHeight="1">
      <c r="A2163" s="3">
        <v>38918</v>
      </c>
      <c r="B2163" s="4">
        <v>76475</v>
      </c>
      <c r="D2163" s="5">
        <v>3425</v>
      </c>
      <c r="E2163" s="5">
        <f t="shared" si="61"/>
        <v>27450</v>
      </c>
      <c r="F2163" s="5">
        <v>107350</v>
      </c>
      <c r="K2163" s="24">
        <v>1020</v>
      </c>
      <c r="L2163" s="6">
        <v>1050</v>
      </c>
      <c r="M2163" s="270">
        <f t="shared" si="65"/>
        <v>30</v>
      </c>
      <c r="N2163" s="19"/>
      <c r="O2163" s="280"/>
      <c r="P2163" s="345">
        <v>10700</v>
      </c>
      <c r="Q2163" s="28">
        <v>0.125</v>
      </c>
      <c r="U2163" s="29">
        <v>0</v>
      </c>
      <c r="V2163" s="383"/>
      <c r="W2163" s="741">
        <f t="shared" si="66"/>
        <v>1337.5</v>
      </c>
    </row>
    <row r="2164" spans="1:24" ht="15" customHeight="1">
      <c r="A2164" s="3">
        <v>38919</v>
      </c>
      <c r="B2164" s="4">
        <v>76225</v>
      </c>
      <c r="D2164" s="5">
        <v>3375</v>
      </c>
      <c r="E2164" s="5">
        <f t="shared" si="61"/>
        <v>27325</v>
      </c>
      <c r="F2164" s="5">
        <v>106925</v>
      </c>
      <c r="K2164" s="24">
        <v>1040</v>
      </c>
      <c r="L2164" s="6">
        <v>1055.5</v>
      </c>
      <c r="M2164" s="270">
        <f t="shared" si="65"/>
        <v>15.5</v>
      </c>
      <c r="N2164" s="19"/>
      <c r="O2164" s="280"/>
      <c r="P2164" s="345">
        <v>10875</v>
      </c>
      <c r="Q2164" s="28">
        <v>0.12509999999999999</v>
      </c>
      <c r="U2164" s="29">
        <v>0</v>
      </c>
      <c r="V2164" s="383"/>
      <c r="W2164" s="741">
        <f t="shared" si="66"/>
        <v>1360.4624999999999</v>
      </c>
    </row>
    <row r="2165" spans="1:24" ht="15" customHeight="1">
      <c r="A2165" s="3">
        <v>38922</v>
      </c>
      <c r="B2165" s="4">
        <v>76425</v>
      </c>
      <c r="D2165" s="5">
        <v>3375</v>
      </c>
      <c r="E2165" s="5">
        <f t="shared" si="61"/>
        <v>27300</v>
      </c>
      <c r="F2165" s="5">
        <v>107100</v>
      </c>
      <c r="K2165" s="24">
        <v>1025</v>
      </c>
      <c r="L2165" s="6">
        <v>1050</v>
      </c>
      <c r="M2165" s="270">
        <f t="shared" si="65"/>
        <v>25</v>
      </c>
      <c r="N2165" s="19"/>
      <c r="O2165" s="280"/>
      <c r="P2165" s="345">
        <v>10875</v>
      </c>
      <c r="Q2165" s="28">
        <v>0.12520000000000001</v>
      </c>
      <c r="U2165" s="29">
        <v>0</v>
      </c>
      <c r="V2165" s="383"/>
      <c r="W2165" s="741">
        <f t="shared" si="66"/>
        <v>1361.55</v>
      </c>
    </row>
    <row r="2166" spans="1:24" ht="15" customHeight="1">
      <c r="A2166" s="3">
        <v>38923</v>
      </c>
      <c r="B2166" s="4">
        <v>75775</v>
      </c>
      <c r="D2166" s="5">
        <v>3150</v>
      </c>
      <c r="E2166" s="5">
        <f t="shared" si="61"/>
        <v>27250</v>
      </c>
      <c r="F2166" s="5">
        <v>106175</v>
      </c>
      <c r="K2166" s="24">
        <v>1060</v>
      </c>
      <c r="L2166" s="6">
        <v>1075.5</v>
      </c>
      <c r="M2166" s="270">
        <f t="shared" si="65"/>
        <v>15.5</v>
      </c>
      <c r="N2166" s="19"/>
      <c r="O2166" s="280"/>
      <c r="P2166" s="345">
        <v>10875</v>
      </c>
      <c r="Q2166" s="28">
        <v>0.12520000000000001</v>
      </c>
      <c r="U2166" s="29">
        <v>0</v>
      </c>
      <c r="V2166" s="383"/>
      <c r="W2166" s="741">
        <f t="shared" si="66"/>
        <v>1361.55</v>
      </c>
    </row>
    <row r="2167" spans="1:24" ht="15" customHeight="1">
      <c r="A2167" s="3">
        <v>38924</v>
      </c>
      <c r="B2167" s="4">
        <v>75825</v>
      </c>
      <c r="D2167" s="5">
        <v>3050</v>
      </c>
      <c r="E2167" s="5">
        <f t="shared" si="61"/>
        <v>27175</v>
      </c>
      <c r="F2167" s="5">
        <v>106050</v>
      </c>
      <c r="K2167" s="24">
        <v>1041</v>
      </c>
      <c r="L2167" s="6">
        <v>1061</v>
      </c>
      <c r="M2167" s="270">
        <f t="shared" ref="M2167:M2230" si="67">L2167-K2167</f>
        <v>20</v>
      </c>
      <c r="N2167" s="19"/>
      <c r="O2167" s="280"/>
      <c r="P2167" s="345">
        <v>10900</v>
      </c>
      <c r="Q2167" s="28">
        <v>0.12520000000000001</v>
      </c>
      <c r="U2167" s="29">
        <v>0</v>
      </c>
      <c r="V2167" s="383"/>
      <c r="W2167" s="741">
        <f t="shared" si="66"/>
        <v>1364.68</v>
      </c>
    </row>
    <row r="2168" spans="1:24" ht="15" customHeight="1">
      <c r="A2168" s="3">
        <v>38925</v>
      </c>
      <c r="B2168" s="4">
        <v>74950</v>
      </c>
      <c r="D2168" s="5">
        <v>3025</v>
      </c>
      <c r="E2168" s="5">
        <f t="shared" si="61"/>
        <v>26075</v>
      </c>
      <c r="F2168" s="5">
        <v>104050</v>
      </c>
      <c r="K2168" s="24">
        <v>1050</v>
      </c>
      <c r="L2168" s="6">
        <v>1070</v>
      </c>
      <c r="M2168" s="270">
        <f t="shared" si="67"/>
        <v>20</v>
      </c>
      <c r="N2168" s="19"/>
      <c r="O2168" s="280"/>
      <c r="P2168" s="345">
        <v>10900</v>
      </c>
      <c r="Q2168" s="28">
        <v>0.12520000000000001</v>
      </c>
      <c r="U2168" s="29">
        <v>0</v>
      </c>
      <c r="V2168" s="383"/>
      <c r="W2168" s="741">
        <f t="shared" si="66"/>
        <v>1364.68</v>
      </c>
    </row>
    <row r="2169" spans="1:24" ht="15" customHeight="1">
      <c r="A2169" s="3">
        <v>38926</v>
      </c>
      <c r="B2169" s="4">
        <v>74625</v>
      </c>
      <c r="D2169" s="5">
        <v>3000</v>
      </c>
      <c r="E2169" s="5">
        <f t="shared" si="61"/>
        <v>26025</v>
      </c>
      <c r="F2169" s="5">
        <v>103650</v>
      </c>
      <c r="K2169" s="24">
        <v>1069</v>
      </c>
      <c r="L2169" s="6">
        <v>1085</v>
      </c>
      <c r="M2169" s="270">
        <f t="shared" si="67"/>
        <v>16</v>
      </c>
      <c r="N2169" s="19"/>
      <c r="O2169" s="280"/>
      <c r="P2169" s="345">
        <v>10900</v>
      </c>
      <c r="Q2169" s="28">
        <v>0.12520000000000001</v>
      </c>
      <c r="U2169" s="29">
        <v>0</v>
      </c>
      <c r="V2169" s="383"/>
      <c r="W2169" s="741">
        <f t="shared" si="66"/>
        <v>1364.68</v>
      </c>
    </row>
    <row r="2170" spans="1:24" ht="15" customHeight="1" thickBot="1">
      <c r="A2170" s="12">
        <v>38929</v>
      </c>
      <c r="B2170" s="13">
        <v>72875</v>
      </c>
      <c r="C2170" s="13"/>
      <c r="D2170" s="14">
        <v>2875</v>
      </c>
      <c r="E2170" s="14">
        <f t="shared" si="61"/>
        <v>25975</v>
      </c>
      <c r="F2170" s="14">
        <v>101725</v>
      </c>
      <c r="G2170" s="14"/>
      <c r="H2170" s="14"/>
      <c r="I2170" s="14"/>
      <c r="J2170" s="264"/>
      <c r="K2170" s="25">
        <v>1111</v>
      </c>
      <c r="L2170" s="15">
        <v>1103</v>
      </c>
      <c r="M2170" s="271">
        <f t="shared" si="67"/>
        <v>-8</v>
      </c>
      <c r="N2170" s="20">
        <f>AVERAGE(K2150:K2170)</f>
        <v>1052.3809523809523</v>
      </c>
      <c r="O2170" s="281"/>
      <c r="P2170" s="346">
        <v>10900</v>
      </c>
      <c r="Q2170" s="30">
        <v>0.12529999999999999</v>
      </c>
      <c r="R2170" s="30"/>
      <c r="S2170" s="30"/>
      <c r="T2170" s="30"/>
      <c r="U2170" s="31">
        <v>0</v>
      </c>
      <c r="V2170" s="740">
        <f>AVERAGE(P2150:P2170)</f>
        <v>10727.380952380952</v>
      </c>
      <c r="W2170" s="741">
        <f t="shared" si="66"/>
        <v>1365.77</v>
      </c>
      <c r="X2170" s="33"/>
    </row>
    <row r="2171" spans="1:24" ht="15" customHeight="1">
      <c r="A2171" s="3">
        <v>38930</v>
      </c>
      <c r="B2171" s="4">
        <v>70800</v>
      </c>
      <c r="D2171" s="5">
        <v>2800</v>
      </c>
      <c r="E2171" s="5">
        <f t="shared" si="61"/>
        <v>25600</v>
      </c>
      <c r="F2171" s="5">
        <v>99200</v>
      </c>
      <c r="K2171" s="24">
        <v>1070</v>
      </c>
      <c r="L2171" s="6">
        <v>1090.5</v>
      </c>
      <c r="M2171" s="270">
        <f t="shared" si="67"/>
        <v>20.5</v>
      </c>
      <c r="N2171" s="19"/>
      <c r="O2171" s="280"/>
      <c r="P2171" s="345">
        <v>10875</v>
      </c>
      <c r="Q2171" s="28">
        <v>0.12540000000000001</v>
      </c>
      <c r="U2171" s="29">
        <v>0</v>
      </c>
      <c r="V2171" s="383"/>
      <c r="W2171" s="741">
        <f t="shared" si="66"/>
        <v>1363.7250000000001</v>
      </c>
      <c r="X2171" s="26"/>
    </row>
    <row r="2172" spans="1:24" ht="15" customHeight="1">
      <c r="A2172" s="3">
        <v>38931</v>
      </c>
      <c r="B2172" s="4">
        <v>68150</v>
      </c>
      <c r="D2172" s="5">
        <v>2750</v>
      </c>
      <c r="E2172" s="5">
        <f t="shared" si="61"/>
        <v>25000</v>
      </c>
      <c r="F2172" s="5">
        <v>95900</v>
      </c>
      <c r="K2172" s="24">
        <v>1081</v>
      </c>
      <c r="L2172" s="6">
        <v>1085</v>
      </c>
      <c r="M2172" s="270">
        <f t="shared" si="67"/>
        <v>4</v>
      </c>
      <c r="N2172" s="19"/>
      <c r="O2172" s="280"/>
      <c r="P2172" s="345">
        <v>10875</v>
      </c>
      <c r="Q2172" s="28">
        <v>0.12540000000000001</v>
      </c>
      <c r="U2172" s="29">
        <v>0</v>
      </c>
      <c r="V2172" s="383"/>
      <c r="W2172" s="741">
        <f t="shared" si="66"/>
        <v>1363.7250000000001</v>
      </c>
      <c r="X2172" s="26"/>
    </row>
    <row r="2173" spans="1:24" ht="15" customHeight="1">
      <c r="A2173" s="3">
        <v>38932</v>
      </c>
      <c r="B2173" s="4">
        <v>66100</v>
      </c>
      <c r="D2173" s="5">
        <v>2725</v>
      </c>
      <c r="E2173" s="5">
        <f t="shared" si="61"/>
        <v>24550</v>
      </c>
      <c r="F2173" s="5">
        <v>93375</v>
      </c>
      <c r="K2173" s="24">
        <v>1104</v>
      </c>
      <c r="L2173" s="6">
        <v>1116.5</v>
      </c>
      <c r="M2173" s="270">
        <f t="shared" si="67"/>
        <v>12.5</v>
      </c>
      <c r="N2173" s="19"/>
      <c r="O2173" s="280"/>
      <c r="P2173" s="345">
        <v>10875</v>
      </c>
      <c r="Q2173" s="28">
        <v>0.12540000000000001</v>
      </c>
      <c r="U2173" s="29">
        <v>0</v>
      </c>
      <c r="V2173" s="383"/>
      <c r="W2173" s="741">
        <f t="shared" si="66"/>
        <v>1363.7250000000001</v>
      </c>
      <c r="X2173" s="26"/>
    </row>
    <row r="2174" spans="1:24" ht="15" customHeight="1">
      <c r="A2174" s="3">
        <v>38933</v>
      </c>
      <c r="B2174" s="4">
        <v>64500</v>
      </c>
      <c r="D2174" s="5">
        <v>2725</v>
      </c>
      <c r="E2174" s="5">
        <f t="shared" si="61"/>
        <v>24375</v>
      </c>
      <c r="F2174" s="5">
        <v>91600</v>
      </c>
      <c r="K2174" s="24">
        <v>1135</v>
      </c>
      <c r="L2174" s="6">
        <v>1127</v>
      </c>
      <c r="M2174" s="270">
        <f t="shared" si="67"/>
        <v>-8</v>
      </c>
      <c r="N2174" s="19"/>
      <c r="O2174" s="280"/>
      <c r="P2174" s="345">
        <v>10875</v>
      </c>
      <c r="Q2174" s="28">
        <v>0.12540000000000001</v>
      </c>
      <c r="U2174" s="29">
        <v>0</v>
      </c>
      <c r="V2174" s="383"/>
      <c r="W2174" s="741">
        <f t="shared" si="66"/>
        <v>1363.7250000000001</v>
      </c>
      <c r="X2174" s="26"/>
    </row>
    <row r="2175" spans="1:24" ht="15" customHeight="1">
      <c r="A2175" s="3">
        <v>38936</v>
      </c>
      <c r="B2175" s="4">
        <v>64450</v>
      </c>
      <c r="D2175" s="5">
        <v>2725</v>
      </c>
      <c r="E2175" s="5">
        <f t="shared" si="61"/>
        <v>24200</v>
      </c>
      <c r="F2175" s="5">
        <v>91375</v>
      </c>
      <c r="K2175" s="24">
        <v>1114</v>
      </c>
      <c r="L2175" s="6">
        <v>1115</v>
      </c>
      <c r="M2175" s="270">
        <f t="shared" si="67"/>
        <v>1</v>
      </c>
      <c r="N2175" s="19"/>
      <c r="O2175" s="280"/>
      <c r="P2175" s="345">
        <v>10850</v>
      </c>
      <c r="Q2175" s="28">
        <v>0.12540000000000001</v>
      </c>
      <c r="U2175" s="29">
        <v>0</v>
      </c>
      <c r="V2175" s="383"/>
      <c r="W2175" s="741">
        <f t="shared" si="66"/>
        <v>1360.5900000000001</v>
      </c>
      <c r="X2175" s="26"/>
    </row>
    <row r="2176" spans="1:24" ht="15" customHeight="1">
      <c r="A2176" s="3">
        <v>38937</v>
      </c>
      <c r="B2176" s="4">
        <v>62375</v>
      </c>
      <c r="D2176" s="5">
        <v>2725</v>
      </c>
      <c r="E2176" s="5">
        <f t="shared" si="61"/>
        <v>24125</v>
      </c>
      <c r="F2176" s="5">
        <v>89225</v>
      </c>
      <c r="K2176" s="24">
        <v>1165</v>
      </c>
      <c r="L2176" s="6">
        <v>1175</v>
      </c>
      <c r="M2176" s="270">
        <f t="shared" si="67"/>
        <v>10</v>
      </c>
      <c r="N2176" s="19"/>
      <c r="O2176" s="280"/>
      <c r="P2176" s="345">
        <v>10850</v>
      </c>
      <c r="Q2176" s="28">
        <v>0.1255</v>
      </c>
      <c r="U2176" s="29">
        <v>0</v>
      </c>
      <c r="V2176" s="383"/>
      <c r="W2176" s="741">
        <f t="shared" si="66"/>
        <v>1361.675</v>
      </c>
      <c r="X2176" s="26"/>
    </row>
    <row r="2177" spans="1:24" ht="15" customHeight="1">
      <c r="A2177" s="3">
        <v>38938</v>
      </c>
      <c r="B2177" s="4">
        <v>61375</v>
      </c>
      <c r="D2177" s="5">
        <v>2725</v>
      </c>
      <c r="E2177" s="5">
        <f t="shared" si="61"/>
        <v>24050</v>
      </c>
      <c r="F2177" s="5">
        <v>88150</v>
      </c>
      <c r="K2177" s="24">
        <v>1193</v>
      </c>
      <c r="L2177" s="6">
        <v>1200</v>
      </c>
      <c r="M2177" s="270">
        <f t="shared" si="67"/>
        <v>7</v>
      </c>
      <c r="N2177" s="19"/>
      <c r="O2177" s="280"/>
      <c r="P2177" s="345">
        <v>10850</v>
      </c>
      <c r="Q2177" s="28">
        <v>0.12540000000000001</v>
      </c>
      <c r="U2177" s="29">
        <v>0</v>
      </c>
      <c r="V2177" s="383"/>
      <c r="W2177" s="741">
        <f t="shared" si="66"/>
        <v>1360.5900000000001</v>
      </c>
      <c r="X2177" s="26"/>
    </row>
    <row r="2178" spans="1:24" ht="15" customHeight="1">
      <c r="A2178" s="3">
        <v>38939</v>
      </c>
      <c r="B2178" s="4">
        <v>61350</v>
      </c>
      <c r="D2178" s="5">
        <v>2675</v>
      </c>
      <c r="E2178" s="5">
        <f t="shared" si="61"/>
        <v>23450</v>
      </c>
      <c r="F2178" s="5">
        <v>87475</v>
      </c>
      <c r="K2178" s="24">
        <v>1211</v>
      </c>
      <c r="L2178" s="6">
        <v>1210</v>
      </c>
      <c r="M2178" s="270">
        <f t="shared" si="67"/>
        <v>-1</v>
      </c>
      <c r="N2178" s="19"/>
      <c r="O2178" s="280"/>
      <c r="P2178" s="345">
        <v>11100</v>
      </c>
      <c r="Q2178" s="28">
        <v>0.12540000000000001</v>
      </c>
      <c r="U2178" s="29">
        <v>0</v>
      </c>
      <c r="V2178" s="383"/>
      <c r="W2178" s="741">
        <f t="shared" si="66"/>
        <v>1391.94</v>
      </c>
      <c r="X2178" s="26"/>
    </row>
    <row r="2179" spans="1:24" ht="15" customHeight="1">
      <c r="A2179" s="3">
        <v>38940</v>
      </c>
      <c r="B2179" s="4">
        <v>63475</v>
      </c>
      <c r="D2179" s="5">
        <v>2625</v>
      </c>
      <c r="E2179" s="5">
        <f t="shared" si="61"/>
        <v>23450</v>
      </c>
      <c r="F2179" s="5">
        <v>89550</v>
      </c>
      <c r="K2179" s="24">
        <v>1185</v>
      </c>
      <c r="L2179" s="6">
        <v>1186</v>
      </c>
      <c r="M2179" s="270">
        <f t="shared" si="67"/>
        <v>1</v>
      </c>
      <c r="N2179" s="19"/>
      <c r="O2179" s="280"/>
      <c r="P2179" s="345">
        <v>11100</v>
      </c>
      <c r="Q2179" s="28">
        <v>0.1255</v>
      </c>
      <c r="U2179" s="29">
        <v>0</v>
      </c>
      <c r="V2179" s="383"/>
      <c r="W2179" s="741">
        <f t="shared" si="66"/>
        <v>1393.05</v>
      </c>
      <c r="X2179" s="26"/>
    </row>
    <row r="2180" spans="1:24" ht="15" customHeight="1">
      <c r="A2180" s="3">
        <v>38943</v>
      </c>
      <c r="B2180" s="4">
        <v>60300</v>
      </c>
      <c r="D2180" s="5">
        <v>2575</v>
      </c>
      <c r="E2180" s="5">
        <f t="shared" si="61"/>
        <v>23400</v>
      </c>
      <c r="F2180" s="5">
        <v>86275</v>
      </c>
      <c r="K2180" s="24">
        <v>1156</v>
      </c>
      <c r="L2180" s="6">
        <v>1160</v>
      </c>
      <c r="M2180" s="270">
        <f t="shared" si="67"/>
        <v>4</v>
      </c>
      <c r="N2180" s="19"/>
      <c r="O2180" s="280"/>
      <c r="P2180" s="345">
        <v>11100</v>
      </c>
      <c r="Q2180" s="28">
        <v>0.12540000000000001</v>
      </c>
      <c r="U2180" s="29">
        <v>0</v>
      </c>
      <c r="V2180" s="383"/>
      <c r="W2180" s="741">
        <f t="shared" si="66"/>
        <v>1391.94</v>
      </c>
      <c r="X2180" s="26"/>
    </row>
    <row r="2181" spans="1:24" ht="15" customHeight="1">
      <c r="A2181" s="3">
        <v>38944</v>
      </c>
      <c r="B2181" s="4">
        <v>59700</v>
      </c>
      <c r="D2181" s="5">
        <v>2525</v>
      </c>
      <c r="E2181" s="5">
        <f t="shared" si="61"/>
        <v>23400</v>
      </c>
      <c r="F2181" s="5">
        <v>85625</v>
      </c>
      <c r="K2181" s="24">
        <v>1186</v>
      </c>
      <c r="L2181" s="6">
        <v>1193</v>
      </c>
      <c r="M2181" s="270">
        <f t="shared" si="67"/>
        <v>7</v>
      </c>
      <c r="N2181" s="19"/>
      <c r="O2181" s="280"/>
      <c r="P2181" s="345">
        <v>11100</v>
      </c>
      <c r="Q2181" s="28">
        <v>0.12540000000000001</v>
      </c>
      <c r="U2181" s="29">
        <v>0</v>
      </c>
      <c r="V2181" s="383"/>
      <c r="W2181" s="741">
        <f t="shared" si="66"/>
        <v>1391.94</v>
      </c>
      <c r="X2181" s="26"/>
    </row>
    <row r="2182" spans="1:24" ht="15" customHeight="1">
      <c r="A2182" s="3">
        <v>38945</v>
      </c>
      <c r="B2182" s="4">
        <v>59175</v>
      </c>
      <c r="D2182" s="5">
        <v>2525</v>
      </c>
      <c r="E2182" s="5">
        <f t="shared" si="61"/>
        <v>23375</v>
      </c>
      <c r="F2182" s="5">
        <v>85075</v>
      </c>
      <c r="K2182" s="24">
        <v>1185</v>
      </c>
      <c r="L2182" s="6">
        <v>1195</v>
      </c>
      <c r="M2182" s="270">
        <f t="shared" si="67"/>
        <v>10</v>
      </c>
      <c r="N2182" s="19"/>
      <c r="O2182" s="280"/>
      <c r="P2182" s="345">
        <v>11125</v>
      </c>
      <c r="Q2182" s="28">
        <v>0.12509999999999999</v>
      </c>
      <c r="U2182" s="29">
        <v>0</v>
      </c>
      <c r="V2182" s="383"/>
      <c r="W2182" s="741">
        <f t="shared" si="66"/>
        <v>1391.7375</v>
      </c>
      <c r="X2182" s="26"/>
    </row>
    <row r="2183" spans="1:24" ht="15" customHeight="1">
      <c r="A2183" s="3">
        <v>38946</v>
      </c>
      <c r="B2183" s="4">
        <v>57200</v>
      </c>
      <c r="D2183" s="5">
        <v>2475</v>
      </c>
      <c r="E2183" s="5">
        <f t="shared" si="61"/>
        <v>23325</v>
      </c>
      <c r="F2183" s="5">
        <v>83000</v>
      </c>
      <c r="K2183" s="24">
        <v>1192.5</v>
      </c>
      <c r="L2183" s="6">
        <v>1205</v>
      </c>
      <c r="M2183" s="270">
        <f t="shared" si="67"/>
        <v>12.5</v>
      </c>
      <c r="N2183" s="19"/>
      <c r="O2183" s="280"/>
      <c r="P2183" s="345">
        <v>11150</v>
      </c>
      <c r="Q2183" s="28">
        <v>0.12529999999999999</v>
      </c>
      <c r="U2183" s="29">
        <v>0</v>
      </c>
      <c r="V2183" s="383"/>
      <c r="W2183" s="741">
        <f t="shared" si="66"/>
        <v>1397.095</v>
      </c>
      <c r="X2183" s="26"/>
    </row>
    <row r="2184" spans="1:24" ht="15" customHeight="1">
      <c r="A2184" s="3">
        <v>38947</v>
      </c>
      <c r="B2184" s="4">
        <v>56575</v>
      </c>
      <c r="D2184" s="5">
        <v>2375</v>
      </c>
      <c r="E2184" s="5">
        <f t="shared" si="61"/>
        <v>23250</v>
      </c>
      <c r="F2184" s="5">
        <v>82200</v>
      </c>
      <c r="K2184" s="24">
        <v>1200</v>
      </c>
      <c r="L2184" s="6">
        <v>1204</v>
      </c>
      <c r="M2184" s="270">
        <f t="shared" si="67"/>
        <v>4</v>
      </c>
      <c r="N2184" s="19"/>
      <c r="O2184" s="280"/>
      <c r="P2184" s="345">
        <v>11175</v>
      </c>
      <c r="Q2184" s="28">
        <v>0.12540000000000001</v>
      </c>
      <c r="U2184" s="29">
        <v>0</v>
      </c>
      <c r="V2184" s="383"/>
      <c r="W2184" s="741">
        <f t="shared" si="66"/>
        <v>1401.345</v>
      </c>
      <c r="X2184" s="26"/>
    </row>
    <row r="2185" spans="1:24" ht="15" customHeight="1">
      <c r="A2185" s="3">
        <v>38950</v>
      </c>
      <c r="B2185" s="4">
        <v>55875</v>
      </c>
      <c r="D2185" s="5">
        <v>2325</v>
      </c>
      <c r="E2185" s="5">
        <f t="shared" si="61"/>
        <v>23100</v>
      </c>
      <c r="F2185" s="5">
        <v>81300</v>
      </c>
      <c r="K2185" s="24">
        <v>1190</v>
      </c>
      <c r="L2185" s="6">
        <v>1196.5</v>
      </c>
      <c r="M2185" s="270">
        <f t="shared" si="67"/>
        <v>6.5</v>
      </c>
      <c r="N2185" s="19"/>
      <c r="O2185" s="280"/>
      <c r="P2185" s="345">
        <v>11250</v>
      </c>
      <c r="Q2185" s="28">
        <v>0.12540000000000001</v>
      </c>
      <c r="U2185" s="29">
        <v>0</v>
      </c>
      <c r="V2185" s="383"/>
      <c r="W2185" s="741">
        <f t="shared" si="66"/>
        <v>1410.7500000000002</v>
      </c>
      <c r="X2185" s="26"/>
    </row>
    <row r="2186" spans="1:24" ht="15" customHeight="1">
      <c r="A2186" s="3">
        <v>38951</v>
      </c>
      <c r="B2186" s="4">
        <v>57575</v>
      </c>
      <c r="D2186" s="5">
        <v>2300</v>
      </c>
      <c r="E2186" s="5">
        <f t="shared" si="61"/>
        <v>23075</v>
      </c>
      <c r="F2186" s="5">
        <v>82950</v>
      </c>
      <c r="K2186" s="24">
        <v>1195.5</v>
      </c>
      <c r="L2186" s="6">
        <v>1195</v>
      </c>
      <c r="M2186" s="270">
        <f t="shared" si="67"/>
        <v>-0.5</v>
      </c>
      <c r="N2186" s="19"/>
      <c r="O2186" s="280"/>
      <c r="P2186" s="345">
        <v>11350</v>
      </c>
      <c r="Q2186" s="28">
        <v>0.1255</v>
      </c>
      <c r="U2186" s="29">
        <v>0</v>
      </c>
      <c r="V2186" s="383"/>
      <c r="W2186" s="741">
        <f t="shared" si="66"/>
        <v>1424.425</v>
      </c>
      <c r="X2186" s="26"/>
    </row>
    <row r="2187" spans="1:24" ht="15" customHeight="1">
      <c r="A2187" s="3">
        <v>38952</v>
      </c>
      <c r="B2187" s="4">
        <v>57575</v>
      </c>
      <c r="D2187" s="5">
        <v>2300</v>
      </c>
      <c r="E2187" s="5">
        <f t="shared" si="61"/>
        <v>22900</v>
      </c>
      <c r="F2187" s="5">
        <v>82775</v>
      </c>
      <c r="K2187" s="24">
        <v>1186</v>
      </c>
      <c r="L2187" s="6">
        <v>1200</v>
      </c>
      <c r="M2187" s="270">
        <f t="shared" si="67"/>
        <v>14</v>
      </c>
      <c r="N2187" s="19"/>
      <c r="O2187" s="280"/>
      <c r="P2187" s="345">
        <v>11400</v>
      </c>
      <c r="Q2187" s="28">
        <v>0.1255</v>
      </c>
      <c r="U2187" s="29">
        <v>0</v>
      </c>
      <c r="V2187" s="383"/>
      <c r="W2187" s="741">
        <f t="shared" si="66"/>
        <v>1430.7</v>
      </c>
      <c r="X2187" s="26"/>
    </row>
    <row r="2188" spans="1:24" ht="15" customHeight="1">
      <c r="A2188" s="3">
        <v>38953</v>
      </c>
      <c r="B2188" s="4">
        <v>56675</v>
      </c>
      <c r="D2188" s="5">
        <v>2250</v>
      </c>
      <c r="E2188" s="5">
        <f t="shared" si="61"/>
        <v>22725</v>
      </c>
      <c r="F2188" s="5">
        <v>81650</v>
      </c>
      <c r="K2188" s="24">
        <v>1205.5</v>
      </c>
      <c r="L2188" s="6">
        <v>1220</v>
      </c>
      <c r="M2188" s="270">
        <f t="shared" si="67"/>
        <v>14.5</v>
      </c>
      <c r="N2188" s="19"/>
      <c r="O2188" s="280"/>
      <c r="P2188" s="345">
        <v>11550</v>
      </c>
      <c r="Q2188" s="28">
        <v>0.1255</v>
      </c>
      <c r="U2188" s="29">
        <v>0</v>
      </c>
      <c r="V2188" s="383"/>
      <c r="W2188" s="741">
        <f t="shared" si="66"/>
        <v>1449.5250000000001</v>
      </c>
      <c r="X2188" s="26"/>
    </row>
    <row r="2189" spans="1:24" ht="15" customHeight="1">
      <c r="A2189" s="3">
        <v>38954</v>
      </c>
      <c r="B2189" s="4">
        <v>55350</v>
      </c>
      <c r="D2189" s="5">
        <v>2250</v>
      </c>
      <c r="E2189" s="5">
        <f t="shared" si="61"/>
        <v>22725</v>
      </c>
      <c r="F2189" s="5">
        <v>80325</v>
      </c>
      <c r="K2189" s="24">
        <v>1203</v>
      </c>
      <c r="L2189" s="6">
        <v>1220</v>
      </c>
      <c r="M2189" s="270">
        <f t="shared" si="67"/>
        <v>17</v>
      </c>
      <c r="N2189" s="19"/>
      <c r="O2189" s="280"/>
      <c r="P2189" s="345">
        <v>11625</v>
      </c>
      <c r="Q2189" s="28">
        <v>0.1255</v>
      </c>
      <c r="U2189" s="29">
        <v>0</v>
      </c>
      <c r="V2189" s="383"/>
      <c r="W2189" s="741">
        <f t="shared" si="66"/>
        <v>1458.9375</v>
      </c>
      <c r="X2189" s="26"/>
    </row>
    <row r="2190" spans="1:24" ht="15" customHeight="1">
      <c r="A2190" s="3">
        <v>38958</v>
      </c>
      <c r="B2190" s="4">
        <v>54175</v>
      </c>
      <c r="D2190" s="5">
        <v>2250</v>
      </c>
      <c r="E2190" s="5">
        <f t="shared" si="61"/>
        <v>22550</v>
      </c>
      <c r="F2190" s="5">
        <v>78975</v>
      </c>
      <c r="K2190" s="24">
        <v>1225</v>
      </c>
      <c r="L2190" s="6">
        <v>1233</v>
      </c>
      <c r="M2190" s="270">
        <f t="shared" si="67"/>
        <v>8</v>
      </c>
      <c r="N2190" s="19"/>
      <c r="O2190" s="280"/>
      <c r="P2190" s="345">
        <v>11725</v>
      </c>
      <c r="Q2190" s="28">
        <v>0.12540000000000001</v>
      </c>
      <c r="U2190" s="29">
        <v>0</v>
      </c>
      <c r="V2190" s="383"/>
      <c r="W2190" s="741">
        <f t="shared" si="66"/>
        <v>1470.3150000000001</v>
      </c>
      <c r="X2190" s="26"/>
    </row>
    <row r="2191" spans="1:24" ht="15" customHeight="1">
      <c r="A2191" s="3">
        <v>38959</v>
      </c>
      <c r="B2191" s="4">
        <v>54075</v>
      </c>
      <c r="D2191" s="5">
        <v>2250</v>
      </c>
      <c r="E2191" s="5">
        <f t="shared" si="61"/>
        <v>22425</v>
      </c>
      <c r="F2191" s="5">
        <v>78750</v>
      </c>
      <c r="K2191" s="24">
        <v>1227</v>
      </c>
      <c r="L2191" s="6">
        <v>1225.5</v>
      </c>
      <c r="M2191" s="270">
        <f t="shared" si="67"/>
        <v>-1.5</v>
      </c>
      <c r="N2191" s="19"/>
      <c r="O2191" s="280"/>
      <c r="P2191" s="345">
        <v>11850</v>
      </c>
      <c r="Q2191" s="28">
        <v>0.1255</v>
      </c>
      <c r="U2191" s="29">
        <v>0</v>
      </c>
      <c r="V2191" s="383"/>
      <c r="W2191" s="741">
        <f t="shared" si="66"/>
        <v>1487.175</v>
      </c>
      <c r="X2191" s="26"/>
    </row>
    <row r="2192" spans="1:24" ht="15" customHeight="1" thickBot="1">
      <c r="A2192" s="12">
        <v>38960</v>
      </c>
      <c r="B2192" s="13">
        <v>54075</v>
      </c>
      <c r="C2192" s="13"/>
      <c r="D2192" s="14">
        <v>2250</v>
      </c>
      <c r="E2192" s="14">
        <f t="shared" si="61"/>
        <v>22325</v>
      </c>
      <c r="F2192" s="14">
        <v>78650</v>
      </c>
      <c r="G2192" s="14"/>
      <c r="H2192" s="14"/>
      <c r="I2192" s="14"/>
      <c r="J2192" s="264"/>
      <c r="K2192" s="25">
        <v>1221.5</v>
      </c>
      <c r="L2192" s="15">
        <v>1240</v>
      </c>
      <c r="M2192" s="271">
        <f t="shared" si="67"/>
        <v>18.5</v>
      </c>
      <c r="N2192" s="20">
        <f>AVERAGE(K2171:K2192)</f>
        <v>1174.1363636363637</v>
      </c>
      <c r="O2192" s="281"/>
      <c r="P2192" s="346">
        <v>12100</v>
      </c>
      <c r="Q2192" s="30">
        <v>0.12559999999999999</v>
      </c>
      <c r="R2192" s="30"/>
      <c r="S2192" s="30"/>
      <c r="T2192" s="30"/>
      <c r="U2192" s="31">
        <v>0</v>
      </c>
      <c r="V2192" s="740">
        <f>AVERAGE(P2171:P2192)</f>
        <v>11215.90909090909</v>
      </c>
      <c r="W2192" s="741">
        <f t="shared" si="66"/>
        <v>1519.7599999999998</v>
      </c>
      <c r="X2192" s="27"/>
    </row>
    <row r="2193" spans="1:24" ht="15" customHeight="1">
      <c r="A2193" s="3">
        <v>38961</v>
      </c>
      <c r="B2193" s="4">
        <v>53825</v>
      </c>
      <c r="D2193" s="5">
        <v>2250</v>
      </c>
      <c r="E2193" s="5">
        <f t="shared" si="61"/>
        <v>22275</v>
      </c>
      <c r="F2193" s="5">
        <v>78350</v>
      </c>
      <c r="K2193" s="24">
        <v>1225</v>
      </c>
      <c r="L2193" s="6">
        <v>1232</v>
      </c>
      <c r="M2193" s="270">
        <f t="shared" si="67"/>
        <v>7</v>
      </c>
      <c r="N2193" s="21"/>
      <c r="O2193" s="280"/>
      <c r="P2193" s="345">
        <v>12275</v>
      </c>
      <c r="Q2193" s="28">
        <v>0.12559999999999999</v>
      </c>
      <c r="U2193" s="29">
        <v>0</v>
      </c>
      <c r="V2193" s="383"/>
      <c r="W2193" s="741">
        <f t="shared" si="66"/>
        <v>1541.7399999999998</v>
      </c>
      <c r="X2193" s="26"/>
    </row>
    <row r="2194" spans="1:24" ht="15" customHeight="1">
      <c r="A2194" s="3">
        <v>38964</v>
      </c>
      <c r="B2194" s="4">
        <v>53625</v>
      </c>
      <c r="D2194" s="5">
        <v>2250</v>
      </c>
      <c r="E2194" s="5">
        <f t="shared" si="61"/>
        <v>22250</v>
      </c>
      <c r="F2194" s="5">
        <v>78125</v>
      </c>
      <c r="K2194" s="24">
        <v>1259</v>
      </c>
      <c r="L2194" s="6">
        <v>1255</v>
      </c>
      <c r="M2194" s="270">
        <f t="shared" si="67"/>
        <v>-4</v>
      </c>
      <c r="N2194" s="19"/>
      <c r="O2194" s="280"/>
      <c r="P2194" s="345">
        <v>12750</v>
      </c>
      <c r="Q2194" s="28">
        <v>0.12559999999999999</v>
      </c>
      <c r="U2194" s="29">
        <v>0</v>
      </c>
      <c r="V2194" s="383"/>
      <c r="W2194" s="741">
        <f t="shared" si="66"/>
        <v>1601.3999999999999</v>
      </c>
      <c r="X2194" s="26"/>
    </row>
    <row r="2195" spans="1:24" ht="15" customHeight="1">
      <c r="A2195" s="3">
        <v>38965</v>
      </c>
      <c r="B2195" s="4">
        <v>52625</v>
      </c>
      <c r="D2195" s="5">
        <v>2250</v>
      </c>
      <c r="E2195" s="5">
        <f t="shared" si="61"/>
        <v>22175</v>
      </c>
      <c r="F2195" s="5">
        <v>77050</v>
      </c>
      <c r="K2195" s="24">
        <v>1297</v>
      </c>
      <c r="L2195" s="6">
        <v>1297</v>
      </c>
      <c r="M2195" s="270">
        <f t="shared" si="67"/>
        <v>0</v>
      </c>
      <c r="N2195" s="19"/>
      <c r="O2195" s="280"/>
      <c r="P2195" s="345">
        <v>13300</v>
      </c>
      <c r="Q2195" s="28">
        <v>0.1258</v>
      </c>
      <c r="U2195" s="29">
        <v>0</v>
      </c>
      <c r="V2195" s="383"/>
      <c r="W2195" s="741">
        <f t="shared" si="66"/>
        <v>1673.1399999999999</v>
      </c>
      <c r="X2195" s="26"/>
    </row>
    <row r="2196" spans="1:24" ht="15" customHeight="1">
      <c r="A2196" s="3">
        <v>38966</v>
      </c>
      <c r="B2196" s="4">
        <v>51750</v>
      </c>
      <c r="D2196" s="5">
        <v>2250</v>
      </c>
      <c r="E2196" s="5">
        <f t="shared" si="61"/>
        <v>22175</v>
      </c>
      <c r="F2196" s="5">
        <v>76175</v>
      </c>
      <c r="K2196" s="24">
        <v>1301</v>
      </c>
      <c r="L2196" s="6">
        <v>1295.5</v>
      </c>
      <c r="M2196" s="270">
        <f t="shared" si="67"/>
        <v>-5.5</v>
      </c>
      <c r="N2196" s="19"/>
      <c r="O2196" s="280"/>
      <c r="P2196" s="345">
        <v>13300</v>
      </c>
      <c r="Q2196" s="28">
        <v>0.12590000000000001</v>
      </c>
      <c r="U2196" s="29">
        <v>0</v>
      </c>
      <c r="V2196" s="383"/>
      <c r="W2196" s="741">
        <f t="shared" si="66"/>
        <v>1674.4700000000003</v>
      </c>
      <c r="X2196" s="26"/>
    </row>
    <row r="2197" spans="1:24" ht="15" customHeight="1">
      <c r="A2197" s="3">
        <v>38967</v>
      </c>
      <c r="B2197" s="4">
        <v>51450</v>
      </c>
      <c r="D2197" s="5">
        <v>2250</v>
      </c>
      <c r="E2197" s="5">
        <f t="shared" si="61"/>
        <v>22050</v>
      </c>
      <c r="F2197" s="5">
        <v>75750</v>
      </c>
      <c r="K2197" s="24">
        <v>1330.5</v>
      </c>
      <c r="L2197" s="6">
        <v>1306</v>
      </c>
      <c r="M2197" s="270">
        <f t="shared" si="67"/>
        <v>-24.5</v>
      </c>
      <c r="N2197" s="19"/>
      <c r="O2197" s="280"/>
      <c r="P2197" s="345">
        <v>13500</v>
      </c>
      <c r="Q2197" s="28">
        <v>0.1258</v>
      </c>
      <c r="U2197" s="29">
        <v>0</v>
      </c>
      <c r="V2197" s="383"/>
      <c r="W2197" s="741">
        <f t="shared" si="66"/>
        <v>1698.3</v>
      </c>
      <c r="X2197" s="26"/>
    </row>
    <row r="2198" spans="1:24" ht="15" customHeight="1">
      <c r="A2198" s="3">
        <v>38968</v>
      </c>
      <c r="B2198" s="4">
        <v>50650</v>
      </c>
      <c r="D2198" s="5">
        <v>2250</v>
      </c>
      <c r="E2198" s="5">
        <f t="shared" si="61"/>
        <v>21775</v>
      </c>
      <c r="F2198" s="5">
        <v>74675</v>
      </c>
      <c r="K2198" s="24">
        <v>1327</v>
      </c>
      <c r="L2198" s="6">
        <v>1313</v>
      </c>
      <c r="M2198" s="270">
        <f t="shared" si="67"/>
        <v>-14</v>
      </c>
      <c r="N2198" s="19"/>
      <c r="O2198" s="280"/>
      <c r="P2198" s="345">
        <v>13350</v>
      </c>
      <c r="Q2198" s="28">
        <v>0.1258</v>
      </c>
      <c r="U2198" s="29">
        <v>0</v>
      </c>
      <c r="V2198" s="383"/>
      <c r="W2198" s="741">
        <f t="shared" si="66"/>
        <v>1679.4299999999998</v>
      </c>
    </row>
    <row r="2199" spans="1:24" ht="15" customHeight="1">
      <c r="A2199" s="3">
        <v>38971</v>
      </c>
      <c r="B2199" s="4">
        <v>49125</v>
      </c>
      <c r="D2199" s="5">
        <v>2250</v>
      </c>
      <c r="E2199" s="5">
        <f t="shared" si="61"/>
        <v>21750</v>
      </c>
      <c r="F2199" s="5">
        <v>73125</v>
      </c>
      <c r="K2199" s="24">
        <v>1328</v>
      </c>
      <c r="L2199" s="6">
        <v>1319</v>
      </c>
      <c r="M2199" s="270">
        <f t="shared" si="67"/>
        <v>-9</v>
      </c>
      <c r="N2199" s="19"/>
      <c r="O2199" s="280"/>
      <c r="P2199" s="345">
        <v>13700</v>
      </c>
      <c r="Q2199" s="28">
        <v>0.1258</v>
      </c>
      <c r="U2199" s="29">
        <v>0</v>
      </c>
      <c r="V2199" s="383"/>
      <c r="W2199" s="741">
        <f t="shared" si="66"/>
        <v>1723.46</v>
      </c>
    </row>
    <row r="2200" spans="1:24" ht="15" customHeight="1">
      <c r="A2200" s="3">
        <v>38972</v>
      </c>
      <c r="B2200" s="4">
        <v>47525</v>
      </c>
      <c r="D2200" s="5">
        <v>2250</v>
      </c>
      <c r="E2200" s="5">
        <f t="shared" si="61"/>
        <v>21725</v>
      </c>
      <c r="F2200" s="5">
        <v>71500</v>
      </c>
      <c r="K2200" s="24">
        <v>1314</v>
      </c>
      <c r="L2200" s="6">
        <v>1302</v>
      </c>
      <c r="M2200" s="270">
        <f t="shared" si="67"/>
        <v>-12</v>
      </c>
      <c r="N2200" s="19"/>
      <c r="O2200" s="280"/>
      <c r="P2200" s="345">
        <v>13875</v>
      </c>
      <c r="Q2200" s="28">
        <v>0.1258</v>
      </c>
      <c r="U2200" s="29">
        <v>0</v>
      </c>
      <c r="V2200" s="383"/>
      <c r="W2200" s="741">
        <f t="shared" si="66"/>
        <v>1745.4749999999999</v>
      </c>
    </row>
    <row r="2201" spans="1:24" ht="15" customHeight="1">
      <c r="A2201" s="3">
        <v>38973</v>
      </c>
      <c r="B2201" s="4">
        <v>46750</v>
      </c>
      <c r="D2201" s="5">
        <v>2250</v>
      </c>
      <c r="E2201" s="5">
        <f t="shared" si="61"/>
        <v>21675</v>
      </c>
      <c r="F2201" s="5">
        <v>70675</v>
      </c>
      <c r="K2201" s="24">
        <v>1303</v>
      </c>
      <c r="L2201" s="6">
        <v>1295</v>
      </c>
      <c r="M2201" s="270">
        <f t="shared" si="67"/>
        <v>-8</v>
      </c>
      <c r="N2201" s="19"/>
      <c r="O2201" s="280"/>
      <c r="P2201" s="345">
        <v>13875</v>
      </c>
      <c r="Q2201" s="28">
        <v>0.12570000000000001</v>
      </c>
      <c r="U2201" s="29">
        <v>0</v>
      </c>
      <c r="V2201" s="383"/>
      <c r="W2201" s="741">
        <f t="shared" si="66"/>
        <v>1744.0875000000001</v>
      </c>
    </row>
    <row r="2202" spans="1:24" ht="15" customHeight="1">
      <c r="A2202" s="3">
        <v>38974</v>
      </c>
      <c r="B2202" s="4">
        <v>46225</v>
      </c>
      <c r="D2202" s="5">
        <v>2225</v>
      </c>
      <c r="E2202" s="5">
        <f t="shared" si="61"/>
        <v>21650</v>
      </c>
      <c r="F2202" s="5">
        <v>70100</v>
      </c>
      <c r="K2202" s="24">
        <v>1325</v>
      </c>
      <c r="L2202" s="6">
        <v>1311</v>
      </c>
      <c r="M2202" s="270">
        <f t="shared" si="67"/>
        <v>-14</v>
      </c>
      <c r="N2202" s="19"/>
      <c r="O2202" s="280"/>
      <c r="P2202" s="345">
        <v>13875</v>
      </c>
      <c r="Q2202" s="28">
        <v>0.12570000000000001</v>
      </c>
      <c r="U2202" s="29">
        <v>0</v>
      </c>
      <c r="V2202" s="383"/>
      <c r="W2202" s="741">
        <f t="shared" si="66"/>
        <v>1744.0875000000001</v>
      </c>
    </row>
    <row r="2203" spans="1:24" ht="15" customHeight="1">
      <c r="A2203" s="3">
        <v>38975</v>
      </c>
      <c r="B2203" s="4">
        <v>47750</v>
      </c>
      <c r="D2203" s="5">
        <v>2225</v>
      </c>
      <c r="E2203" s="5">
        <f t="shared" si="61"/>
        <v>21050</v>
      </c>
      <c r="F2203" s="5">
        <v>71025</v>
      </c>
      <c r="K2203" s="24">
        <v>1340</v>
      </c>
      <c r="L2203" s="6">
        <v>1315</v>
      </c>
      <c r="M2203" s="270">
        <f t="shared" si="67"/>
        <v>-25</v>
      </c>
      <c r="N2203" s="19"/>
      <c r="O2203" s="280"/>
      <c r="P2203" s="345">
        <v>13800</v>
      </c>
      <c r="Q2203" s="28">
        <v>0.1258</v>
      </c>
      <c r="U2203" s="29">
        <v>0</v>
      </c>
      <c r="V2203" s="383"/>
      <c r="W2203" s="741">
        <f t="shared" si="66"/>
        <v>1736.04</v>
      </c>
    </row>
    <row r="2204" spans="1:24" ht="15" customHeight="1">
      <c r="A2204" s="3">
        <v>38978</v>
      </c>
      <c r="B2204" s="4">
        <v>46750</v>
      </c>
      <c r="D2204" s="5">
        <v>2225</v>
      </c>
      <c r="E2204" s="5">
        <f t="shared" si="61"/>
        <v>21000</v>
      </c>
      <c r="F2204" s="5">
        <v>69975</v>
      </c>
      <c r="K2204" s="24">
        <v>1347</v>
      </c>
      <c r="L2204" s="6">
        <v>1325.5</v>
      </c>
      <c r="M2204" s="270">
        <f t="shared" si="67"/>
        <v>-21.5</v>
      </c>
      <c r="N2204" s="19"/>
      <c r="O2204" s="280"/>
      <c r="P2204" s="345">
        <v>13775</v>
      </c>
      <c r="Q2204" s="28">
        <v>0.1258</v>
      </c>
      <c r="U2204" s="29">
        <v>0</v>
      </c>
      <c r="V2204" s="383"/>
      <c r="W2204" s="741">
        <f t="shared" si="66"/>
        <v>1732.895</v>
      </c>
    </row>
    <row r="2205" spans="1:24" ht="15" customHeight="1">
      <c r="A2205" s="3">
        <v>38979</v>
      </c>
      <c r="B2205" s="4">
        <v>44350</v>
      </c>
      <c r="D2205" s="5">
        <v>2225</v>
      </c>
      <c r="E2205" s="5">
        <f t="shared" si="61"/>
        <v>20875</v>
      </c>
      <c r="F2205" s="5">
        <v>67450</v>
      </c>
      <c r="K2205" s="24">
        <v>1356</v>
      </c>
      <c r="L2205" s="6">
        <v>1340</v>
      </c>
      <c r="M2205" s="270">
        <f t="shared" si="67"/>
        <v>-16</v>
      </c>
      <c r="N2205" s="19"/>
      <c r="O2205" s="280"/>
      <c r="P2205" s="345">
        <v>13650</v>
      </c>
      <c r="Q2205" s="28">
        <v>0.12590000000000001</v>
      </c>
      <c r="U2205" s="29">
        <v>0</v>
      </c>
      <c r="V2205" s="383"/>
      <c r="W2205" s="741">
        <f t="shared" si="66"/>
        <v>1718.5350000000001</v>
      </c>
    </row>
    <row r="2206" spans="1:24" ht="15" customHeight="1">
      <c r="A2206" s="3">
        <v>38980</v>
      </c>
      <c r="B2206" s="4">
        <v>44250</v>
      </c>
      <c r="D2206" s="5">
        <v>2225</v>
      </c>
      <c r="E2206" s="5">
        <f t="shared" si="61"/>
        <v>20675</v>
      </c>
      <c r="F2206" s="5">
        <v>67150</v>
      </c>
      <c r="K2206" s="24">
        <v>1345</v>
      </c>
      <c r="L2206" s="6">
        <v>1325</v>
      </c>
      <c r="M2206" s="270">
        <f t="shared" si="67"/>
        <v>-20</v>
      </c>
      <c r="N2206" s="19"/>
      <c r="O2206" s="280"/>
      <c r="P2206" s="345">
        <v>13550</v>
      </c>
      <c r="Q2206" s="28">
        <v>0.126</v>
      </c>
      <c r="U2206" s="29">
        <v>0</v>
      </c>
      <c r="V2206" s="383"/>
      <c r="W2206" s="741">
        <f t="shared" si="66"/>
        <v>1707.3</v>
      </c>
    </row>
    <row r="2207" spans="1:24" ht="15" customHeight="1">
      <c r="A2207" s="3">
        <v>38981</v>
      </c>
      <c r="B2207" s="4">
        <v>43550</v>
      </c>
      <c r="D2207" s="5">
        <v>2225</v>
      </c>
      <c r="E2207" s="5">
        <f t="shared" si="61"/>
        <v>20425</v>
      </c>
      <c r="F2207" s="5">
        <v>66200</v>
      </c>
      <c r="K2207" s="24">
        <v>1389.5</v>
      </c>
      <c r="L2207" s="6">
        <v>1365</v>
      </c>
      <c r="M2207" s="270">
        <f t="shared" si="67"/>
        <v>-24.5</v>
      </c>
      <c r="N2207" s="19"/>
      <c r="O2207" s="280"/>
      <c r="P2207" s="345">
        <v>13500</v>
      </c>
      <c r="Q2207" s="28">
        <v>0.12609999999999999</v>
      </c>
      <c r="U2207" s="29">
        <v>0</v>
      </c>
      <c r="V2207" s="383"/>
      <c r="W2207" s="741">
        <f t="shared" si="66"/>
        <v>1702.35</v>
      </c>
    </row>
    <row r="2208" spans="1:24" ht="15" customHeight="1">
      <c r="A2208" s="3">
        <v>38982</v>
      </c>
      <c r="B2208" s="4">
        <v>43450</v>
      </c>
      <c r="D2208" s="5">
        <v>8200</v>
      </c>
      <c r="E2208" s="5">
        <f t="shared" si="61"/>
        <v>14325</v>
      </c>
      <c r="F2208" s="5">
        <v>65975</v>
      </c>
      <c r="K2208" s="24">
        <v>1413.5</v>
      </c>
      <c r="L2208" s="6">
        <v>1388</v>
      </c>
      <c r="M2208" s="270">
        <f t="shared" si="67"/>
        <v>-25.5</v>
      </c>
      <c r="N2208" s="19"/>
      <c r="O2208" s="280"/>
      <c r="P2208" s="345">
        <v>13225</v>
      </c>
      <c r="Q2208" s="28">
        <v>0.12620000000000001</v>
      </c>
      <c r="U2208" s="29">
        <v>0</v>
      </c>
      <c r="V2208" s="383"/>
      <c r="W2208" s="741">
        <f t="shared" si="66"/>
        <v>1668.9950000000001</v>
      </c>
    </row>
    <row r="2209" spans="1:24" ht="15" customHeight="1">
      <c r="A2209" s="3">
        <v>38985</v>
      </c>
      <c r="B2209" s="4">
        <v>43825</v>
      </c>
      <c r="D2209" s="5">
        <v>8475</v>
      </c>
      <c r="E2209" s="5">
        <f t="shared" si="61"/>
        <v>13950</v>
      </c>
      <c r="F2209" s="5">
        <v>66250</v>
      </c>
      <c r="K2209" s="24">
        <v>1360</v>
      </c>
      <c r="L2209" s="6">
        <v>1340</v>
      </c>
      <c r="M2209" s="270">
        <f t="shared" si="67"/>
        <v>-20</v>
      </c>
      <c r="N2209" s="19"/>
      <c r="O2209" s="280"/>
      <c r="P2209" s="345">
        <v>13050</v>
      </c>
      <c r="Q2209" s="28">
        <v>0.1263</v>
      </c>
      <c r="U2209" s="29">
        <v>0</v>
      </c>
      <c r="V2209" s="383"/>
      <c r="W2209" s="741">
        <f t="shared" si="66"/>
        <v>1648.2149999999999</v>
      </c>
    </row>
    <row r="2210" spans="1:24" ht="15" customHeight="1">
      <c r="A2210" s="3">
        <v>38986</v>
      </c>
      <c r="B2210" s="4">
        <v>42025</v>
      </c>
      <c r="D2210" s="5">
        <v>6525</v>
      </c>
      <c r="E2210" s="5">
        <f t="shared" si="61"/>
        <v>15750</v>
      </c>
      <c r="F2210" s="5">
        <v>64300</v>
      </c>
      <c r="K2210" s="24">
        <v>1384.5</v>
      </c>
      <c r="L2210" s="6">
        <v>1366</v>
      </c>
      <c r="M2210" s="270">
        <f t="shared" si="67"/>
        <v>-18.5</v>
      </c>
      <c r="N2210" s="19"/>
      <c r="O2210" s="280"/>
      <c r="P2210" s="345">
        <v>12900</v>
      </c>
      <c r="Q2210" s="28">
        <v>0.1263</v>
      </c>
      <c r="U2210" s="29">
        <v>0</v>
      </c>
      <c r="V2210" s="383"/>
      <c r="W2210" s="741">
        <f t="shared" si="66"/>
        <v>1629.27</v>
      </c>
    </row>
    <row r="2211" spans="1:24" ht="15" customHeight="1">
      <c r="A2211" s="3">
        <v>38987</v>
      </c>
      <c r="B2211" s="4">
        <v>40750</v>
      </c>
      <c r="D2211" s="5">
        <v>5150</v>
      </c>
      <c r="E2211" s="5">
        <f t="shared" si="61"/>
        <v>17025</v>
      </c>
      <c r="F2211" s="5">
        <v>62925</v>
      </c>
      <c r="K2211" s="24">
        <v>1405</v>
      </c>
      <c r="L2211" s="6">
        <v>1390</v>
      </c>
      <c r="M2211" s="270">
        <f t="shared" si="67"/>
        <v>-15</v>
      </c>
      <c r="N2211" s="19"/>
      <c r="O2211" s="280"/>
      <c r="P2211" s="345">
        <v>12650</v>
      </c>
      <c r="Q2211" s="28">
        <v>0.1263</v>
      </c>
      <c r="U2211" s="29">
        <v>0</v>
      </c>
      <c r="V2211" s="383"/>
      <c r="W2211" s="741">
        <f t="shared" si="66"/>
        <v>1597.6949999999999</v>
      </c>
    </row>
    <row r="2212" spans="1:24" ht="15" customHeight="1">
      <c r="A2212" s="3">
        <v>38988</v>
      </c>
      <c r="B2212" s="4">
        <v>40525</v>
      </c>
      <c r="D2212" s="5">
        <v>4725</v>
      </c>
      <c r="E2212" s="5">
        <f t="shared" si="61"/>
        <v>17250</v>
      </c>
      <c r="F2212" s="5">
        <v>62500</v>
      </c>
      <c r="K2212" s="24">
        <v>1415</v>
      </c>
      <c r="L2212" s="6">
        <v>1390</v>
      </c>
      <c r="M2212" s="270">
        <f t="shared" si="67"/>
        <v>-25</v>
      </c>
      <c r="N2212" s="19"/>
      <c r="O2212" s="280"/>
      <c r="P2212" s="345">
        <v>12475</v>
      </c>
      <c r="Q2212" s="28">
        <v>0.1265</v>
      </c>
      <c r="U2212" s="29">
        <v>0</v>
      </c>
      <c r="V2212" s="383"/>
      <c r="W2212" s="741">
        <f t="shared" si="66"/>
        <v>1578.0875000000001</v>
      </c>
    </row>
    <row r="2213" spans="1:24" ht="15" customHeight="1" thickBot="1">
      <c r="A2213" s="12">
        <v>38989</v>
      </c>
      <c r="B2213" s="13">
        <v>39275</v>
      </c>
      <c r="C2213" s="13"/>
      <c r="D2213" s="14">
        <v>3050</v>
      </c>
      <c r="E2213" s="14">
        <f t="shared" si="61"/>
        <v>18400</v>
      </c>
      <c r="F2213" s="14">
        <v>60725</v>
      </c>
      <c r="G2213" s="14"/>
      <c r="H2213" s="14"/>
      <c r="I2213" s="14"/>
      <c r="J2213" s="264"/>
      <c r="K2213" s="25">
        <v>1425</v>
      </c>
      <c r="L2213" s="15">
        <v>1400</v>
      </c>
      <c r="M2213" s="271">
        <f t="shared" si="67"/>
        <v>-25</v>
      </c>
      <c r="N2213" s="20">
        <f>AVERAGE(K2193:K2213)</f>
        <v>1342.3809523809523</v>
      </c>
      <c r="O2213" s="281"/>
      <c r="P2213" s="346">
        <v>12700</v>
      </c>
      <c r="Q2213" s="30">
        <v>0.12659999999999999</v>
      </c>
      <c r="R2213" s="30"/>
      <c r="S2213" s="30"/>
      <c r="T2213" s="30"/>
      <c r="U2213" s="31">
        <v>0</v>
      </c>
      <c r="V2213" s="740">
        <f>AVERAGE(P2193:P2213)</f>
        <v>13289.285714285714</v>
      </c>
      <c r="W2213" s="741">
        <f t="shared" si="66"/>
        <v>1607.82</v>
      </c>
      <c r="X2213" s="33"/>
    </row>
    <row r="2214" spans="1:24" ht="15" customHeight="1">
      <c r="A2214" s="3">
        <v>38992</v>
      </c>
      <c r="B2214" s="4">
        <v>38825</v>
      </c>
      <c r="D2214" s="5">
        <v>2375</v>
      </c>
      <c r="E2214" s="5">
        <f t="shared" si="61"/>
        <v>18850</v>
      </c>
      <c r="F2214" s="5">
        <v>60050</v>
      </c>
      <c r="K2214" s="24">
        <v>1411</v>
      </c>
      <c r="L2214" s="6">
        <v>1392</v>
      </c>
      <c r="M2214" s="270">
        <f t="shared" si="67"/>
        <v>-19</v>
      </c>
      <c r="N2214" s="19"/>
      <c r="O2214" s="280"/>
      <c r="P2214" s="347">
        <v>13000</v>
      </c>
      <c r="Q2214" s="28">
        <v>0.12640000000000001</v>
      </c>
      <c r="U2214" s="29">
        <v>0</v>
      </c>
      <c r="W2214" s="741">
        <f t="shared" si="66"/>
        <v>1643.2000000000003</v>
      </c>
    </row>
    <row r="2215" spans="1:24" ht="15" customHeight="1">
      <c r="A2215" s="3">
        <v>38993</v>
      </c>
      <c r="B2215" s="4">
        <v>36600</v>
      </c>
      <c r="D2215" s="5">
        <v>9750</v>
      </c>
      <c r="E2215" s="5">
        <f t="shared" si="61"/>
        <v>11075</v>
      </c>
      <c r="F2215" s="5">
        <v>57425</v>
      </c>
      <c r="K2215" s="24">
        <v>1414</v>
      </c>
      <c r="L2215" s="6">
        <v>1390</v>
      </c>
      <c r="M2215" s="270">
        <f t="shared" si="67"/>
        <v>-24</v>
      </c>
      <c r="N2215" s="19"/>
      <c r="O2215" s="280"/>
      <c r="P2215" s="347">
        <v>13000</v>
      </c>
      <c r="Q2215" s="28">
        <v>0.12640000000000001</v>
      </c>
      <c r="U2215" s="29">
        <v>0</v>
      </c>
      <c r="W2215" s="741">
        <f t="shared" si="66"/>
        <v>1643.2000000000003</v>
      </c>
    </row>
    <row r="2216" spans="1:24" ht="15" customHeight="1">
      <c r="A2216" s="3">
        <v>38994</v>
      </c>
      <c r="B2216" s="4">
        <v>36225</v>
      </c>
      <c r="D2216" s="5">
        <v>7275</v>
      </c>
      <c r="E2216" s="5">
        <f t="shared" si="61"/>
        <v>11450</v>
      </c>
      <c r="F2216" s="5">
        <v>54950</v>
      </c>
      <c r="K2216" s="24">
        <v>1430</v>
      </c>
      <c r="L2216" s="6">
        <v>1398</v>
      </c>
      <c r="M2216" s="270">
        <f t="shared" si="67"/>
        <v>-32</v>
      </c>
      <c r="N2216" s="19"/>
      <c r="O2216" s="280"/>
      <c r="P2216" s="347">
        <v>13000</v>
      </c>
      <c r="Q2216" s="28">
        <v>0.12640000000000001</v>
      </c>
      <c r="U2216" s="29">
        <v>0</v>
      </c>
      <c r="W2216" s="741">
        <f t="shared" si="66"/>
        <v>1643.2000000000003</v>
      </c>
    </row>
    <row r="2217" spans="1:24" ht="15" customHeight="1">
      <c r="A2217" s="3">
        <v>38995</v>
      </c>
      <c r="B2217" s="4">
        <v>34750</v>
      </c>
      <c r="D2217" s="5">
        <v>3425</v>
      </c>
      <c r="E2217" s="5">
        <f t="shared" si="61"/>
        <v>12925</v>
      </c>
      <c r="F2217" s="5">
        <v>51100</v>
      </c>
      <c r="K2217" s="24">
        <v>1459</v>
      </c>
      <c r="L2217" s="6">
        <v>1401</v>
      </c>
      <c r="M2217" s="270">
        <f t="shared" si="67"/>
        <v>-58</v>
      </c>
      <c r="N2217" s="19"/>
      <c r="O2217" s="280"/>
      <c r="P2217" s="347">
        <v>13000</v>
      </c>
      <c r="Q2217" s="28">
        <v>0.12640000000000001</v>
      </c>
      <c r="U2217" s="29">
        <v>0</v>
      </c>
      <c r="W2217" s="741">
        <f t="shared" si="66"/>
        <v>1643.2000000000003</v>
      </c>
    </row>
    <row r="2218" spans="1:24" ht="15" customHeight="1">
      <c r="A2218" s="3">
        <v>38996</v>
      </c>
      <c r="B2218" s="4">
        <v>34750</v>
      </c>
      <c r="D2218" s="5">
        <v>3425</v>
      </c>
      <c r="E2218" s="5">
        <f t="shared" si="61"/>
        <v>12925</v>
      </c>
      <c r="F2218" s="5">
        <v>51100</v>
      </c>
      <c r="K2218" s="24">
        <v>1475.5</v>
      </c>
      <c r="L2218" s="6">
        <v>1415</v>
      </c>
      <c r="M2218" s="270">
        <f t="shared" si="67"/>
        <v>-60.5</v>
      </c>
      <c r="N2218" s="19"/>
      <c r="O2218" s="280"/>
      <c r="P2218" s="347">
        <v>13000</v>
      </c>
      <c r="Q2218" s="28">
        <v>0.12640000000000001</v>
      </c>
      <c r="U2218" s="29">
        <v>0</v>
      </c>
      <c r="W2218" s="741">
        <f t="shared" si="66"/>
        <v>1643.2000000000003</v>
      </c>
    </row>
    <row r="2219" spans="1:24" ht="15" customHeight="1">
      <c r="A2219" s="3">
        <v>38999</v>
      </c>
      <c r="B2219" s="4">
        <v>33825</v>
      </c>
      <c r="D2219" s="5">
        <v>12300</v>
      </c>
      <c r="E2219" s="5">
        <f t="shared" si="61"/>
        <v>3850</v>
      </c>
      <c r="F2219" s="5">
        <v>49975</v>
      </c>
      <c r="K2219" s="24">
        <v>1485.5</v>
      </c>
      <c r="L2219" s="6">
        <v>1430</v>
      </c>
      <c r="M2219" s="270">
        <f t="shared" si="67"/>
        <v>-55.5</v>
      </c>
      <c r="N2219" s="19"/>
      <c r="O2219" s="280"/>
      <c r="P2219" s="345">
        <v>13000</v>
      </c>
      <c r="Q2219" s="28">
        <v>0.12640000000000001</v>
      </c>
      <c r="U2219" s="29">
        <v>0</v>
      </c>
      <c r="W2219" s="741">
        <f t="shared" si="66"/>
        <v>1643.2000000000003</v>
      </c>
    </row>
    <row r="2220" spans="1:24" ht="15" customHeight="1">
      <c r="A2220" s="3">
        <v>39000</v>
      </c>
      <c r="B2220" s="4">
        <v>32100</v>
      </c>
      <c r="D2220" s="5">
        <v>10425</v>
      </c>
      <c r="E2220" s="5">
        <f t="shared" si="61"/>
        <v>5575</v>
      </c>
      <c r="F2220" s="5">
        <v>48100</v>
      </c>
      <c r="K2220" s="24">
        <v>1482</v>
      </c>
      <c r="L2220" s="6">
        <v>1425</v>
      </c>
      <c r="M2220" s="270">
        <f t="shared" si="67"/>
        <v>-57</v>
      </c>
      <c r="N2220" s="19"/>
      <c r="O2220" s="280"/>
      <c r="P2220" s="345">
        <v>13200</v>
      </c>
      <c r="Q2220" s="28">
        <v>0.12640000000000001</v>
      </c>
      <c r="U2220" s="29">
        <v>0</v>
      </c>
      <c r="W2220" s="741">
        <f t="shared" si="66"/>
        <v>1668.4800000000002</v>
      </c>
    </row>
    <row r="2221" spans="1:24" ht="15" customHeight="1">
      <c r="A2221" s="3">
        <v>39001</v>
      </c>
      <c r="B2221" s="4">
        <v>32000</v>
      </c>
      <c r="D2221" s="5">
        <v>10275</v>
      </c>
      <c r="E2221" s="5">
        <f t="shared" si="61"/>
        <v>5675</v>
      </c>
      <c r="F2221" s="5">
        <v>47950</v>
      </c>
      <c r="K2221" s="24">
        <v>1510</v>
      </c>
      <c r="L2221" s="6">
        <v>1445</v>
      </c>
      <c r="M2221" s="270">
        <f t="shared" si="67"/>
        <v>-65</v>
      </c>
      <c r="N2221" s="19"/>
      <c r="O2221" s="280"/>
      <c r="P2221" s="345">
        <v>13350</v>
      </c>
      <c r="Q2221" s="28">
        <v>0.12640000000000001</v>
      </c>
      <c r="U2221" s="29">
        <v>0</v>
      </c>
      <c r="W2221" s="741">
        <f t="shared" ref="W2221:W2284" si="68">(P2221*Q2221)*(1+U2221)</f>
        <v>1687.44</v>
      </c>
    </row>
    <row r="2222" spans="1:24" ht="15" customHeight="1">
      <c r="A2222" s="3">
        <v>39002</v>
      </c>
      <c r="B2222" s="4">
        <v>31475</v>
      </c>
      <c r="D2222" s="5">
        <v>9675</v>
      </c>
      <c r="E2222" s="5">
        <f t="shared" si="61"/>
        <v>6200</v>
      </c>
      <c r="F2222" s="5">
        <v>47350</v>
      </c>
      <c r="K2222" s="24">
        <v>1524</v>
      </c>
      <c r="L2222" s="6">
        <v>1460</v>
      </c>
      <c r="M2222" s="270">
        <f t="shared" si="67"/>
        <v>-64</v>
      </c>
      <c r="N2222" s="19"/>
      <c r="O2222" s="280"/>
      <c r="P2222" s="345">
        <v>13550</v>
      </c>
      <c r="Q2222" s="28">
        <v>0.1263</v>
      </c>
      <c r="U2222" s="29">
        <v>0</v>
      </c>
      <c r="W2222" s="741">
        <f t="shared" si="68"/>
        <v>1711.365</v>
      </c>
    </row>
    <row r="2223" spans="1:24" ht="15" customHeight="1">
      <c r="A2223" s="3">
        <v>39003</v>
      </c>
      <c r="B2223" s="4">
        <v>31675</v>
      </c>
      <c r="D2223" s="5">
        <v>9700</v>
      </c>
      <c r="E2223" s="5">
        <f t="shared" si="61"/>
        <v>6000</v>
      </c>
      <c r="F2223" s="5">
        <v>47375</v>
      </c>
      <c r="K2223" s="24">
        <v>1594</v>
      </c>
      <c r="L2223" s="6">
        <v>1508</v>
      </c>
      <c r="M2223" s="270">
        <f t="shared" si="67"/>
        <v>-86</v>
      </c>
      <c r="N2223" s="19"/>
      <c r="O2223" s="280"/>
      <c r="P2223" s="345">
        <v>14000</v>
      </c>
      <c r="Q2223" s="28">
        <v>0.1263</v>
      </c>
      <c r="U2223" s="29">
        <v>0</v>
      </c>
      <c r="W2223" s="741">
        <f t="shared" si="68"/>
        <v>1768.2</v>
      </c>
    </row>
    <row r="2224" spans="1:24" ht="15" customHeight="1">
      <c r="A2224" s="3">
        <v>39006</v>
      </c>
      <c r="B2224" s="4">
        <v>30950</v>
      </c>
      <c r="D2224" s="5">
        <v>10125</v>
      </c>
      <c r="E2224" s="5">
        <f t="shared" si="61"/>
        <v>6100</v>
      </c>
      <c r="F2224" s="5">
        <v>47175</v>
      </c>
      <c r="K2224" s="24">
        <v>1550</v>
      </c>
      <c r="L2224" s="6">
        <v>1495</v>
      </c>
      <c r="M2224" s="270">
        <f t="shared" si="67"/>
        <v>-55</v>
      </c>
      <c r="N2224" s="19"/>
      <c r="O2224" s="280"/>
      <c r="P2224" s="345">
        <v>14300</v>
      </c>
      <c r="Q2224" s="28">
        <v>0.12640000000000001</v>
      </c>
      <c r="U2224" s="29">
        <v>0</v>
      </c>
      <c r="W2224" s="741">
        <f t="shared" si="68"/>
        <v>1807.5200000000002</v>
      </c>
    </row>
    <row r="2225" spans="1:24" ht="15" customHeight="1">
      <c r="A2225" s="3">
        <v>39007</v>
      </c>
      <c r="B2225" s="4">
        <v>30825</v>
      </c>
      <c r="D2225" s="5">
        <v>10325</v>
      </c>
      <c r="E2225" s="5">
        <f t="shared" si="61"/>
        <v>6000</v>
      </c>
      <c r="F2225" s="5">
        <v>47150</v>
      </c>
      <c r="K2225" s="24">
        <v>1580</v>
      </c>
      <c r="L2225" s="6">
        <v>1515</v>
      </c>
      <c r="M2225" s="270">
        <f t="shared" si="67"/>
        <v>-65</v>
      </c>
      <c r="N2225" s="19"/>
      <c r="O2225" s="280"/>
      <c r="P2225" s="345">
        <v>14300</v>
      </c>
      <c r="Q2225" s="28">
        <v>0.1263</v>
      </c>
      <c r="U2225" s="29">
        <v>0</v>
      </c>
      <c r="W2225" s="741">
        <f t="shared" si="68"/>
        <v>1806.09</v>
      </c>
    </row>
    <row r="2226" spans="1:24" ht="15" customHeight="1">
      <c r="A2226" s="3">
        <v>39008</v>
      </c>
      <c r="B2226" s="4">
        <v>31425</v>
      </c>
      <c r="D2226" s="5">
        <v>10375</v>
      </c>
      <c r="E2226" s="5">
        <f t="shared" si="61"/>
        <v>5400</v>
      </c>
      <c r="F2226" s="5">
        <v>47200</v>
      </c>
      <c r="K2226" s="24">
        <v>1535</v>
      </c>
      <c r="L2226" s="6">
        <v>1483</v>
      </c>
      <c r="M2226" s="270">
        <f t="shared" si="67"/>
        <v>-52</v>
      </c>
      <c r="N2226" s="19"/>
      <c r="O2226" s="280"/>
      <c r="P2226" s="345">
        <v>14300</v>
      </c>
      <c r="Q2226" s="28">
        <v>0.12640000000000001</v>
      </c>
      <c r="U2226" s="29">
        <v>0</v>
      </c>
      <c r="W2226" s="741">
        <f t="shared" si="68"/>
        <v>1807.5200000000002</v>
      </c>
    </row>
    <row r="2227" spans="1:24" ht="15" customHeight="1">
      <c r="A2227" s="3">
        <v>39009</v>
      </c>
      <c r="B2227" s="4">
        <v>31475</v>
      </c>
      <c r="D2227" s="5">
        <v>10500</v>
      </c>
      <c r="E2227" s="5">
        <f t="shared" si="61"/>
        <v>5300</v>
      </c>
      <c r="F2227" s="5">
        <v>47275</v>
      </c>
      <c r="K2227" s="24">
        <v>1535</v>
      </c>
      <c r="L2227" s="6">
        <v>1502</v>
      </c>
      <c r="M2227" s="270">
        <f t="shared" si="67"/>
        <v>-33</v>
      </c>
      <c r="N2227" s="19"/>
      <c r="O2227" s="280"/>
      <c r="P2227" s="345">
        <v>14250</v>
      </c>
      <c r="Q2227" s="28">
        <v>0.126</v>
      </c>
      <c r="U2227" s="29">
        <v>0</v>
      </c>
      <c r="W2227" s="741">
        <f t="shared" si="68"/>
        <v>1795.5</v>
      </c>
    </row>
    <row r="2228" spans="1:24" ht="15" customHeight="1">
      <c r="A2228" s="3">
        <v>39010</v>
      </c>
      <c r="B2228" s="4">
        <v>31925</v>
      </c>
      <c r="D2228" s="5">
        <v>10925</v>
      </c>
      <c r="E2228" s="5">
        <f t="shared" si="61"/>
        <v>4850</v>
      </c>
      <c r="F2228" s="5">
        <v>47700</v>
      </c>
      <c r="K2228" s="24">
        <v>1524</v>
      </c>
      <c r="L2228" s="6">
        <v>1499</v>
      </c>
      <c r="M2228" s="270">
        <f t="shared" si="67"/>
        <v>-25</v>
      </c>
      <c r="N2228" s="19"/>
      <c r="O2228" s="280"/>
      <c r="P2228" s="345">
        <v>14150</v>
      </c>
      <c r="Q2228" s="28">
        <v>0.12640000000000001</v>
      </c>
      <c r="U2228" s="29">
        <v>0</v>
      </c>
      <c r="W2228" s="741">
        <f t="shared" si="68"/>
        <v>1788.5600000000002</v>
      </c>
    </row>
    <row r="2229" spans="1:24" ht="15" customHeight="1">
      <c r="A2229" s="3">
        <v>39013</v>
      </c>
      <c r="B2229" s="4">
        <v>31850</v>
      </c>
      <c r="D2229" s="5">
        <v>10075</v>
      </c>
      <c r="E2229" s="5">
        <f t="shared" si="61"/>
        <v>4925</v>
      </c>
      <c r="F2229" s="5">
        <v>46850</v>
      </c>
      <c r="K2229" s="24">
        <v>1532</v>
      </c>
      <c r="L2229" s="6">
        <v>1515</v>
      </c>
      <c r="M2229" s="270">
        <f t="shared" si="67"/>
        <v>-17</v>
      </c>
      <c r="N2229" s="19"/>
      <c r="O2229" s="280"/>
      <c r="P2229" s="345">
        <v>14000</v>
      </c>
      <c r="Q2229" s="28">
        <v>0.12659999999999999</v>
      </c>
      <c r="U2229" s="29">
        <v>0</v>
      </c>
      <c r="W2229" s="741">
        <f t="shared" si="68"/>
        <v>1772.3999999999999</v>
      </c>
    </row>
    <row r="2230" spans="1:24" ht="15" customHeight="1">
      <c r="A2230" s="3">
        <v>39014</v>
      </c>
      <c r="B2230" s="4">
        <v>31850</v>
      </c>
      <c r="D2230" s="5">
        <v>9350</v>
      </c>
      <c r="E2230" s="5">
        <f t="shared" si="61"/>
        <v>4925</v>
      </c>
      <c r="F2230" s="5">
        <v>46125</v>
      </c>
      <c r="K2230" s="24">
        <v>1530</v>
      </c>
      <c r="L2230" s="6">
        <v>1515</v>
      </c>
      <c r="M2230" s="270">
        <f t="shared" si="67"/>
        <v>-15</v>
      </c>
      <c r="N2230" s="19"/>
      <c r="O2230" s="280"/>
      <c r="P2230" s="345">
        <v>13875</v>
      </c>
      <c r="Q2230" s="28">
        <v>0.12659999999999999</v>
      </c>
      <c r="U2230" s="29">
        <v>0</v>
      </c>
      <c r="W2230" s="741">
        <f t="shared" si="68"/>
        <v>1756.5749999999998</v>
      </c>
    </row>
    <row r="2231" spans="1:24" ht="15" customHeight="1">
      <c r="A2231" s="3">
        <v>39015</v>
      </c>
      <c r="B2231" s="4">
        <v>31850</v>
      </c>
      <c r="D2231" s="5">
        <v>8550</v>
      </c>
      <c r="E2231" s="5">
        <f t="shared" si="61"/>
        <v>4925</v>
      </c>
      <c r="F2231" s="5">
        <v>45325</v>
      </c>
      <c r="K2231" s="24">
        <v>1590.5</v>
      </c>
      <c r="L2231" s="6">
        <v>1570</v>
      </c>
      <c r="M2231" s="270">
        <f t="shared" ref="M2231:M2294" si="69">L2231-K2231</f>
        <v>-20.5</v>
      </c>
      <c r="N2231" s="19"/>
      <c r="O2231" s="280"/>
      <c r="P2231" s="345">
        <v>13800</v>
      </c>
      <c r="Q2231" s="28">
        <v>0.1265</v>
      </c>
      <c r="U2231" s="29">
        <v>0</v>
      </c>
      <c r="W2231" s="741">
        <f t="shared" si="68"/>
        <v>1745.7</v>
      </c>
    </row>
    <row r="2232" spans="1:24" ht="15" customHeight="1">
      <c r="A2232" s="3">
        <v>39016</v>
      </c>
      <c r="B2232" s="4">
        <v>31700</v>
      </c>
      <c r="D2232" s="5">
        <v>8175</v>
      </c>
      <c r="E2232" s="5">
        <f t="shared" si="61"/>
        <v>5075</v>
      </c>
      <c r="F2232" s="5">
        <v>44950</v>
      </c>
      <c r="K2232" s="24">
        <v>1588</v>
      </c>
      <c r="L2232" s="6">
        <v>1570</v>
      </c>
      <c r="M2232" s="270">
        <f t="shared" si="69"/>
        <v>-18</v>
      </c>
      <c r="N2232" s="19"/>
      <c r="O2232" s="280"/>
      <c r="P2232" s="345">
        <v>13700</v>
      </c>
      <c r="Q2232" s="28">
        <v>0.12659999999999999</v>
      </c>
      <c r="U2232" s="29">
        <v>0</v>
      </c>
      <c r="W2232" s="741">
        <f t="shared" si="68"/>
        <v>1734.4199999999998</v>
      </c>
    </row>
    <row r="2233" spans="1:24" ht="15" customHeight="1">
      <c r="A2233" s="3">
        <v>39017</v>
      </c>
      <c r="B2233" s="4">
        <v>32175</v>
      </c>
      <c r="D2233" s="5">
        <v>8750</v>
      </c>
      <c r="E2233" s="5">
        <f t="shared" si="61"/>
        <v>4500</v>
      </c>
      <c r="F2233" s="5">
        <v>45425</v>
      </c>
      <c r="K2233" s="24">
        <v>1650</v>
      </c>
      <c r="L2233" s="6">
        <v>1620</v>
      </c>
      <c r="M2233" s="270">
        <f t="shared" si="69"/>
        <v>-30</v>
      </c>
      <c r="N2233" s="19"/>
      <c r="O2233" s="280"/>
      <c r="P2233" s="345">
        <v>13875</v>
      </c>
      <c r="Q2233" s="28">
        <v>0.12670000000000001</v>
      </c>
      <c r="U2233" s="29">
        <v>0</v>
      </c>
      <c r="W2233" s="741">
        <f t="shared" si="68"/>
        <v>1757.9625000000001</v>
      </c>
    </row>
    <row r="2234" spans="1:24" ht="15" customHeight="1">
      <c r="A2234" s="3">
        <v>39020</v>
      </c>
      <c r="B2234" s="4">
        <v>31400</v>
      </c>
      <c r="D2234" s="5">
        <v>8150</v>
      </c>
      <c r="E2234" s="5">
        <f t="shared" si="61"/>
        <v>5175</v>
      </c>
      <c r="F2234" s="5">
        <v>44725</v>
      </c>
      <c r="K2234" s="24">
        <v>1630</v>
      </c>
      <c r="L2234" s="6">
        <v>1589</v>
      </c>
      <c r="M2234" s="270">
        <f t="shared" si="69"/>
        <v>-41</v>
      </c>
      <c r="N2234" s="19"/>
      <c r="O2234" s="280"/>
      <c r="P2234" s="345">
        <v>14350</v>
      </c>
      <c r="Q2234" s="28">
        <v>0.1268</v>
      </c>
      <c r="U2234" s="29">
        <v>0</v>
      </c>
      <c r="W2234" s="741">
        <f t="shared" si="68"/>
        <v>1819.58</v>
      </c>
    </row>
    <row r="2235" spans="1:24" ht="15" customHeight="1" thickBot="1">
      <c r="A2235" s="12">
        <v>39021</v>
      </c>
      <c r="B2235" s="13">
        <v>31925</v>
      </c>
      <c r="C2235" s="13"/>
      <c r="D2235" s="14">
        <v>8625</v>
      </c>
      <c r="E2235" s="14">
        <f t="shared" si="61"/>
        <v>4650</v>
      </c>
      <c r="F2235" s="14">
        <v>45200</v>
      </c>
      <c r="G2235" s="14"/>
      <c r="H2235" s="14"/>
      <c r="I2235" s="14"/>
      <c r="J2235" s="264"/>
      <c r="K2235" s="25">
        <v>1655.5</v>
      </c>
      <c r="L2235" s="15">
        <v>1625</v>
      </c>
      <c r="M2235" s="271">
        <f t="shared" si="69"/>
        <v>-30.5</v>
      </c>
      <c r="N2235" s="20">
        <f>AVERAGE(K2214:K2235)</f>
        <v>1531.1363636363637</v>
      </c>
      <c r="O2235" s="281"/>
      <c r="P2235" s="346">
        <v>14900</v>
      </c>
      <c r="Q2235" s="30">
        <v>0.12690000000000001</v>
      </c>
      <c r="R2235" s="30"/>
      <c r="S2235" s="30"/>
      <c r="T2235" s="30"/>
      <c r="U2235" s="31">
        <v>0</v>
      </c>
      <c r="V2235" s="46">
        <f>AVERAGE(P2219:P2235)</f>
        <v>13935.294117647059</v>
      </c>
      <c r="W2235" s="741">
        <f t="shared" si="68"/>
        <v>1890.8100000000002</v>
      </c>
      <c r="X2235" s="33"/>
    </row>
    <row r="2236" spans="1:24" ht="15" customHeight="1">
      <c r="A2236" s="3">
        <v>39022</v>
      </c>
      <c r="B2236" s="4">
        <v>32550</v>
      </c>
      <c r="D2236" s="5">
        <v>9725</v>
      </c>
      <c r="E2236" s="5">
        <f t="shared" si="61"/>
        <v>3775</v>
      </c>
      <c r="F2236" s="5">
        <v>46050</v>
      </c>
      <c r="K2236" s="24">
        <v>1675</v>
      </c>
      <c r="L2236" s="6">
        <v>1655</v>
      </c>
      <c r="M2236" s="270">
        <f t="shared" si="69"/>
        <v>-20</v>
      </c>
      <c r="N2236" s="21"/>
      <c r="O2236" s="283"/>
      <c r="P2236" s="345">
        <v>14928</v>
      </c>
      <c r="Q2236" s="28">
        <v>0.12690000000000001</v>
      </c>
      <c r="U2236" s="29">
        <v>0</v>
      </c>
      <c r="W2236" s="741">
        <f t="shared" si="68"/>
        <v>1894.3632000000002</v>
      </c>
    </row>
    <row r="2237" spans="1:24" ht="15" customHeight="1">
      <c r="A2237" s="3">
        <v>39023</v>
      </c>
      <c r="B2237" s="4">
        <v>33450</v>
      </c>
      <c r="D2237" s="5">
        <v>10825</v>
      </c>
      <c r="E2237" s="5">
        <f t="shared" si="61"/>
        <v>2775</v>
      </c>
      <c r="F2237" s="5">
        <v>47050</v>
      </c>
      <c r="K2237" s="24">
        <v>1685</v>
      </c>
      <c r="L2237" s="6">
        <v>1652</v>
      </c>
      <c r="M2237" s="270">
        <f t="shared" si="69"/>
        <v>-33</v>
      </c>
      <c r="N2237" s="19"/>
      <c r="O2237" s="280"/>
      <c r="P2237" s="345">
        <v>15075</v>
      </c>
      <c r="Q2237" s="28">
        <v>0.127</v>
      </c>
      <c r="U2237" s="29">
        <v>0</v>
      </c>
      <c r="W2237" s="741">
        <f t="shared" si="68"/>
        <v>1914.5250000000001</v>
      </c>
    </row>
    <row r="2238" spans="1:24" ht="15" customHeight="1">
      <c r="A2238" s="3">
        <v>39024</v>
      </c>
      <c r="B2238" s="4">
        <v>34000</v>
      </c>
      <c r="D2238" s="5">
        <v>11675</v>
      </c>
      <c r="E2238" s="5">
        <f t="shared" si="61"/>
        <v>1925</v>
      </c>
      <c r="F2238" s="5">
        <v>47600</v>
      </c>
      <c r="K2238" s="24">
        <v>1710</v>
      </c>
      <c r="L2238" s="6">
        <v>1681</v>
      </c>
      <c r="M2238" s="270">
        <f t="shared" si="69"/>
        <v>-29</v>
      </c>
      <c r="N2238" s="19"/>
      <c r="O2238" s="280"/>
      <c r="P2238" s="345">
        <v>15075</v>
      </c>
      <c r="Q2238" s="28">
        <v>0.127</v>
      </c>
      <c r="U2238" s="29">
        <v>0</v>
      </c>
      <c r="W2238" s="741">
        <f t="shared" si="68"/>
        <v>1914.5250000000001</v>
      </c>
      <c r="X2238" s="33"/>
    </row>
    <row r="2239" spans="1:24" ht="15" customHeight="1">
      <c r="A2239" s="3">
        <v>39027</v>
      </c>
      <c r="B2239" s="4">
        <v>34475</v>
      </c>
      <c r="D2239" s="5">
        <v>11825</v>
      </c>
      <c r="E2239" s="5">
        <f t="shared" ref="E2239:E2303" si="70">F2239-(B2239+D2239)</f>
        <v>1675</v>
      </c>
      <c r="F2239" s="5">
        <v>47975</v>
      </c>
      <c r="K2239" s="24">
        <v>1724.5</v>
      </c>
      <c r="L2239" s="6">
        <v>1705</v>
      </c>
      <c r="M2239" s="270">
        <f t="shared" si="69"/>
        <v>-19.5</v>
      </c>
      <c r="N2239" s="19"/>
      <c r="O2239" s="280"/>
      <c r="P2239" s="345">
        <v>15075</v>
      </c>
      <c r="Q2239" s="28">
        <v>0.12690000000000001</v>
      </c>
      <c r="U2239" s="29">
        <v>0</v>
      </c>
      <c r="W2239" s="741">
        <f t="shared" si="68"/>
        <v>1913.0175000000002</v>
      </c>
      <c r="X2239" s="33"/>
    </row>
    <row r="2240" spans="1:24" ht="15" customHeight="1">
      <c r="A2240" s="3">
        <v>39028</v>
      </c>
      <c r="B2240" s="4">
        <v>33700</v>
      </c>
      <c r="D2240" s="5">
        <v>10950</v>
      </c>
      <c r="E2240" s="5">
        <f t="shared" si="70"/>
        <v>2400</v>
      </c>
      <c r="F2240" s="5">
        <v>47050</v>
      </c>
      <c r="K2240" s="24">
        <v>1765</v>
      </c>
      <c r="L2240" s="6">
        <v>1740</v>
      </c>
      <c r="M2240" s="270">
        <f t="shared" si="69"/>
        <v>-25</v>
      </c>
      <c r="N2240" s="19"/>
      <c r="O2240" s="280"/>
      <c r="P2240" s="345">
        <v>14950</v>
      </c>
      <c r="Q2240" s="28">
        <v>0.12690000000000001</v>
      </c>
      <c r="U2240" s="29">
        <v>0</v>
      </c>
      <c r="W2240" s="741">
        <f t="shared" si="68"/>
        <v>1897.1550000000002</v>
      </c>
      <c r="X2240" s="33"/>
    </row>
    <row r="2241" spans="1:23" ht="15" customHeight="1">
      <c r="A2241" s="3">
        <v>39029</v>
      </c>
      <c r="B2241" s="4">
        <v>33025</v>
      </c>
      <c r="D2241" s="5">
        <v>10275</v>
      </c>
      <c r="E2241" s="5">
        <f t="shared" si="70"/>
        <v>3025</v>
      </c>
      <c r="F2241" s="5">
        <v>46325</v>
      </c>
      <c r="K2241" s="24">
        <v>1764</v>
      </c>
      <c r="L2241" s="6">
        <v>1745</v>
      </c>
      <c r="M2241" s="270">
        <f t="shared" si="69"/>
        <v>-19</v>
      </c>
      <c r="N2241" s="19"/>
      <c r="O2241" s="280"/>
      <c r="P2241" s="345">
        <v>15000</v>
      </c>
      <c r="Q2241" s="28">
        <v>0.127</v>
      </c>
      <c r="U2241" s="29">
        <v>0</v>
      </c>
      <c r="W2241" s="741">
        <f t="shared" si="68"/>
        <v>1905</v>
      </c>
    </row>
    <row r="2242" spans="1:23" ht="15" customHeight="1">
      <c r="A2242" s="3">
        <v>39030</v>
      </c>
      <c r="B2242" s="4">
        <v>33225</v>
      </c>
      <c r="D2242" s="5">
        <v>10400</v>
      </c>
      <c r="E2242" s="5">
        <f t="shared" si="70"/>
        <v>2825</v>
      </c>
      <c r="F2242" s="5">
        <v>46450</v>
      </c>
      <c r="K2242" s="24">
        <v>1742</v>
      </c>
      <c r="L2242" s="6">
        <v>1731</v>
      </c>
      <c r="M2242" s="270">
        <f t="shared" si="69"/>
        <v>-11</v>
      </c>
      <c r="N2242" s="19"/>
      <c r="O2242" s="280"/>
      <c r="P2242" s="345">
        <v>15000</v>
      </c>
      <c r="Q2242" s="28">
        <v>0.12709999999999999</v>
      </c>
      <c r="U2242" s="29">
        <v>0</v>
      </c>
      <c r="W2242" s="741">
        <f t="shared" si="68"/>
        <v>1906.4999999999998</v>
      </c>
    </row>
    <row r="2243" spans="1:23" ht="15" customHeight="1">
      <c r="A2243" s="3">
        <v>39031</v>
      </c>
      <c r="B2243" s="4">
        <v>32875</v>
      </c>
      <c r="D2243" s="5">
        <v>9900</v>
      </c>
      <c r="E2243" s="5">
        <f t="shared" si="70"/>
        <v>3175</v>
      </c>
      <c r="F2243" s="5">
        <v>45950</v>
      </c>
      <c r="K2243" s="24">
        <v>1730.5</v>
      </c>
      <c r="L2243" s="6">
        <v>1715</v>
      </c>
      <c r="M2243" s="270">
        <f t="shared" si="69"/>
        <v>-15.5</v>
      </c>
      <c r="N2243" s="19"/>
      <c r="O2243" s="280"/>
      <c r="P2243" s="345">
        <v>15075</v>
      </c>
      <c r="Q2243" s="28">
        <v>0.12709999999999999</v>
      </c>
      <c r="U2243" s="29">
        <v>0</v>
      </c>
      <c r="W2243" s="741">
        <f t="shared" si="68"/>
        <v>1916.0324999999998</v>
      </c>
    </row>
    <row r="2244" spans="1:23" ht="15" customHeight="1">
      <c r="A2244" s="3">
        <v>39034</v>
      </c>
      <c r="B2244" s="4">
        <v>32650</v>
      </c>
      <c r="D2244" s="5">
        <v>9625</v>
      </c>
      <c r="E2244" s="5">
        <f t="shared" si="70"/>
        <v>3400</v>
      </c>
      <c r="F2244" s="5">
        <v>45675</v>
      </c>
      <c r="K2244" s="24">
        <v>1539.5</v>
      </c>
      <c r="L2244" s="6">
        <v>1535</v>
      </c>
      <c r="M2244" s="270">
        <f t="shared" si="69"/>
        <v>-4.5</v>
      </c>
      <c r="N2244" s="19"/>
      <c r="O2244" s="280"/>
      <c r="P2244" s="345">
        <v>15075</v>
      </c>
      <c r="Q2244" s="28">
        <v>0.12720000000000001</v>
      </c>
      <c r="U2244" s="29">
        <v>0</v>
      </c>
      <c r="W2244" s="741">
        <f t="shared" si="68"/>
        <v>1917.5400000000002</v>
      </c>
    </row>
    <row r="2245" spans="1:23" ht="15" customHeight="1">
      <c r="A2245" s="3">
        <v>39035</v>
      </c>
      <c r="B2245" s="4">
        <v>32225</v>
      </c>
      <c r="D2245" s="5">
        <v>9075</v>
      </c>
      <c r="E2245" s="5">
        <f t="shared" si="70"/>
        <v>3825</v>
      </c>
      <c r="F2245" s="5">
        <v>45125</v>
      </c>
      <c r="K2245" s="24">
        <v>1537</v>
      </c>
      <c r="L2245" s="6">
        <v>1528</v>
      </c>
      <c r="M2245" s="270">
        <f t="shared" si="69"/>
        <v>-9</v>
      </c>
      <c r="N2245" s="19"/>
      <c r="O2245" s="280"/>
      <c r="P2245" s="345">
        <v>14950</v>
      </c>
      <c r="Q2245" s="28">
        <v>0.12709999999999999</v>
      </c>
      <c r="U2245" s="29">
        <v>0</v>
      </c>
      <c r="W2245" s="741">
        <f t="shared" si="68"/>
        <v>1900.1449999999998</v>
      </c>
    </row>
    <row r="2246" spans="1:23" ht="15" customHeight="1">
      <c r="A2246" s="3">
        <v>39036</v>
      </c>
      <c r="B2246" s="4">
        <v>32825</v>
      </c>
      <c r="D2246" s="5">
        <v>9450</v>
      </c>
      <c r="E2246" s="5">
        <f t="shared" si="70"/>
        <v>3225</v>
      </c>
      <c r="F2246" s="5">
        <v>45500</v>
      </c>
      <c r="K2246" s="24">
        <v>1470</v>
      </c>
      <c r="L2246" s="6">
        <v>1460</v>
      </c>
      <c r="M2246" s="270">
        <f t="shared" si="69"/>
        <v>-10</v>
      </c>
      <c r="N2246" s="19"/>
      <c r="O2246" s="280"/>
      <c r="P2246" s="345">
        <v>14750</v>
      </c>
      <c r="Q2246" s="28">
        <v>0.127</v>
      </c>
      <c r="U2246" s="29">
        <v>0</v>
      </c>
      <c r="W2246" s="741">
        <f t="shared" si="68"/>
        <v>1873.25</v>
      </c>
    </row>
    <row r="2247" spans="1:23" ht="15" customHeight="1">
      <c r="A2247" s="3">
        <v>39037</v>
      </c>
      <c r="B2247" s="4">
        <v>32800</v>
      </c>
      <c r="D2247" s="5">
        <v>9225</v>
      </c>
      <c r="E2247" s="5">
        <f t="shared" si="70"/>
        <v>3250</v>
      </c>
      <c r="F2247" s="5">
        <v>45275</v>
      </c>
      <c r="K2247" s="24">
        <v>1559.5</v>
      </c>
      <c r="L2247" s="6">
        <v>1550</v>
      </c>
      <c r="M2247" s="270">
        <f t="shared" si="69"/>
        <v>-9.5</v>
      </c>
      <c r="N2247" s="19"/>
      <c r="O2247" s="280"/>
      <c r="P2247" s="345">
        <v>14700</v>
      </c>
      <c r="Q2247" s="28">
        <v>0.127</v>
      </c>
      <c r="U2247" s="29">
        <v>0</v>
      </c>
      <c r="W2247" s="741">
        <f t="shared" si="68"/>
        <v>1866.9</v>
      </c>
    </row>
    <row r="2248" spans="1:23" ht="15" customHeight="1">
      <c r="A2248" s="3">
        <v>39038</v>
      </c>
      <c r="B2248" s="4">
        <v>32400</v>
      </c>
      <c r="D2248" s="5">
        <v>8550</v>
      </c>
      <c r="E2248" s="5">
        <f t="shared" si="70"/>
        <v>3650</v>
      </c>
      <c r="F2248" s="5">
        <v>44600</v>
      </c>
      <c r="K2248" s="24">
        <v>1515</v>
      </c>
      <c r="L2248" s="6">
        <v>1495</v>
      </c>
      <c r="M2248" s="270">
        <f t="shared" si="69"/>
        <v>-20</v>
      </c>
      <c r="N2248" s="19"/>
      <c r="O2248" s="280"/>
      <c r="P2248" s="345">
        <v>14700</v>
      </c>
      <c r="Q2248" s="28">
        <v>0.127</v>
      </c>
      <c r="U2248" s="29">
        <v>0</v>
      </c>
      <c r="W2248" s="741">
        <f t="shared" si="68"/>
        <v>1866.9</v>
      </c>
    </row>
    <row r="2249" spans="1:23" ht="15" customHeight="1">
      <c r="A2249" s="3">
        <v>39041</v>
      </c>
      <c r="B2249" s="4">
        <v>32675</v>
      </c>
      <c r="D2249" s="5">
        <v>8525</v>
      </c>
      <c r="E2249" s="5">
        <f t="shared" si="70"/>
        <v>3375</v>
      </c>
      <c r="F2249" s="5">
        <v>44575</v>
      </c>
      <c r="K2249" s="24">
        <v>1539</v>
      </c>
      <c r="L2249" s="6">
        <v>1525</v>
      </c>
      <c r="M2249" s="270">
        <f t="shared" si="69"/>
        <v>-14</v>
      </c>
      <c r="N2249" s="19"/>
      <c r="O2249" s="280"/>
      <c r="P2249" s="345">
        <v>14525</v>
      </c>
      <c r="Q2249" s="28">
        <v>0.12709999999999999</v>
      </c>
      <c r="U2249" s="29">
        <v>0</v>
      </c>
      <c r="W2249" s="741">
        <f t="shared" si="68"/>
        <v>1846.1274999999998</v>
      </c>
    </row>
    <row r="2250" spans="1:23" ht="15" customHeight="1">
      <c r="A2250" s="3">
        <v>39042</v>
      </c>
      <c r="B2250" s="4">
        <v>32650</v>
      </c>
      <c r="D2250" s="5">
        <v>8275</v>
      </c>
      <c r="E2250" s="5">
        <f t="shared" si="70"/>
        <v>3400</v>
      </c>
      <c r="F2250" s="5">
        <v>44325</v>
      </c>
      <c r="K2250" s="24">
        <v>1538</v>
      </c>
      <c r="L2250" s="6">
        <v>1525</v>
      </c>
      <c r="M2250" s="270">
        <f t="shared" si="69"/>
        <v>-13</v>
      </c>
      <c r="N2250" s="19"/>
      <c r="O2250" s="280"/>
      <c r="P2250" s="345">
        <v>14425</v>
      </c>
      <c r="Q2250" s="28">
        <v>0.12709999999999999</v>
      </c>
      <c r="U2250" s="29">
        <v>0</v>
      </c>
      <c r="W2250" s="741">
        <f t="shared" si="68"/>
        <v>1833.4174999999998</v>
      </c>
    </row>
    <row r="2251" spans="1:23" ht="15" customHeight="1">
      <c r="A2251" s="3">
        <v>39043</v>
      </c>
      <c r="B2251" s="4">
        <v>33525</v>
      </c>
      <c r="D2251" s="5">
        <v>8900</v>
      </c>
      <c r="E2251" s="5">
        <f t="shared" si="70"/>
        <v>2525</v>
      </c>
      <c r="F2251" s="5">
        <v>44950</v>
      </c>
      <c r="K2251" s="24">
        <v>1594.5</v>
      </c>
      <c r="L2251" s="6">
        <v>1570</v>
      </c>
      <c r="M2251" s="270">
        <f t="shared" si="69"/>
        <v>-24.5</v>
      </c>
      <c r="N2251" s="19"/>
      <c r="O2251" s="280"/>
      <c r="P2251" s="345">
        <v>14525</v>
      </c>
      <c r="Q2251" s="28">
        <v>0.12709999999999999</v>
      </c>
      <c r="U2251" s="29">
        <v>0</v>
      </c>
      <c r="W2251" s="741">
        <f t="shared" si="68"/>
        <v>1846.1274999999998</v>
      </c>
    </row>
    <row r="2252" spans="1:23" ht="15" customHeight="1">
      <c r="A2252" s="3">
        <v>39044</v>
      </c>
      <c r="B2252" s="4">
        <v>34175</v>
      </c>
      <c r="D2252" s="5">
        <v>9300</v>
      </c>
      <c r="E2252" s="5">
        <f t="shared" si="70"/>
        <v>1875</v>
      </c>
      <c r="F2252" s="5">
        <v>45350</v>
      </c>
      <c r="K2252" s="24">
        <v>1558</v>
      </c>
      <c r="L2252" s="6">
        <v>1537</v>
      </c>
      <c r="M2252" s="270">
        <f t="shared" si="69"/>
        <v>-21</v>
      </c>
      <c r="N2252" s="19"/>
      <c r="O2252" s="280"/>
      <c r="P2252" s="345">
        <v>14525</v>
      </c>
      <c r="Q2252" s="28">
        <v>0.12720000000000001</v>
      </c>
      <c r="U2252" s="29">
        <v>0</v>
      </c>
      <c r="W2252" s="741">
        <f t="shared" si="68"/>
        <v>1847.5800000000002</v>
      </c>
    </row>
    <row r="2253" spans="1:23" ht="15" customHeight="1">
      <c r="A2253" s="3">
        <v>39045</v>
      </c>
      <c r="B2253" s="4">
        <v>33500</v>
      </c>
      <c r="D2253" s="5">
        <v>8300</v>
      </c>
      <c r="E2253" s="5">
        <f t="shared" si="70"/>
        <v>2550</v>
      </c>
      <c r="F2253" s="5">
        <v>44350</v>
      </c>
      <c r="K2253" s="24">
        <v>1604.5</v>
      </c>
      <c r="L2253" s="6">
        <v>1580</v>
      </c>
      <c r="M2253" s="270">
        <f t="shared" si="69"/>
        <v>-24.5</v>
      </c>
      <c r="N2253" s="19"/>
      <c r="O2253" s="280"/>
      <c r="P2253" s="345">
        <v>14525</v>
      </c>
      <c r="Q2253" s="28">
        <v>0.1273</v>
      </c>
      <c r="U2253" s="29">
        <v>0</v>
      </c>
      <c r="W2253" s="741">
        <f t="shared" si="68"/>
        <v>1849.0325</v>
      </c>
    </row>
    <row r="2254" spans="1:23" ht="15" customHeight="1">
      <c r="A2254" s="3">
        <v>39048</v>
      </c>
      <c r="B2254" s="4">
        <v>34250</v>
      </c>
      <c r="D2254" s="5">
        <v>8750</v>
      </c>
      <c r="E2254" s="5">
        <f t="shared" si="70"/>
        <v>1800</v>
      </c>
      <c r="F2254" s="5">
        <v>44800</v>
      </c>
      <c r="K2254" s="24">
        <v>1598</v>
      </c>
      <c r="L2254" s="6">
        <v>1560</v>
      </c>
      <c r="M2254" s="270">
        <f t="shared" si="69"/>
        <v>-38</v>
      </c>
      <c r="N2254" s="19"/>
      <c r="O2254" s="280"/>
      <c r="P2254" s="345">
        <v>14550</v>
      </c>
      <c r="Q2254" s="28">
        <v>0.1275</v>
      </c>
      <c r="U2254" s="29">
        <v>0</v>
      </c>
      <c r="W2254" s="741">
        <f t="shared" si="68"/>
        <v>1855.125</v>
      </c>
    </row>
    <row r="2255" spans="1:23" ht="15" customHeight="1">
      <c r="A2255" s="3">
        <v>39049</v>
      </c>
      <c r="B2255" s="4">
        <v>35150</v>
      </c>
      <c r="D2255" s="5">
        <v>9525</v>
      </c>
      <c r="E2255" s="5">
        <f t="shared" si="70"/>
        <v>900</v>
      </c>
      <c r="F2255" s="5">
        <v>45575</v>
      </c>
      <c r="K2255" s="24">
        <v>1582</v>
      </c>
      <c r="L2255" s="6">
        <v>1575</v>
      </c>
      <c r="M2255" s="270">
        <f t="shared" si="69"/>
        <v>-7</v>
      </c>
      <c r="N2255" s="19"/>
      <c r="O2255" s="280"/>
      <c r="P2255" s="345">
        <v>14550</v>
      </c>
      <c r="Q2255" s="28">
        <v>0.12740000000000001</v>
      </c>
      <c r="U2255" s="29">
        <v>0</v>
      </c>
      <c r="W2255" s="741">
        <f t="shared" si="68"/>
        <v>1853.6700000000003</v>
      </c>
    </row>
    <row r="2256" spans="1:23" ht="15" customHeight="1">
      <c r="A2256" s="3">
        <v>39050</v>
      </c>
      <c r="B2256" s="4">
        <v>35250</v>
      </c>
      <c r="D2256" s="5">
        <v>9450</v>
      </c>
      <c r="E2256" s="5">
        <f t="shared" si="70"/>
        <v>800</v>
      </c>
      <c r="F2256" s="5">
        <v>45500</v>
      </c>
      <c r="K2256" s="24">
        <v>1634</v>
      </c>
      <c r="L2256" s="6">
        <v>1610</v>
      </c>
      <c r="M2256" s="270">
        <f t="shared" si="69"/>
        <v>-24</v>
      </c>
      <c r="N2256" s="19"/>
      <c r="O2256" s="280"/>
      <c r="P2256" s="345">
        <v>14525</v>
      </c>
      <c r="Q2256" s="28">
        <v>0.12759999999999999</v>
      </c>
      <c r="U2256" s="29">
        <v>0</v>
      </c>
      <c r="W2256" s="741">
        <f t="shared" si="68"/>
        <v>1853.3899999999999</v>
      </c>
    </row>
    <row r="2257" spans="1:23" ht="15" customHeight="1" thickBot="1">
      <c r="A2257" s="3">
        <v>39051</v>
      </c>
      <c r="B2257" s="4">
        <v>34950</v>
      </c>
      <c r="D2257" s="5">
        <v>7750</v>
      </c>
      <c r="E2257" s="5">
        <f t="shared" si="70"/>
        <v>1100</v>
      </c>
      <c r="F2257" s="5">
        <v>43800</v>
      </c>
      <c r="K2257" s="24">
        <v>1674.5</v>
      </c>
      <c r="L2257" s="6">
        <v>1650</v>
      </c>
      <c r="M2257" s="271">
        <f t="shared" si="69"/>
        <v>-24.5</v>
      </c>
      <c r="N2257" s="19">
        <f>AVERAGE(K2236:K2257)</f>
        <v>1624.5227272727273</v>
      </c>
      <c r="O2257" s="280"/>
      <c r="P2257" s="345">
        <v>14525</v>
      </c>
      <c r="Q2257" s="28">
        <v>0.1275</v>
      </c>
      <c r="U2257" s="31">
        <v>0</v>
      </c>
      <c r="V2257" s="46">
        <f>AVERAGE(P2236:P2257)</f>
        <v>14774</v>
      </c>
      <c r="W2257" s="741">
        <f t="shared" si="68"/>
        <v>1851.9375</v>
      </c>
    </row>
    <row r="2258" spans="1:23" ht="15" customHeight="1">
      <c r="A2258" s="36">
        <v>39052</v>
      </c>
      <c r="B2258" s="37">
        <v>34450</v>
      </c>
      <c r="C2258" s="37"/>
      <c r="D2258" s="38">
        <v>7100</v>
      </c>
      <c r="E2258" s="38">
        <f t="shared" si="70"/>
        <v>1600</v>
      </c>
      <c r="F2258" s="38">
        <v>43150</v>
      </c>
      <c r="G2258" s="38"/>
      <c r="H2258" s="38"/>
      <c r="I2258" s="38"/>
      <c r="J2258" s="268"/>
      <c r="K2258" s="39">
        <v>1705.5</v>
      </c>
      <c r="L2258" s="40">
        <v>1683</v>
      </c>
      <c r="M2258" s="270">
        <f t="shared" si="69"/>
        <v>-22.5</v>
      </c>
      <c r="N2258" s="21"/>
      <c r="O2258" s="283"/>
      <c r="P2258" s="348">
        <v>14575</v>
      </c>
      <c r="Q2258" s="41">
        <v>0.12770000000000001</v>
      </c>
      <c r="U2258" s="29">
        <v>0</v>
      </c>
      <c r="W2258" s="741">
        <f t="shared" si="68"/>
        <v>1861.2275000000002</v>
      </c>
    </row>
    <row r="2259" spans="1:23" ht="15" customHeight="1">
      <c r="A2259" s="3">
        <v>39055</v>
      </c>
      <c r="B2259" s="4">
        <v>33350</v>
      </c>
      <c r="D2259" s="5">
        <v>5775</v>
      </c>
      <c r="E2259" s="5">
        <f t="shared" si="70"/>
        <v>2700</v>
      </c>
      <c r="F2259" s="5">
        <v>41825</v>
      </c>
      <c r="K2259" s="24">
        <v>1800</v>
      </c>
      <c r="L2259" s="6">
        <v>1735</v>
      </c>
      <c r="M2259" s="270">
        <f t="shared" si="69"/>
        <v>-65</v>
      </c>
      <c r="N2259" s="19"/>
      <c r="O2259" s="280"/>
      <c r="P2259" s="345">
        <v>14650</v>
      </c>
      <c r="Q2259" s="28">
        <v>0.1278</v>
      </c>
      <c r="U2259" s="29">
        <v>0</v>
      </c>
      <c r="W2259" s="741">
        <f t="shared" si="68"/>
        <v>1872.27</v>
      </c>
    </row>
    <row r="2260" spans="1:23" ht="15" customHeight="1">
      <c r="A2260" s="3">
        <v>39056</v>
      </c>
      <c r="B2260" s="4">
        <v>32800</v>
      </c>
      <c r="D2260" s="5">
        <v>5025</v>
      </c>
      <c r="E2260" s="5">
        <f t="shared" si="70"/>
        <v>3250</v>
      </c>
      <c r="F2260" s="5">
        <v>41075</v>
      </c>
      <c r="K2260" s="24">
        <v>1786</v>
      </c>
      <c r="L2260" s="6">
        <v>1755</v>
      </c>
      <c r="M2260" s="270">
        <f t="shared" si="69"/>
        <v>-31</v>
      </c>
      <c r="N2260" s="19"/>
      <c r="O2260" s="280"/>
      <c r="P2260" s="345">
        <v>14825</v>
      </c>
      <c r="Q2260" s="28">
        <v>0.12770000000000001</v>
      </c>
      <c r="U2260" s="29">
        <v>0</v>
      </c>
      <c r="W2260" s="741">
        <f t="shared" si="68"/>
        <v>1893.1525000000001</v>
      </c>
    </row>
    <row r="2261" spans="1:23" ht="15" customHeight="1">
      <c r="A2261" s="3">
        <v>39057</v>
      </c>
      <c r="B2261" s="4">
        <v>32500</v>
      </c>
      <c r="D2261" s="5">
        <v>4550</v>
      </c>
      <c r="E2261" s="5">
        <f t="shared" si="70"/>
        <v>3550</v>
      </c>
      <c r="F2261" s="5">
        <v>40600</v>
      </c>
      <c r="K2261" s="24">
        <v>1759</v>
      </c>
      <c r="L2261" s="6">
        <v>1730</v>
      </c>
      <c r="M2261" s="270">
        <f t="shared" si="69"/>
        <v>-29</v>
      </c>
      <c r="N2261" s="19"/>
      <c r="O2261" s="280"/>
      <c r="P2261" s="345">
        <v>14950</v>
      </c>
      <c r="Q2261" s="28">
        <v>0.1278</v>
      </c>
      <c r="U2261" s="29">
        <v>0</v>
      </c>
      <c r="W2261" s="741">
        <f t="shared" si="68"/>
        <v>1910.61</v>
      </c>
    </row>
    <row r="2262" spans="1:23" ht="15" customHeight="1">
      <c r="A2262" s="3">
        <v>39058</v>
      </c>
      <c r="B2262" s="4">
        <v>31800</v>
      </c>
      <c r="D2262" s="5">
        <v>4312</v>
      </c>
      <c r="E2262" s="5">
        <f t="shared" si="70"/>
        <v>3613</v>
      </c>
      <c r="F2262" s="5">
        <v>39725</v>
      </c>
      <c r="K2262" s="24">
        <v>1704</v>
      </c>
      <c r="L2262" s="6">
        <v>1675</v>
      </c>
      <c r="M2262" s="270">
        <f t="shared" si="69"/>
        <v>-29</v>
      </c>
      <c r="N2262" s="19"/>
      <c r="O2262" s="280"/>
      <c r="P2262" s="345">
        <v>14950</v>
      </c>
      <c r="Q2262" s="28">
        <v>0.12770000000000001</v>
      </c>
      <c r="U2262" s="29">
        <v>0</v>
      </c>
      <c r="W2262" s="741">
        <f t="shared" si="68"/>
        <v>1909.115</v>
      </c>
    </row>
    <row r="2263" spans="1:23" ht="15" customHeight="1">
      <c r="A2263" s="3">
        <v>39059</v>
      </c>
      <c r="B2263" s="4">
        <v>31625</v>
      </c>
      <c r="D2263" s="5">
        <v>4312</v>
      </c>
      <c r="E2263" s="5">
        <f t="shared" si="70"/>
        <v>3463</v>
      </c>
      <c r="F2263" s="5">
        <v>39400</v>
      </c>
      <c r="K2263" s="24">
        <v>1762</v>
      </c>
      <c r="L2263" s="6">
        <v>1731.5</v>
      </c>
      <c r="M2263" s="270">
        <f t="shared" si="69"/>
        <v>-30.5</v>
      </c>
      <c r="N2263" s="19"/>
      <c r="O2263" s="280"/>
      <c r="P2263" s="345">
        <v>14900</v>
      </c>
      <c r="Q2263" s="28">
        <v>0.1278</v>
      </c>
      <c r="U2263" s="29">
        <v>0</v>
      </c>
      <c r="W2263" s="741">
        <f t="shared" si="68"/>
        <v>1904.22</v>
      </c>
    </row>
    <row r="2264" spans="1:23" ht="15" customHeight="1">
      <c r="A2264" s="3">
        <v>39062</v>
      </c>
      <c r="B2264" s="4">
        <v>31325</v>
      </c>
      <c r="D2264" s="5">
        <v>4075</v>
      </c>
      <c r="E2264" s="5">
        <f t="shared" si="70"/>
        <v>3825</v>
      </c>
      <c r="F2264" s="5">
        <v>39225</v>
      </c>
      <c r="K2264" s="24">
        <v>1809</v>
      </c>
      <c r="L2264" s="6">
        <v>1770</v>
      </c>
      <c r="M2264" s="270">
        <f t="shared" si="69"/>
        <v>-39</v>
      </c>
      <c r="N2264" s="19"/>
      <c r="O2264" s="280"/>
      <c r="P2264" s="345">
        <v>14900</v>
      </c>
      <c r="Q2264" s="28">
        <v>0.12759999999999999</v>
      </c>
      <c r="U2264" s="29">
        <v>0</v>
      </c>
      <c r="W2264" s="741">
        <f t="shared" si="68"/>
        <v>1901.2399999999998</v>
      </c>
    </row>
    <row r="2265" spans="1:23" ht="15" customHeight="1">
      <c r="A2265" s="3">
        <v>39063</v>
      </c>
      <c r="B2265" s="4">
        <v>33800</v>
      </c>
      <c r="D2265" s="5">
        <v>4075</v>
      </c>
      <c r="E2265" s="5">
        <f t="shared" si="70"/>
        <v>3475</v>
      </c>
      <c r="F2265" s="5">
        <v>41350</v>
      </c>
      <c r="K2265" s="24">
        <v>1805</v>
      </c>
      <c r="L2265" s="6">
        <v>1765</v>
      </c>
      <c r="M2265" s="270">
        <f t="shared" si="69"/>
        <v>-40</v>
      </c>
      <c r="N2265" s="19"/>
      <c r="O2265" s="280"/>
      <c r="P2265" s="345">
        <v>14950</v>
      </c>
      <c r="Q2265" s="28">
        <v>0.12770000000000001</v>
      </c>
      <c r="U2265" s="29">
        <v>0</v>
      </c>
      <c r="W2265" s="741">
        <f t="shared" si="68"/>
        <v>1909.115</v>
      </c>
    </row>
    <row r="2266" spans="1:23" ht="15" customHeight="1">
      <c r="A2266" s="3">
        <v>39064</v>
      </c>
      <c r="B2266" s="4">
        <v>34350</v>
      </c>
      <c r="D2266" s="5">
        <v>4150</v>
      </c>
      <c r="E2266" s="5">
        <f t="shared" si="70"/>
        <v>3275</v>
      </c>
      <c r="F2266" s="5">
        <v>41775</v>
      </c>
      <c r="K2266" s="24">
        <v>1690</v>
      </c>
      <c r="L2266" s="6">
        <v>1631</v>
      </c>
      <c r="M2266" s="270">
        <f t="shared" si="69"/>
        <v>-59</v>
      </c>
      <c r="N2266" s="19"/>
      <c r="O2266" s="280"/>
      <c r="P2266" s="345">
        <v>14850</v>
      </c>
      <c r="Q2266" s="28">
        <v>0.1278</v>
      </c>
      <c r="U2266" s="29">
        <v>0</v>
      </c>
      <c r="W2266" s="741">
        <f t="shared" si="68"/>
        <v>1897.83</v>
      </c>
    </row>
    <row r="2267" spans="1:23" ht="15" customHeight="1">
      <c r="A2267" s="3">
        <v>39065</v>
      </c>
      <c r="B2267" s="4">
        <v>34350</v>
      </c>
      <c r="D2267" s="5">
        <v>4150</v>
      </c>
      <c r="E2267" s="5">
        <f t="shared" si="70"/>
        <v>3025</v>
      </c>
      <c r="F2267" s="5">
        <v>41525</v>
      </c>
      <c r="K2267" s="24">
        <v>1729.5</v>
      </c>
      <c r="L2267" s="6">
        <v>1661</v>
      </c>
      <c r="M2267" s="270">
        <f t="shared" si="69"/>
        <v>-68.5</v>
      </c>
      <c r="N2267" s="19"/>
      <c r="O2267" s="280"/>
      <c r="P2267" s="345">
        <v>14750</v>
      </c>
      <c r="Q2267" s="28">
        <v>0.12790000000000001</v>
      </c>
      <c r="U2267" s="29">
        <v>0</v>
      </c>
      <c r="W2267" s="741">
        <f t="shared" si="68"/>
        <v>1886.5250000000001</v>
      </c>
    </row>
    <row r="2268" spans="1:23" ht="15" customHeight="1">
      <c r="A2268" s="3">
        <v>39066</v>
      </c>
      <c r="B2268" s="4">
        <v>33825</v>
      </c>
      <c r="D2268" s="5">
        <v>4225</v>
      </c>
      <c r="E2268" s="5">
        <f t="shared" si="70"/>
        <v>2825</v>
      </c>
      <c r="F2268" s="5">
        <v>40875</v>
      </c>
      <c r="K2268" s="24">
        <v>1725</v>
      </c>
      <c r="L2268" s="6">
        <v>1684.5</v>
      </c>
      <c r="M2268" s="270">
        <f t="shared" si="69"/>
        <v>-40.5</v>
      </c>
      <c r="N2268" s="19"/>
      <c r="O2268" s="280"/>
      <c r="P2268" s="345">
        <v>14750</v>
      </c>
      <c r="Q2268" s="28">
        <v>0.12790000000000001</v>
      </c>
      <c r="U2268" s="29">
        <v>0</v>
      </c>
      <c r="W2268" s="741">
        <f t="shared" si="68"/>
        <v>1886.5250000000001</v>
      </c>
    </row>
    <row r="2269" spans="1:23" ht="15" customHeight="1">
      <c r="A2269" s="3">
        <v>39069</v>
      </c>
      <c r="B2269" s="4">
        <v>33525</v>
      </c>
      <c r="D2269" s="5">
        <v>4375</v>
      </c>
      <c r="E2269" s="5">
        <f t="shared" si="70"/>
        <v>2550</v>
      </c>
      <c r="F2269" s="5">
        <v>40450</v>
      </c>
      <c r="K2269" s="24">
        <v>1715</v>
      </c>
      <c r="L2269" s="6">
        <v>1680</v>
      </c>
      <c r="M2269" s="270">
        <f t="shared" si="69"/>
        <v>-35</v>
      </c>
      <c r="N2269" s="19"/>
      <c r="O2269" s="280"/>
      <c r="P2269" s="345">
        <v>14750</v>
      </c>
      <c r="Q2269" s="28">
        <v>0.1278</v>
      </c>
      <c r="U2269" s="29">
        <v>0</v>
      </c>
      <c r="W2269" s="741">
        <f t="shared" si="68"/>
        <v>1885.05</v>
      </c>
    </row>
    <row r="2270" spans="1:23" ht="15" customHeight="1">
      <c r="A2270" s="3">
        <v>39070</v>
      </c>
      <c r="B2270" s="4">
        <v>34525</v>
      </c>
      <c r="D2270" s="5">
        <v>4675</v>
      </c>
      <c r="E2270" s="5">
        <f t="shared" si="70"/>
        <v>2225</v>
      </c>
      <c r="F2270" s="5">
        <v>41425</v>
      </c>
      <c r="K2270" s="24">
        <v>1671</v>
      </c>
      <c r="L2270" s="6">
        <v>1646</v>
      </c>
      <c r="M2270" s="270">
        <f t="shared" si="69"/>
        <v>-25</v>
      </c>
      <c r="N2270" s="19"/>
      <c r="O2270" s="280"/>
      <c r="P2270" s="345">
        <v>14750</v>
      </c>
      <c r="Q2270" s="28">
        <v>0.1278</v>
      </c>
      <c r="U2270" s="29">
        <v>0</v>
      </c>
      <c r="W2270" s="741">
        <f t="shared" si="68"/>
        <v>1885.05</v>
      </c>
    </row>
    <row r="2271" spans="1:23" ht="15" customHeight="1">
      <c r="A2271" s="3">
        <v>39071</v>
      </c>
      <c r="B2271" s="4">
        <v>35075</v>
      </c>
      <c r="D2271" s="5">
        <v>5100</v>
      </c>
      <c r="E2271" s="5">
        <f t="shared" si="70"/>
        <v>1975</v>
      </c>
      <c r="F2271" s="5">
        <v>42150</v>
      </c>
      <c r="K2271" s="24">
        <v>1670</v>
      </c>
      <c r="L2271" s="6">
        <v>1635</v>
      </c>
      <c r="M2271" s="270">
        <f t="shared" si="69"/>
        <v>-35</v>
      </c>
      <c r="N2271" s="19"/>
      <c r="O2271" s="280"/>
      <c r="P2271" s="345">
        <v>14700</v>
      </c>
      <c r="Q2271" s="28">
        <v>0.12790000000000001</v>
      </c>
      <c r="U2271" s="29">
        <v>0</v>
      </c>
      <c r="W2271" s="741">
        <f t="shared" si="68"/>
        <v>1880.13</v>
      </c>
    </row>
    <row r="2272" spans="1:23" ht="15" customHeight="1">
      <c r="A2272" s="3">
        <v>39072</v>
      </c>
      <c r="B2272" s="4">
        <v>34825</v>
      </c>
      <c r="D2272" s="5">
        <v>5225</v>
      </c>
      <c r="E2272" s="5">
        <f t="shared" si="70"/>
        <v>1625</v>
      </c>
      <c r="F2272" s="5">
        <v>41675</v>
      </c>
      <c r="K2272" s="24">
        <v>1649</v>
      </c>
      <c r="L2272" s="6">
        <v>1620</v>
      </c>
      <c r="M2272" s="270">
        <f t="shared" si="69"/>
        <v>-29</v>
      </c>
      <c r="N2272" s="19"/>
      <c r="O2272" s="280"/>
      <c r="P2272" s="345">
        <v>14625</v>
      </c>
      <c r="Q2272" s="28">
        <v>0.12790000000000001</v>
      </c>
      <c r="U2272" s="29">
        <v>0</v>
      </c>
      <c r="W2272" s="741">
        <f t="shared" si="68"/>
        <v>1870.5375000000001</v>
      </c>
    </row>
    <row r="2273" spans="1:23" ht="15" customHeight="1">
      <c r="A2273" s="3">
        <v>39073</v>
      </c>
      <c r="B2273" s="4">
        <v>34550</v>
      </c>
      <c r="D2273" s="5">
        <v>5675</v>
      </c>
      <c r="E2273" s="5">
        <f t="shared" si="70"/>
        <v>1300</v>
      </c>
      <c r="F2273" s="5">
        <v>41525</v>
      </c>
      <c r="K2273" s="24">
        <v>1644.5</v>
      </c>
      <c r="L2273" s="6">
        <v>1620</v>
      </c>
      <c r="M2273" s="270">
        <f t="shared" si="69"/>
        <v>-24.5</v>
      </c>
      <c r="N2273" s="19"/>
      <c r="O2273" s="280"/>
      <c r="P2273" s="345">
        <v>14525</v>
      </c>
      <c r="Q2273" s="28">
        <v>0.1278</v>
      </c>
      <c r="U2273" s="29">
        <v>0</v>
      </c>
      <c r="W2273" s="741">
        <f t="shared" si="68"/>
        <v>1856.2949999999998</v>
      </c>
    </row>
    <row r="2274" spans="1:23" ht="15" customHeight="1">
      <c r="A2274" s="3">
        <v>39078</v>
      </c>
      <c r="B2274" s="4">
        <v>33850</v>
      </c>
      <c r="D2274" s="5">
        <v>5925</v>
      </c>
      <c r="E2274" s="5">
        <f t="shared" si="70"/>
        <v>1075</v>
      </c>
      <c r="F2274" s="5">
        <v>40850</v>
      </c>
      <c r="K2274" s="24">
        <v>1675</v>
      </c>
      <c r="L2274" s="6">
        <v>1635.5</v>
      </c>
      <c r="M2274" s="270">
        <f t="shared" si="69"/>
        <v>-39.5</v>
      </c>
      <c r="N2274" s="19"/>
      <c r="O2274" s="280"/>
      <c r="P2274" s="345">
        <v>14450</v>
      </c>
      <c r="Q2274" s="28">
        <v>0.12790000000000001</v>
      </c>
      <c r="U2274" s="29">
        <v>0</v>
      </c>
      <c r="W2274" s="741">
        <f t="shared" si="68"/>
        <v>1848.1550000000002</v>
      </c>
    </row>
    <row r="2275" spans="1:23" ht="15" customHeight="1">
      <c r="A2275" s="3">
        <v>39079</v>
      </c>
      <c r="B2275" s="4">
        <v>33650</v>
      </c>
      <c r="D2275" s="5">
        <v>6000</v>
      </c>
      <c r="E2275" s="5">
        <f t="shared" si="70"/>
        <v>1075</v>
      </c>
      <c r="F2275" s="5">
        <v>40725</v>
      </c>
      <c r="K2275" s="24">
        <v>1710</v>
      </c>
      <c r="L2275" s="6">
        <v>1675</v>
      </c>
      <c r="M2275" s="270">
        <f t="shared" si="69"/>
        <v>-35</v>
      </c>
      <c r="N2275" s="19"/>
      <c r="O2275" s="280"/>
      <c r="P2275" s="345">
        <v>14525</v>
      </c>
      <c r="Q2275" s="28">
        <v>0.128</v>
      </c>
      <c r="U2275" s="29">
        <v>0</v>
      </c>
      <c r="W2275" s="741">
        <f t="shared" si="68"/>
        <v>1859.2</v>
      </c>
    </row>
    <row r="2276" spans="1:23" ht="15" customHeight="1" thickBot="1">
      <c r="A2276" s="12">
        <v>39080</v>
      </c>
      <c r="B2276" s="13">
        <v>34125</v>
      </c>
      <c r="C2276" s="13"/>
      <c r="D2276" s="14">
        <v>6050</v>
      </c>
      <c r="E2276" s="14">
        <f t="shared" si="70"/>
        <v>950</v>
      </c>
      <c r="F2276" s="14">
        <v>41125</v>
      </c>
      <c r="G2276" s="14"/>
      <c r="H2276" s="14"/>
      <c r="I2276" s="14"/>
      <c r="J2276" s="264"/>
      <c r="K2276" s="25">
        <v>1775</v>
      </c>
      <c r="L2276" s="15">
        <v>1685</v>
      </c>
      <c r="M2276" s="271">
        <f t="shared" si="69"/>
        <v>-90</v>
      </c>
      <c r="N2276" s="20">
        <f>AVERAGE(K2258:K2276)</f>
        <v>1725.5</v>
      </c>
      <c r="O2276" s="281">
        <f>AVERAGE(K2025:K2276)</f>
        <v>1287.4940476190477</v>
      </c>
      <c r="P2276" s="346">
        <v>14550</v>
      </c>
      <c r="Q2276" s="30">
        <v>0.128</v>
      </c>
      <c r="R2276" s="30"/>
      <c r="S2276" s="30"/>
      <c r="T2276" s="30"/>
      <c r="U2276" s="31">
        <v>0</v>
      </c>
      <c r="V2276" s="46">
        <f>AVERAGE(P2258:P2276)</f>
        <v>14732.894736842105</v>
      </c>
      <c r="W2276" s="741">
        <f t="shared" si="68"/>
        <v>1862.4</v>
      </c>
    </row>
    <row r="2277" spans="1:23" ht="15" customHeight="1">
      <c r="A2277" s="3">
        <v>39084</v>
      </c>
      <c r="B2277" s="4">
        <v>34125</v>
      </c>
      <c r="D2277" s="5">
        <v>6050</v>
      </c>
      <c r="E2277" s="5">
        <f t="shared" si="70"/>
        <v>875</v>
      </c>
      <c r="F2277" s="5">
        <v>41050</v>
      </c>
      <c r="K2277" s="24">
        <v>1725</v>
      </c>
      <c r="L2277" s="6">
        <v>1700</v>
      </c>
      <c r="M2277" s="270">
        <f t="shared" si="69"/>
        <v>-25</v>
      </c>
      <c r="N2277" s="21"/>
      <c r="O2277" s="284">
        <f>AVERAGE(K2277:K2534)</f>
        <v>2594.9642857142858</v>
      </c>
      <c r="P2277" s="345">
        <v>14550</v>
      </c>
      <c r="Q2277" s="28">
        <v>0.12809999999999999</v>
      </c>
      <c r="U2277" s="29">
        <v>0</v>
      </c>
      <c r="W2277" s="741">
        <f t="shared" si="68"/>
        <v>1863.8549999999998</v>
      </c>
    </row>
    <row r="2278" spans="1:23" ht="15" customHeight="1">
      <c r="A2278" s="3">
        <v>39085</v>
      </c>
      <c r="B2278" s="4">
        <v>34125</v>
      </c>
      <c r="D2278" s="5">
        <v>6050</v>
      </c>
      <c r="E2278" s="5">
        <f t="shared" si="70"/>
        <v>875</v>
      </c>
      <c r="F2278" s="5">
        <v>41050</v>
      </c>
      <c r="K2278" s="24">
        <v>1660</v>
      </c>
      <c r="L2278" s="6">
        <v>1615.5</v>
      </c>
      <c r="M2278" s="270">
        <f t="shared" si="69"/>
        <v>-44.5</v>
      </c>
      <c r="N2278" s="19"/>
      <c r="O2278" s="280"/>
      <c r="P2278" s="345">
        <v>14550</v>
      </c>
      <c r="Q2278" s="28">
        <v>0.12809999999999999</v>
      </c>
      <c r="U2278" s="29">
        <v>0</v>
      </c>
      <c r="W2278" s="741">
        <f t="shared" si="68"/>
        <v>1863.8549999999998</v>
      </c>
    </row>
    <row r="2279" spans="1:23" ht="15" customHeight="1">
      <c r="A2279" s="3">
        <v>39086</v>
      </c>
      <c r="B2279" s="4">
        <v>36275</v>
      </c>
      <c r="D2279" s="5">
        <v>6050</v>
      </c>
      <c r="E2279" s="5">
        <f t="shared" si="70"/>
        <v>800</v>
      </c>
      <c r="F2279" s="5">
        <v>43125</v>
      </c>
      <c r="K2279" s="24">
        <v>1722</v>
      </c>
      <c r="L2279" s="6">
        <v>1670</v>
      </c>
      <c r="M2279" s="270">
        <f t="shared" si="69"/>
        <v>-52</v>
      </c>
      <c r="N2279" s="19"/>
      <c r="O2279" s="280"/>
      <c r="P2279" s="345">
        <v>14650</v>
      </c>
      <c r="Q2279" s="28">
        <v>0.12809999999999999</v>
      </c>
      <c r="U2279" s="29">
        <v>0</v>
      </c>
      <c r="W2279" s="741">
        <f t="shared" si="68"/>
        <v>1876.665</v>
      </c>
    </row>
    <row r="2280" spans="1:23" ht="15" customHeight="1">
      <c r="A2280" s="3">
        <v>39087</v>
      </c>
      <c r="B2280" s="4">
        <v>36075</v>
      </c>
      <c r="D2280" s="5">
        <v>6050</v>
      </c>
      <c r="E2280" s="5">
        <f t="shared" si="70"/>
        <v>725</v>
      </c>
      <c r="F2280" s="5">
        <v>42850</v>
      </c>
      <c r="K2280" s="24">
        <v>1695</v>
      </c>
      <c r="L2280" s="6">
        <v>1663</v>
      </c>
      <c r="M2280" s="270">
        <f t="shared" si="69"/>
        <v>-32</v>
      </c>
      <c r="N2280" s="19"/>
      <c r="O2280" s="280"/>
      <c r="P2280" s="345">
        <v>14575</v>
      </c>
      <c r="Q2280" s="28">
        <v>0.12809999999999999</v>
      </c>
      <c r="U2280" s="29">
        <v>0</v>
      </c>
      <c r="W2280" s="741">
        <f t="shared" si="68"/>
        <v>1867.0574999999999</v>
      </c>
    </row>
    <row r="2281" spans="1:23" ht="15" customHeight="1">
      <c r="A2281" s="3">
        <v>39090</v>
      </c>
      <c r="B2281" s="4">
        <v>36825</v>
      </c>
      <c r="D2281" s="5">
        <v>6050</v>
      </c>
      <c r="E2281" s="5">
        <f t="shared" si="70"/>
        <v>675</v>
      </c>
      <c r="F2281" s="5">
        <v>43550</v>
      </c>
      <c r="K2281" s="24">
        <v>1600</v>
      </c>
      <c r="L2281" s="6">
        <v>1548.5</v>
      </c>
      <c r="M2281" s="270">
        <f t="shared" si="69"/>
        <v>-51.5</v>
      </c>
      <c r="N2281" s="19"/>
      <c r="O2281" s="280"/>
      <c r="P2281" s="345">
        <v>14525</v>
      </c>
      <c r="Q2281" s="28">
        <v>0.128</v>
      </c>
      <c r="U2281" s="29">
        <v>0</v>
      </c>
      <c r="W2281" s="741">
        <f t="shared" si="68"/>
        <v>1859.2</v>
      </c>
    </row>
    <row r="2282" spans="1:23" ht="15" customHeight="1">
      <c r="A2282" s="3">
        <v>39091</v>
      </c>
      <c r="B2282" s="4">
        <v>36575</v>
      </c>
      <c r="D2282" s="5">
        <v>6050</v>
      </c>
      <c r="E2282" s="5">
        <f t="shared" si="70"/>
        <v>675</v>
      </c>
      <c r="F2282" s="5">
        <v>43300</v>
      </c>
      <c r="K2282" s="24">
        <v>1596</v>
      </c>
      <c r="L2282" s="6">
        <v>1550.5</v>
      </c>
      <c r="M2282" s="270">
        <f t="shared" si="69"/>
        <v>-45.5</v>
      </c>
      <c r="N2282" s="19"/>
      <c r="O2282" s="280"/>
      <c r="P2282" s="345">
        <v>14525</v>
      </c>
      <c r="Q2282" s="28">
        <v>0.12809999999999999</v>
      </c>
      <c r="U2282" s="29">
        <v>0</v>
      </c>
      <c r="W2282" s="741">
        <f t="shared" si="68"/>
        <v>1860.6524999999999</v>
      </c>
    </row>
    <row r="2283" spans="1:23" ht="15" customHeight="1">
      <c r="A2283" s="3">
        <v>39092</v>
      </c>
      <c r="B2283" s="4">
        <v>35625</v>
      </c>
      <c r="D2283" s="5">
        <v>6100</v>
      </c>
      <c r="E2283" s="5">
        <f t="shared" si="70"/>
        <v>675</v>
      </c>
      <c r="F2283" s="5">
        <v>42400</v>
      </c>
      <c r="K2283" s="24">
        <v>1625</v>
      </c>
      <c r="L2283" s="6">
        <v>1590</v>
      </c>
      <c r="M2283" s="270">
        <f t="shared" si="69"/>
        <v>-35</v>
      </c>
      <c r="N2283" s="19"/>
      <c r="O2283" s="280"/>
      <c r="P2283" s="345">
        <v>14500</v>
      </c>
      <c r="Q2283" s="28">
        <v>0.12809999999999999</v>
      </c>
      <c r="U2283" s="29">
        <v>0</v>
      </c>
      <c r="W2283" s="741">
        <f t="shared" si="68"/>
        <v>1857.4499999999998</v>
      </c>
    </row>
    <row r="2284" spans="1:23" ht="15" customHeight="1">
      <c r="A2284" s="3">
        <v>39093</v>
      </c>
      <c r="B2284" s="4">
        <v>34650</v>
      </c>
      <c r="D2284" s="5">
        <v>6200</v>
      </c>
      <c r="E2284" s="5">
        <f t="shared" si="70"/>
        <v>650</v>
      </c>
      <c r="F2284" s="5">
        <v>41500</v>
      </c>
      <c r="K2284" s="24">
        <v>1634.5</v>
      </c>
      <c r="L2284" s="6">
        <v>1602</v>
      </c>
      <c r="M2284" s="270">
        <f t="shared" si="69"/>
        <v>-32.5</v>
      </c>
      <c r="N2284" s="19"/>
      <c r="O2284" s="280"/>
      <c r="P2284" s="345">
        <v>14550</v>
      </c>
      <c r="Q2284" s="28">
        <v>0.12820000000000001</v>
      </c>
      <c r="U2284" s="29">
        <v>0</v>
      </c>
      <c r="W2284" s="741">
        <f t="shared" si="68"/>
        <v>1865.3100000000002</v>
      </c>
    </row>
    <row r="2285" spans="1:23" ht="15" customHeight="1">
      <c r="A2285" s="3">
        <v>39094</v>
      </c>
      <c r="B2285" s="4">
        <v>34100</v>
      </c>
      <c r="D2285" s="5">
        <v>6325</v>
      </c>
      <c r="E2285" s="5">
        <f t="shared" si="70"/>
        <v>625</v>
      </c>
      <c r="F2285" s="5">
        <v>41050</v>
      </c>
      <c r="K2285" s="24">
        <v>1665</v>
      </c>
      <c r="L2285" s="6">
        <v>1630</v>
      </c>
      <c r="M2285" s="270">
        <f t="shared" si="69"/>
        <v>-35</v>
      </c>
      <c r="N2285" s="19"/>
      <c r="O2285" s="280"/>
      <c r="P2285" s="345">
        <v>14550</v>
      </c>
      <c r="Q2285" s="28">
        <v>0.12820000000000001</v>
      </c>
      <c r="U2285" s="29">
        <v>0</v>
      </c>
      <c r="W2285" s="741">
        <f t="shared" ref="W2285:W2348" si="71">(P2285*Q2285)*(1+U2285)</f>
        <v>1865.3100000000002</v>
      </c>
    </row>
    <row r="2286" spans="1:23" ht="15" customHeight="1">
      <c r="A2286" s="3">
        <v>39097</v>
      </c>
      <c r="B2286" s="4">
        <v>33500</v>
      </c>
      <c r="D2286" s="5">
        <v>6675</v>
      </c>
      <c r="E2286" s="5">
        <f t="shared" si="70"/>
        <v>300</v>
      </c>
      <c r="F2286" s="5">
        <v>40475</v>
      </c>
      <c r="K2286" s="24">
        <v>1650</v>
      </c>
      <c r="L2286" s="6">
        <v>1635</v>
      </c>
      <c r="M2286" s="270">
        <f t="shared" si="69"/>
        <v>-15</v>
      </c>
      <c r="N2286" s="19"/>
      <c r="O2286" s="280"/>
      <c r="P2286" s="345">
        <v>14500</v>
      </c>
      <c r="Q2286" s="28">
        <v>0.1283</v>
      </c>
      <c r="U2286" s="29">
        <v>0</v>
      </c>
      <c r="W2286" s="741">
        <f t="shared" si="71"/>
        <v>1860.35</v>
      </c>
    </row>
    <row r="2287" spans="1:23" ht="15" customHeight="1">
      <c r="A2287" s="3">
        <v>39098</v>
      </c>
      <c r="B2287" s="4">
        <v>33000</v>
      </c>
      <c r="D2287" s="5">
        <v>6750</v>
      </c>
      <c r="E2287" s="5">
        <f t="shared" si="70"/>
        <v>200</v>
      </c>
      <c r="F2287" s="5">
        <v>39950</v>
      </c>
      <c r="K2287" s="24">
        <v>1632</v>
      </c>
      <c r="L2287" s="6">
        <v>1590</v>
      </c>
      <c r="M2287" s="270">
        <f t="shared" si="69"/>
        <v>-42</v>
      </c>
      <c r="N2287" s="19"/>
      <c r="O2287" s="280"/>
      <c r="P2287" s="345">
        <v>14500</v>
      </c>
      <c r="Q2287" s="28">
        <v>0.12839999999999999</v>
      </c>
      <c r="U2287" s="29">
        <v>0</v>
      </c>
      <c r="W2287" s="741">
        <f t="shared" si="71"/>
        <v>1861.7999999999997</v>
      </c>
    </row>
    <row r="2288" spans="1:23" ht="15" customHeight="1">
      <c r="A2288" s="3">
        <v>39099</v>
      </c>
      <c r="B2288" s="4">
        <v>33300</v>
      </c>
      <c r="D2288" s="5">
        <v>6900</v>
      </c>
      <c r="E2288" s="5">
        <f t="shared" si="70"/>
        <v>100</v>
      </c>
      <c r="F2288" s="5">
        <v>40300</v>
      </c>
      <c r="K2288" s="24">
        <v>1575</v>
      </c>
      <c r="L2288" s="6">
        <v>1546</v>
      </c>
      <c r="M2288" s="270">
        <f t="shared" si="69"/>
        <v>-29</v>
      </c>
      <c r="N2288" s="19"/>
      <c r="O2288" s="280"/>
      <c r="P2288" s="345">
        <v>14425</v>
      </c>
      <c r="Q2288" s="28">
        <v>0.1285</v>
      </c>
      <c r="U2288" s="29">
        <v>0</v>
      </c>
      <c r="W2288" s="741">
        <f t="shared" si="71"/>
        <v>1853.6125</v>
      </c>
    </row>
    <row r="2289" spans="1:23" ht="15" customHeight="1">
      <c r="A2289" s="3">
        <v>39100</v>
      </c>
      <c r="B2289" s="4">
        <v>32975</v>
      </c>
      <c r="D2289" s="5">
        <v>7050</v>
      </c>
      <c r="E2289" s="5">
        <f t="shared" si="70"/>
        <v>100</v>
      </c>
      <c r="F2289" s="5">
        <v>40125</v>
      </c>
      <c r="K2289" s="24">
        <v>1600.5</v>
      </c>
      <c r="L2289" s="6">
        <v>1580</v>
      </c>
      <c r="M2289" s="270">
        <f t="shared" si="69"/>
        <v>-20.5</v>
      </c>
      <c r="N2289" s="19"/>
      <c r="O2289" s="280"/>
      <c r="P2289" s="345">
        <v>14325</v>
      </c>
      <c r="Q2289" s="28">
        <v>0.12859999999999999</v>
      </c>
      <c r="U2289" s="29">
        <v>0</v>
      </c>
      <c r="W2289" s="741">
        <f t="shared" si="71"/>
        <v>1842.1949999999999</v>
      </c>
    </row>
    <row r="2290" spans="1:23" ht="15" customHeight="1">
      <c r="A2290" s="3">
        <v>39101</v>
      </c>
      <c r="B2290" s="4">
        <v>33375</v>
      </c>
      <c r="D2290" s="5">
        <v>7500</v>
      </c>
      <c r="E2290" s="5">
        <f t="shared" si="70"/>
        <v>25</v>
      </c>
      <c r="F2290" s="5">
        <v>40900</v>
      </c>
      <c r="K2290" s="24">
        <v>1601</v>
      </c>
      <c r="L2290" s="6">
        <v>1580</v>
      </c>
      <c r="M2290" s="270">
        <f t="shared" si="69"/>
        <v>-21</v>
      </c>
      <c r="N2290" s="19"/>
      <c r="O2290" s="280"/>
      <c r="P2290" s="345">
        <v>14325</v>
      </c>
      <c r="Q2290" s="28">
        <v>0.12859999999999999</v>
      </c>
      <c r="U2290" s="29">
        <v>0</v>
      </c>
      <c r="W2290" s="741">
        <f t="shared" si="71"/>
        <v>1842.1949999999999</v>
      </c>
    </row>
    <row r="2291" spans="1:23" ht="15" customHeight="1">
      <c r="A2291" s="3">
        <v>39104</v>
      </c>
      <c r="B2291" s="4">
        <v>32425</v>
      </c>
      <c r="D2291" s="5">
        <v>7775</v>
      </c>
      <c r="E2291" s="5">
        <f t="shared" si="70"/>
        <v>0</v>
      </c>
      <c r="F2291" s="5">
        <v>40200</v>
      </c>
      <c r="K2291" s="24">
        <v>1659</v>
      </c>
      <c r="L2291" s="6">
        <v>1635</v>
      </c>
      <c r="M2291" s="270">
        <f t="shared" si="69"/>
        <v>-24</v>
      </c>
      <c r="N2291" s="19"/>
      <c r="O2291" s="280"/>
      <c r="P2291" s="345">
        <v>14325</v>
      </c>
      <c r="Q2291" s="28">
        <v>0.1285</v>
      </c>
      <c r="U2291" s="29">
        <v>0</v>
      </c>
      <c r="W2291" s="741">
        <f t="shared" si="71"/>
        <v>1840.7625</v>
      </c>
    </row>
    <row r="2292" spans="1:23" ht="15" customHeight="1">
      <c r="A2292" s="3">
        <v>39105</v>
      </c>
      <c r="B2292" s="4">
        <v>31900</v>
      </c>
      <c r="D2292" s="5">
        <v>8250</v>
      </c>
      <c r="E2292" s="5">
        <f t="shared" si="70"/>
        <v>0</v>
      </c>
      <c r="F2292" s="5">
        <v>40150</v>
      </c>
      <c r="K2292" s="24">
        <v>1695</v>
      </c>
      <c r="L2292" s="6">
        <v>1674</v>
      </c>
      <c r="M2292" s="270">
        <f t="shared" si="69"/>
        <v>-21</v>
      </c>
      <c r="N2292" s="19"/>
      <c r="O2292" s="280"/>
      <c r="P2292" s="345">
        <v>14325</v>
      </c>
      <c r="Q2292" s="28">
        <v>0.1285</v>
      </c>
      <c r="U2292" s="29">
        <v>0</v>
      </c>
      <c r="W2292" s="741">
        <f t="shared" si="71"/>
        <v>1840.7625</v>
      </c>
    </row>
    <row r="2293" spans="1:23" ht="15" customHeight="1">
      <c r="A2293" s="3">
        <v>39106</v>
      </c>
      <c r="B2293" s="4">
        <v>31375</v>
      </c>
      <c r="D2293" s="5">
        <v>8825</v>
      </c>
      <c r="E2293" s="5">
        <f t="shared" si="70"/>
        <v>0</v>
      </c>
      <c r="F2293" s="5">
        <v>40200</v>
      </c>
      <c r="K2293" s="24">
        <v>1736.5</v>
      </c>
      <c r="L2293" s="6">
        <v>1705</v>
      </c>
      <c r="M2293" s="270">
        <f t="shared" si="69"/>
        <v>-31.5</v>
      </c>
      <c r="N2293" s="19"/>
      <c r="O2293" s="280"/>
      <c r="P2293" s="345">
        <v>14325</v>
      </c>
      <c r="Q2293" s="28">
        <v>0.12859999999999999</v>
      </c>
      <c r="U2293" s="29">
        <v>0</v>
      </c>
      <c r="W2293" s="741">
        <f t="shared" si="71"/>
        <v>1842.1949999999999</v>
      </c>
    </row>
    <row r="2294" spans="1:23" ht="15" customHeight="1">
      <c r="A2294" s="3">
        <v>39107</v>
      </c>
      <c r="B2294" s="4">
        <v>30750</v>
      </c>
      <c r="D2294" s="5">
        <v>9100</v>
      </c>
      <c r="E2294" s="5">
        <f t="shared" si="70"/>
        <v>0</v>
      </c>
      <c r="F2294" s="5">
        <v>39850</v>
      </c>
      <c r="K2294" s="24">
        <v>1749</v>
      </c>
      <c r="L2294" s="6">
        <v>1707</v>
      </c>
      <c r="M2294" s="270">
        <f t="shared" si="69"/>
        <v>-42</v>
      </c>
      <c r="N2294" s="19"/>
      <c r="O2294" s="280"/>
      <c r="P2294" s="345">
        <v>14325</v>
      </c>
      <c r="Q2294" s="28">
        <v>0.12859999999999999</v>
      </c>
      <c r="U2294" s="29">
        <v>0</v>
      </c>
      <c r="W2294" s="741">
        <f t="shared" si="71"/>
        <v>1842.1949999999999</v>
      </c>
    </row>
    <row r="2295" spans="1:23" ht="15" customHeight="1">
      <c r="A2295" s="3">
        <v>39108</v>
      </c>
      <c r="B2295" s="4">
        <v>30175</v>
      </c>
      <c r="D2295" s="5">
        <v>9550</v>
      </c>
      <c r="E2295" s="5">
        <f t="shared" si="70"/>
        <v>0</v>
      </c>
      <c r="F2295" s="5">
        <v>39725</v>
      </c>
      <c r="K2295" s="24">
        <v>1718</v>
      </c>
      <c r="L2295" s="6">
        <v>1686</v>
      </c>
      <c r="M2295" s="270">
        <f t="shared" ref="M2295:M2317" si="72">L2295-K2295</f>
        <v>-32</v>
      </c>
      <c r="N2295" s="19"/>
      <c r="O2295" s="280"/>
      <c r="P2295" s="345">
        <v>14350</v>
      </c>
      <c r="Q2295" s="28">
        <v>0.1285</v>
      </c>
      <c r="U2295" s="29">
        <v>0</v>
      </c>
      <c r="W2295" s="741">
        <f t="shared" si="71"/>
        <v>1843.9750000000001</v>
      </c>
    </row>
    <row r="2296" spans="1:23" ht="15" customHeight="1">
      <c r="A2296" s="3">
        <v>39111</v>
      </c>
      <c r="B2296" s="4">
        <v>29225</v>
      </c>
      <c r="D2296" s="5">
        <v>9875</v>
      </c>
      <c r="E2296" s="5">
        <f t="shared" si="70"/>
        <v>0</v>
      </c>
      <c r="F2296" s="5">
        <v>39100</v>
      </c>
      <c r="K2296" s="24">
        <v>1675</v>
      </c>
      <c r="L2296" s="6">
        <v>1647.5</v>
      </c>
      <c r="M2296" s="270">
        <f t="shared" si="72"/>
        <v>-27.5</v>
      </c>
      <c r="N2296" s="19"/>
      <c r="O2296" s="280"/>
      <c r="P2296" s="345">
        <v>14350</v>
      </c>
      <c r="Q2296" s="28">
        <v>0.1285</v>
      </c>
      <c r="U2296" s="29">
        <v>0</v>
      </c>
      <c r="W2296" s="741">
        <f t="shared" si="71"/>
        <v>1843.9750000000001</v>
      </c>
    </row>
    <row r="2297" spans="1:23" ht="15" customHeight="1">
      <c r="A2297" s="3">
        <v>39112</v>
      </c>
      <c r="B2297" s="4">
        <v>28475</v>
      </c>
      <c r="D2297" s="5">
        <v>10125</v>
      </c>
      <c r="E2297" s="5">
        <f t="shared" si="70"/>
        <v>0</v>
      </c>
      <c r="F2297" s="5">
        <v>38600</v>
      </c>
      <c r="K2297" s="24">
        <v>1711</v>
      </c>
      <c r="L2297" s="6">
        <v>1671</v>
      </c>
      <c r="M2297" s="270">
        <f t="shared" si="72"/>
        <v>-40</v>
      </c>
      <c r="N2297" s="19"/>
      <c r="O2297" s="280"/>
      <c r="P2297" s="345">
        <v>14325</v>
      </c>
      <c r="Q2297" s="28">
        <v>0.12809999999999999</v>
      </c>
      <c r="U2297" s="29">
        <v>0</v>
      </c>
      <c r="W2297" s="741">
        <f t="shared" si="71"/>
        <v>1835.0324999999998</v>
      </c>
    </row>
    <row r="2298" spans="1:23" ht="15" customHeight="1" thickBot="1">
      <c r="A2298" s="12">
        <v>39113</v>
      </c>
      <c r="B2298" s="13">
        <v>28475</v>
      </c>
      <c r="C2298" s="13"/>
      <c r="D2298" s="14">
        <v>10575</v>
      </c>
      <c r="E2298" s="14">
        <f t="shared" si="70"/>
        <v>0</v>
      </c>
      <c r="F2298" s="14">
        <v>39050</v>
      </c>
      <c r="G2298" s="14"/>
      <c r="H2298" s="14"/>
      <c r="I2298" s="14"/>
      <c r="J2298" s="264"/>
      <c r="K2298" s="25">
        <v>1729.5</v>
      </c>
      <c r="L2298" s="15">
        <v>1695</v>
      </c>
      <c r="M2298" s="271">
        <f t="shared" si="72"/>
        <v>-34.5</v>
      </c>
      <c r="N2298" s="20">
        <f>AVERAGE(K2277:K2298)</f>
        <v>1666.090909090909</v>
      </c>
      <c r="O2298" s="281"/>
      <c r="P2298" s="346">
        <v>14325</v>
      </c>
      <c r="Q2298" s="30">
        <v>0.12859999999999999</v>
      </c>
      <c r="R2298" s="30"/>
      <c r="S2298" s="30"/>
      <c r="T2298" s="30"/>
      <c r="U2298" s="31">
        <v>0</v>
      </c>
      <c r="V2298" s="46">
        <f>AVERAGE(P2277:P2298)</f>
        <v>14440.90909090909</v>
      </c>
      <c r="W2298" s="741">
        <f t="shared" si="71"/>
        <v>1842.1949999999999</v>
      </c>
    </row>
    <row r="2299" spans="1:23" ht="15" customHeight="1">
      <c r="A2299" s="3">
        <v>39114</v>
      </c>
      <c r="B2299" s="4">
        <v>28475</v>
      </c>
      <c r="D2299" s="5">
        <v>10775</v>
      </c>
      <c r="E2299" s="5">
        <f t="shared" si="70"/>
        <v>0</v>
      </c>
      <c r="F2299" s="5">
        <v>39250</v>
      </c>
      <c r="K2299" s="24">
        <v>1736</v>
      </c>
      <c r="L2299" s="6">
        <v>1699</v>
      </c>
      <c r="M2299" s="270">
        <f t="shared" si="72"/>
        <v>-37</v>
      </c>
      <c r="N2299" s="21"/>
      <c r="O2299" s="283"/>
      <c r="P2299" s="345">
        <v>14350</v>
      </c>
      <c r="Q2299" s="28">
        <v>0.1288</v>
      </c>
      <c r="U2299" s="29">
        <v>0</v>
      </c>
      <c r="W2299" s="741">
        <f t="shared" si="71"/>
        <v>1848.28</v>
      </c>
    </row>
    <row r="2300" spans="1:23" ht="15" customHeight="1">
      <c r="A2300" s="3">
        <v>39115</v>
      </c>
      <c r="B2300" s="4">
        <v>28175</v>
      </c>
      <c r="D2300" s="5">
        <v>10900</v>
      </c>
      <c r="E2300" s="5">
        <f t="shared" si="70"/>
        <v>0</v>
      </c>
      <c r="F2300" s="5">
        <v>39075</v>
      </c>
      <c r="K2300" s="24">
        <v>1697</v>
      </c>
      <c r="L2300" s="6">
        <v>1670</v>
      </c>
      <c r="M2300" s="270">
        <f t="shared" si="72"/>
        <v>-27</v>
      </c>
      <c r="N2300" s="19"/>
      <c r="O2300" s="280"/>
      <c r="P2300" s="345">
        <v>14325</v>
      </c>
      <c r="Q2300" s="28">
        <v>0.1288</v>
      </c>
      <c r="U2300" s="29">
        <v>0</v>
      </c>
      <c r="W2300" s="741">
        <f t="shared" si="71"/>
        <v>1845.06</v>
      </c>
    </row>
    <row r="2301" spans="1:23" ht="15" customHeight="1">
      <c r="A2301" s="3">
        <v>39118</v>
      </c>
      <c r="B2301" s="4">
        <v>27850</v>
      </c>
      <c r="D2301" s="5">
        <v>11125</v>
      </c>
      <c r="E2301" s="5">
        <f t="shared" si="70"/>
        <v>0</v>
      </c>
      <c r="F2301" s="5">
        <v>38975</v>
      </c>
      <c r="K2301" s="24">
        <v>1674</v>
      </c>
      <c r="L2301" s="6">
        <v>1631</v>
      </c>
      <c r="M2301" s="270">
        <f t="shared" si="72"/>
        <v>-43</v>
      </c>
      <c r="N2301" s="19"/>
      <c r="O2301" s="280"/>
      <c r="P2301" s="345">
        <v>14300</v>
      </c>
      <c r="Q2301" s="28">
        <v>0.1288</v>
      </c>
      <c r="U2301" s="29">
        <v>0</v>
      </c>
      <c r="W2301" s="741">
        <f t="shared" si="71"/>
        <v>1841.84</v>
      </c>
    </row>
    <row r="2302" spans="1:23" ht="15" customHeight="1">
      <c r="A2302" s="3">
        <v>39119</v>
      </c>
      <c r="B2302" s="4">
        <v>26700</v>
      </c>
      <c r="D2302" s="5">
        <v>11250</v>
      </c>
      <c r="E2302" s="5">
        <f t="shared" si="70"/>
        <v>0</v>
      </c>
      <c r="F2302" s="5">
        <v>37950</v>
      </c>
      <c r="K2302" s="24">
        <v>1615</v>
      </c>
      <c r="L2302" s="6">
        <v>1576</v>
      </c>
      <c r="M2302" s="270">
        <f t="shared" si="72"/>
        <v>-39</v>
      </c>
      <c r="N2302" s="19"/>
      <c r="O2302" s="280"/>
      <c r="P2302" s="345">
        <v>14300</v>
      </c>
      <c r="Q2302" s="28">
        <v>0.12889999999999999</v>
      </c>
      <c r="U2302" s="29">
        <v>0</v>
      </c>
      <c r="W2302" s="741">
        <f t="shared" si="71"/>
        <v>1843.2699999999998</v>
      </c>
    </row>
    <row r="2303" spans="1:23" ht="15" customHeight="1">
      <c r="A2303" s="3">
        <v>39120</v>
      </c>
      <c r="B2303" s="4">
        <v>26450</v>
      </c>
      <c r="D2303" s="5">
        <v>11250</v>
      </c>
      <c r="E2303" s="5">
        <f t="shared" si="70"/>
        <v>250</v>
      </c>
      <c r="F2303" s="5">
        <v>37950</v>
      </c>
      <c r="K2303" s="24">
        <v>1585</v>
      </c>
      <c r="L2303" s="6">
        <v>1550</v>
      </c>
      <c r="M2303" s="270">
        <f t="shared" si="72"/>
        <v>-35</v>
      </c>
      <c r="N2303" s="19"/>
      <c r="O2303" s="280"/>
      <c r="P2303" s="345">
        <v>14300</v>
      </c>
      <c r="Q2303" s="28">
        <v>0.129</v>
      </c>
      <c r="U2303" s="29">
        <v>0</v>
      </c>
      <c r="W2303" s="741">
        <f t="shared" si="71"/>
        <v>1844.7</v>
      </c>
    </row>
    <row r="2304" spans="1:23" ht="15" customHeight="1">
      <c r="A2304" s="3">
        <v>39121</v>
      </c>
      <c r="B2304" s="4">
        <v>26300</v>
      </c>
      <c r="D2304" s="5">
        <v>11325</v>
      </c>
      <c r="E2304" s="5">
        <f t="shared" ref="E2304:E2344" si="73">F2304-(B2304+D2304)</f>
        <v>0</v>
      </c>
      <c r="F2304" s="5">
        <v>37625</v>
      </c>
      <c r="K2304" s="24">
        <v>1580</v>
      </c>
      <c r="L2304" s="6">
        <v>1536</v>
      </c>
      <c r="M2304" s="270">
        <f t="shared" si="72"/>
        <v>-44</v>
      </c>
      <c r="N2304" s="19"/>
      <c r="O2304" s="280"/>
      <c r="P2304" s="345">
        <v>14325</v>
      </c>
      <c r="Q2304" s="28">
        <v>0.129</v>
      </c>
      <c r="U2304" s="29">
        <v>0</v>
      </c>
      <c r="W2304" s="741">
        <f t="shared" si="71"/>
        <v>1847.925</v>
      </c>
    </row>
    <row r="2305" spans="1:25" ht="15" customHeight="1">
      <c r="A2305" s="3">
        <v>39122</v>
      </c>
      <c r="B2305" s="4">
        <v>25300</v>
      </c>
      <c r="D2305" s="5">
        <v>11325</v>
      </c>
      <c r="E2305" s="5">
        <f t="shared" si="73"/>
        <v>0</v>
      </c>
      <c r="F2305" s="5">
        <v>36625</v>
      </c>
      <c r="K2305" s="24">
        <v>1645</v>
      </c>
      <c r="L2305" s="6">
        <v>1610</v>
      </c>
      <c r="M2305" s="270">
        <f t="shared" si="72"/>
        <v>-35</v>
      </c>
      <c r="N2305" s="19"/>
      <c r="O2305" s="280"/>
      <c r="P2305" s="345">
        <v>14325</v>
      </c>
      <c r="Q2305" s="28">
        <v>0.12889999999999999</v>
      </c>
      <c r="U2305" s="29">
        <v>0</v>
      </c>
      <c r="W2305" s="741">
        <f t="shared" si="71"/>
        <v>1846.4924999999998</v>
      </c>
    </row>
    <row r="2306" spans="1:25" ht="15" customHeight="1">
      <c r="A2306" s="3">
        <v>39125</v>
      </c>
      <c r="B2306" s="4">
        <v>24975</v>
      </c>
      <c r="D2306" s="5">
        <v>11750</v>
      </c>
      <c r="E2306" s="5">
        <f t="shared" si="73"/>
        <v>0</v>
      </c>
      <c r="F2306" s="5">
        <v>36725</v>
      </c>
      <c r="K2306" s="24">
        <v>1710</v>
      </c>
      <c r="L2306" s="6">
        <v>1660</v>
      </c>
      <c r="M2306" s="270">
        <f t="shared" si="72"/>
        <v>-50</v>
      </c>
      <c r="N2306" s="19"/>
      <c r="O2306" s="280"/>
      <c r="P2306" s="345">
        <v>14350</v>
      </c>
      <c r="Q2306" s="28">
        <v>0.1288</v>
      </c>
      <c r="U2306" s="29">
        <v>0</v>
      </c>
      <c r="W2306" s="741">
        <f t="shared" si="71"/>
        <v>1848.28</v>
      </c>
    </row>
    <row r="2307" spans="1:25" ht="15" customHeight="1">
      <c r="A2307" s="3">
        <v>39126</v>
      </c>
      <c r="B2307" s="4">
        <v>23925</v>
      </c>
      <c r="D2307" s="5">
        <v>11950</v>
      </c>
      <c r="E2307" s="5">
        <f t="shared" si="73"/>
        <v>0</v>
      </c>
      <c r="F2307" s="5">
        <v>35875</v>
      </c>
      <c r="K2307" s="24">
        <v>1745</v>
      </c>
      <c r="L2307" s="6">
        <v>1690</v>
      </c>
      <c r="M2307" s="270">
        <f t="shared" si="72"/>
        <v>-55</v>
      </c>
      <c r="N2307" s="19"/>
      <c r="O2307" s="280"/>
      <c r="P2307" s="345">
        <v>14350</v>
      </c>
      <c r="Q2307" s="28">
        <v>0.1288</v>
      </c>
      <c r="U2307" s="29">
        <v>0</v>
      </c>
      <c r="W2307" s="741">
        <f t="shared" si="71"/>
        <v>1848.28</v>
      </c>
    </row>
    <row r="2308" spans="1:25" ht="15" customHeight="1">
      <c r="A2308" s="3">
        <v>39127</v>
      </c>
      <c r="B2308" s="4">
        <v>22950</v>
      </c>
      <c r="D2308" s="5">
        <v>12050</v>
      </c>
      <c r="E2308" s="5">
        <f t="shared" si="73"/>
        <v>0</v>
      </c>
      <c r="F2308" s="5">
        <v>35000</v>
      </c>
      <c r="K2308" s="24">
        <v>1730</v>
      </c>
      <c r="L2308" s="6">
        <v>1680</v>
      </c>
      <c r="M2308" s="270">
        <f t="shared" si="72"/>
        <v>-50</v>
      </c>
      <c r="N2308" s="19"/>
      <c r="O2308" s="280"/>
      <c r="P2308" s="345">
        <v>14350</v>
      </c>
      <c r="Q2308" s="28">
        <v>0.12889999999999999</v>
      </c>
      <c r="U2308" s="29">
        <v>0</v>
      </c>
      <c r="W2308" s="741">
        <f t="shared" si="71"/>
        <v>1849.7149999999999</v>
      </c>
    </row>
    <row r="2309" spans="1:25" ht="15" customHeight="1">
      <c r="A2309" s="3">
        <v>39128</v>
      </c>
      <c r="B2309" s="4">
        <v>22000</v>
      </c>
      <c r="D2309" s="5">
        <v>12200</v>
      </c>
      <c r="E2309" s="5">
        <f t="shared" si="73"/>
        <v>0</v>
      </c>
      <c r="F2309" s="5">
        <v>34200</v>
      </c>
      <c r="K2309" s="24">
        <v>1780</v>
      </c>
      <c r="L2309" s="6">
        <v>1730</v>
      </c>
      <c r="M2309" s="270">
        <f t="shared" si="72"/>
        <v>-50</v>
      </c>
      <c r="N2309" s="19"/>
      <c r="O2309" s="280"/>
      <c r="P2309" s="345">
        <v>14350</v>
      </c>
      <c r="Q2309" s="28">
        <v>0.129</v>
      </c>
      <c r="U2309" s="29">
        <v>0</v>
      </c>
      <c r="W2309" s="741">
        <f t="shared" si="71"/>
        <v>1851.15</v>
      </c>
    </row>
    <row r="2310" spans="1:25" ht="15" customHeight="1">
      <c r="A2310" s="3">
        <v>39129</v>
      </c>
      <c r="B2310" s="4">
        <v>20975</v>
      </c>
      <c r="D2310" s="5">
        <v>12325</v>
      </c>
      <c r="E2310" s="5">
        <f t="shared" si="73"/>
        <v>0</v>
      </c>
      <c r="F2310" s="5">
        <v>33300</v>
      </c>
      <c r="K2310" s="24">
        <v>1807.5</v>
      </c>
      <c r="L2310" s="6">
        <v>1766</v>
      </c>
      <c r="M2310" s="270">
        <f t="shared" si="72"/>
        <v>-41.5</v>
      </c>
      <c r="N2310" s="19"/>
      <c r="O2310" s="280"/>
      <c r="P2310" s="345"/>
      <c r="Q2310" s="1016" t="s">
        <v>10</v>
      </c>
      <c r="R2310" s="1016"/>
      <c r="S2310" s="1016"/>
      <c r="T2310" s="1016"/>
      <c r="U2310" s="1016"/>
      <c r="V2310" s="360"/>
      <c r="W2310" s="741" t="e">
        <f t="shared" si="71"/>
        <v>#VALUE!</v>
      </c>
    </row>
    <row r="2311" spans="1:25" ht="15" customHeight="1">
      <c r="A2311" s="3">
        <v>39132</v>
      </c>
      <c r="B2311" s="4">
        <v>20025</v>
      </c>
      <c r="D2311" s="5">
        <v>12450</v>
      </c>
      <c r="E2311" s="5">
        <f t="shared" si="73"/>
        <v>0</v>
      </c>
      <c r="F2311" s="5">
        <v>32475</v>
      </c>
      <c r="K2311" s="24">
        <v>1861</v>
      </c>
      <c r="L2311" s="6">
        <v>1820</v>
      </c>
      <c r="M2311" s="270">
        <f t="shared" si="72"/>
        <v>-41</v>
      </c>
      <c r="N2311" s="19"/>
      <c r="O2311" s="280"/>
      <c r="P2311" s="376"/>
      <c r="Q2311" s="1016"/>
      <c r="R2311" s="1016"/>
      <c r="S2311" s="1016"/>
      <c r="T2311" s="1016"/>
      <c r="U2311" s="1016"/>
      <c r="V2311" s="360"/>
      <c r="W2311" s="741">
        <f t="shared" si="71"/>
        <v>0</v>
      </c>
      <c r="Y2311" s="377"/>
    </row>
    <row r="2312" spans="1:25" ht="15" customHeight="1">
      <c r="A2312" s="3">
        <v>39133</v>
      </c>
      <c r="B2312" s="4">
        <v>20025</v>
      </c>
      <c r="D2312" s="5">
        <v>12500</v>
      </c>
      <c r="E2312" s="5">
        <f t="shared" si="73"/>
        <v>0</v>
      </c>
      <c r="F2312" s="5">
        <v>32525</v>
      </c>
      <c r="K2312" s="24">
        <v>1844.5</v>
      </c>
      <c r="L2312" s="6">
        <v>1795</v>
      </c>
      <c r="M2312" s="270">
        <f t="shared" si="72"/>
        <v>-49.5</v>
      </c>
      <c r="N2312" s="19"/>
      <c r="O2312" s="280"/>
      <c r="P2312" s="376"/>
      <c r="Q2312" s="1016"/>
      <c r="R2312" s="1016"/>
      <c r="S2312" s="1016"/>
      <c r="T2312" s="1016"/>
      <c r="U2312" s="1016"/>
      <c r="V2312" s="360"/>
      <c r="W2312" s="741">
        <f t="shared" si="71"/>
        <v>0</v>
      </c>
    </row>
    <row r="2313" spans="1:25" ht="15" customHeight="1">
      <c r="A2313" s="3">
        <v>39134</v>
      </c>
      <c r="B2313" s="4">
        <v>20025</v>
      </c>
      <c r="D2313" s="5">
        <v>12500</v>
      </c>
      <c r="E2313" s="5">
        <f t="shared" si="73"/>
        <v>0</v>
      </c>
      <c r="F2313" s="5">
        <v>32525</v>
      </c>
      <c r="K2313" s="24">
        <v>1870</v>
      </c>
      <c r="L2313" s="6">
        <v>1820</v>
      </c>
      <c r="M2313" s="270">
        <f t="shared" si="72"/>
        <v>-50</v>
      </c>
      <c r="N2313" s="19"/>
      <c r="O2313" s="280"/>
      <c r="P2313" s="376"/>
      <c r="Q2313" s="1016"/>
      <c r="R2313" s="1016"/>
      <c r="S2313" s="1016"/>
      <c r="T2313" s="1016"/>
      <c r="U2313" s="1016"/>
      <c r="V2313" s="360"/>
      <c r="W2313" s="741">
        <f t="shared" si="71"/>
        <v>0</v>
      </c>
    </row>
    <row r="2314" spans="1:25" ht="15" customHeight="1">
      <c r="A2314" s="3">
        <v>39135</v>
      </c>
      <c r="B2314" s="4">
        <v>19825</v>
      </c>
      <c r="D2314" s="5">
        <v>12550</v>
      </c>
      <c r="E2314" s="5">
        <f t="shared" si="73"/>
        <v>0</v>
      </c>
      <c r="F2314" s="5">
        <v>32375</v>
      </c>
      <c r="K2314" s="24">
        <v>1899</v>
      </c>
      <c r="L2314" s="6">
        <v>1860</v>
      </c>
      <c r="M2314" s="270">
        <f t="shared" si="72"/>
        <v>-39</v>
      </c>
      <c r="N2314" s="19"/>
      <c r="O2314" s="280"/>
      <c r="P2314" s="376"/>
      <c r="Q2314" s="1016"/>
      <c r="R2314" s="1016"/>
      <c r="S2314" s="1016"/>
      <c r="T2314" s="1016"/>
      <c r="U2314" s="1016"/>
      <c r="V2314" s="360"/>
      <c r="W2314" s="741">
        <f t="shared" si="71"/>
        <v>0</v>
      </c>
    </row>
    <row r="2315" spans="1:25" ht="15" customHeight="1">
      <c r="A2315" s="3">
        <v>39136</v>
      </c>
      <c r="B2315" s="4">
        <v>19225</v>
      </c>
      <c r="D2315" s="5">
        <v>12775</v>
      </c>
      <c r="E2315" s="5">
        <f t="shared" si="73"/>
        <v>0</v>
      </c>
      <c r="F2315" s="5">
        <v>32000</v>
      </c>
      <c r="K2315" s="24">
        <v>1960</v>
      </c>
      <c r="L2315" s="6">
        <v>1915</v>
      </c>
      <c r="M2315" s="270">
        <f t="shared" si="72"/>
        <v>-45</v>
      </c>
      <c r="N2315" s="19"/>
      <c r="O2315" s="280"/>
      <c r="P2315" s="376"/>
      <c r="Q2315" s="1016"/>
      <c r="R2315" s="1016"/>
      <c r="S2315" s="1016"/>
      <c r="T2315" s="1016"/>
      <c r="U2315" s="1016"/>
      <c r="V2315" s="360"/>
      <c r="W2315" s="741">
        <f t="shared" si="71"/>
        <v>0</v>
      </c>
    </row>
    <row r="2316" spans="1:25" ht="15" customHeight="1">
      <c r="A2316" s="3">
        <v>39139</v>
      </c>
      <c r="B2316" s="4">
        <v>18950</v>
      </c>
      <c r="D2316" s="5">
        <v>12950</v>
      </c>
      <c r="E2316" s="5">
        <f t="shared" si="73"/>
        <v>0</v>
      </c>
      <c r="F2316" s="5">
        <v>31900</v>
      </c>
      <c r="K2316" s="24">
        <v>2000</v>
      </c>
      <c r="L2316" s="6">
        <v>1950</v>
      </c>
      <c r="M2316" s="270">
        <f t="shared" si="72"/>
        <v>-50</v>
      </c>
      <c r="N2316" s="19"/>
      <c r="O2316" s="280"/>
      <c r="P2316" s="345">
        <v>14900</v>
      </c>
      <c r="Q2316" s="28">
        <v>0.129</v>
      </c>
      <c r="U2316" s="29">
        <v>0</v>
      </c>
      <c r="W2316" s="741">
        <f t="shared" si="71"/>
        <v>1922.1000000000001</v>
      </c>
    </row>
    <row r="2317" spans="1:25" ht="15" customHeight="1">
      <c r="A2317" s="3">
        <v>39140</v>
      </c>
      <c r="B2317" s="4">
        <v>18725</v>
      </c>
      <c r="D2317" s="5">
        <v>13350</v>
      </c>
      <c r="E2317" s="5">
        <f t="shared" si="73"/>
        <v>0</v>
      </c>
      <c r="F2317" s="5">
        <v>32075</v>
      </c>
      <c r="K2317" s="24">
        <v>1943</v>
      </c>
      <c r="L2317" s="6">
        <v>1900</v>
      </c>
      <c r="M2317" s="270">
        <f t="shared" si="72"/>
        <v>-43</v>
      </c>
      <c r="N2317" s="19"/>
      <c r="O2317" s="280"/>
      <c r="P2317" s="345">
        <v>14950</v>
      </c>
      <c r="Q2317" s="28">
        <v>0.12920000000000001</v>
      </c>
      <c r="U2317" s="29">
        <v>0</v>
      </c>
      <c r="W2317" s="741">
        <f t="shared" si="71"/>
        <v>1931.5400000000002</v>
      </c>
    </row>
    <row r="2318" spans="1:25" ht="15" customHeight="1" thickBot="1">
      <c r="A2318" s="12">
        <v>39141</v>
      </c>
      <c r="B2318" s="13">
        <v>18225</v>
      </c>
      <c r="C2318" s="13"/>
      <c r="D2318" s="14">
        <v>13875</v>
      </c>
      <c r="E2318" s="14">
        <f t="shared" si="73"/>
        <v>0</v>
      </c>
      <c r="F2318" s="14">
        <v>32100</v>
      </c>
      <c r="G2318" s="14"/>
      <c r="H2318" s="14"/>
      <c r="I2318" s="14"/>
      <c r="J2318" s="264"/>
      <c r="K2318" s="25">
        <v>1910</v>
      </c>
      <c r="L2318" s="15">
        <v>1855</v>
      </c>
      <c r="M2318" s="271">
        <f>L2318-K2318</f>
        <v>-55</v>
      </c>
      <c r="N2318" s="20">
        <f>AVERAGE(K2299:K2318)</f>
        <v>1779.6</v>
      </c>
      <c r="O2318" s="281">
        <f>AVERAGE(K2277:K2318)</f>
        <v>1720.1428571428571</v>
      </c>
      <c r="P2318" s="346">
        <v>14950</v>
      </c>
      <c r="Q2318" s="30">
        <v>0.12909999999999999</v>
      </c>
      <c r="R2318" s="30"/>
      <c r="S2318" s="30"/>
      <c r="T2318" s="30"/>
      <c r="U2318" s="31">
        <v>0</v>
      </c>
      <c r="V2318" s="46">
        <f>AVERAGE(P2299:P2318)</f>
        <v>14458.928571428571</v>
      </c>
      <c r="W2318" s="741">
        <f t="shared" si="71"/>
        <v>1930.0449999999998</v>
      </c>
    </row>
    <row r="2319" spans="1:25" ht="15" customHeight="1">
      <c r="A2319" s="3">
        <v>39142</v>
      </c>
      <c r="B2319" s="4">
        <v>17475</v>
      </c>
      <c r="D2319" s="5">
        <v>14150</v>
      </c>
      <c r="E2319" s="5">
        <f t="shared" si="73"/>
        <v>0</v>
      </c>
      <c r="F2319" s="5">
        <v>31625</v>
      </c>
      <c r="K2319" s="24">
        <v>1980</v>
      </c>
      <c r="L2319" s="6">
        <v>1928</v>
      </c>
      <c r="M2319" s="270">
        <f t="shared" ref="M2319:M2344" si="74">L2319-K2319</f>
        <v>-52</v>
      </c>
      <c r="N2319" s="19"/>
      <c r="O2319" s="280"/>
      <c r="P2319" s="348">
        <v>14950</v>
      </c>
      <c r="Q2319" s="28">
        <v>0.12909999999999999</v>
      </c>
      <c r="U2319" s="29">
        <v>0</v>
      </c>
      <c r="W2319" s="741">
        <f t="shared" si="71"/>
        <v>1930.0449999999998</v>
      </c>
    </row>
    <row r="2320" spans="1:25" ht="15" customHeight="1">
      <c r="A2320" s="3">
        <v>39143</v>
      </c>
      <c r="B2320" s="4">
        <v>17300</v>
      </c>
      <c r="D2320" s="5">
        <v>15000</v>
      </c>
      <c r="E2320" s="5">
        <f t="shared" si="73"/>
        <v>0</v>
      </c>
      <c r="F2320" s="5">
        <v>32300</v>
      </c>
      <c r="K2320" s="24">
        <v>1909</v>
      </c>
      <c r="L2320" s="6">
        <v>1875</v>
      </c>
      <c r="M2320" s="270">
        <f t="shared" si="74"/>
        <v>-34</v>
      </c>
      <c r="N2320" s="19"/>
      <c r="O2320" s="280"/>
      <c r="P2320" s="345">
        <v>15050</v>
      </c>
      <c r="Q2320" s="28">
        <v>0.12909999999999999</v>
      </c>
      <c r="U2320" s="29">
        <v>0</v>
      </c>
      <c r="W2320" s="741">
        <f t="shared" si="71"/>
        <v>1942.9549999999999</v>
      </c>
    </row>
    <row r="2321" spans="1:23" ht="15" customHeight="1">
      <c r="A2321" s="3">
        <v>39146</v>
      </c>
      <c r="B2321" s="4">
        <v>15300</v>
      </c>
      <c r="D2321" s="5">
        <v>17000</v>
      </c>
      <c r="E2321" s="5">
        <f t="shared" si="73"/>
        <v>0</v>
      </c>
      <c r="F2321" s="5">
        <v>32300</v>
      </c>
      <c r="K2321" s="24">
        <v>1840</v>
      </c>
      <c r="L2321" s="6">
        <v>1795</v>
      </c>
      <c r="M2321" s="270">
        <f t="shared" si="74"/>
        <v>-45</v>
      </c>
      <c r="N2321" s="19"/>
      <c r="O2321" s="280"/>
      <c r="P2321" s="345">
        <v>15025</v>
      </c>
      <c r="Q2321" s="28">
        <v>0.12920000000000001</v>
      </c>
      <c r="U2321" s="29">
        <v>0</v>
      </c>
      <c r="W2321" s="741">
        <f t="shared" si="71"/>
        <v>1941.2300000000002</v>
      </c>
    </row>
    <row r="2322" spans="1:23" ht="15" customHeight="1">
      <c r="A2322" s="3">
        <v>39147</v>
      </c>
      <c r="B2322" s="4">
        <v>15300</v>
      </c>
      <c r="D2322" s="5">
        <v>16675</v>
      </c>
      <c r="E2322" s="5">
        <f t="shared" si="73"/>
        <v>0</v>
      </c>
      <c r="F2322" s="5">
        <v>31975</v>
      </c>
      <c r="K2322" s="24">
        <v>1900</v>
      </c>
      <c r="L2322" s="6">
        <v>1871</v>
      </c>
      <c r="M2322" s="270">
        <f t="shared" si="74"/>
        <v>-29</v>
      </c>
      <c r="N2322" s="19"/>
      <c r="O2322" s="280"/>
      <c r="P2322" s="345">
        <v>14975</v>
      </c>
      <c r="Q2322" s="28">
        <v>0.12909999999999999</v>
      </c>
      <c r="U2322" s="29">
        <v>0</v>
      </c>
      <c r="W2322" s="741">
        <f t="shared" si="71"/>
        <v>1933.2724999999998</v>
      </c>
    </row>
    <row r="2323" spans="1:23" ht="15" customHeight="1">
      <c r="A2323" s="3">
        <v>39148</v>
      </c>
      <c r="B2323" s="4">
        <v>15400</v>
      </c>
      <c r="D2323" s="5">
        <v>16325</v>
      </c>
      <c r="E2323" s="5">
        <f t="shared" si="73"/>
        <v>0</v>
      </c>
      <c r="F2323" s="5">
        <v>31725</v>
      </c>
      <c r="K2323" s="24">
        <v>1884</v>
      </c>
      <c r="L2323" s="6">
        <v>1850</v>
      </c>
      <c r="M2323" s="270">
        <f t="shared" si="74"/>
        <v>-34</v>
      </c>
      <c r="N2323" s="19"/>
      <c r="O2323" s="280"/>
      <c r="P2323" s="345">
        <v>14975</v>
      </c>
      <c r="Q2323" s="28">
        <v>0.12909999999999999</v>
      </c>
      <c r="U2323" s="29">
        <v>0</v>
      </c>
      <c r="W2323" s="741">
        <f t="shared" si="71"/>
        <v>1933.2724999999998</v>
      </c>
    </row>
    <row r="2324" spans="1:23" ht="15" customHeight="1">
      <c r="A2324" s="3">
        <v>39149</v>
      </c>
      <c r="B2324" s="4">
        <v>15500</v>
      </c>
      <c r="D2324" s="5">
        <v>16325</v>
      </c>
      <c r="E2324" s="5">
        <f t="shared" si="73"/>
        <v>0</v>
      </c>
      <c r="F2324" s="5">
        <v>31825</v>
      </c>
      <c r="K2324" s="24">
        <v>1871</v>
      </c>
      <c r="L2324" s="6">
        <v>1845</v>
      </c>
      <c r="M2324" s="270">
        <f t="shared" si="74"/>
        <v>-26</v>
      </c>
      <c r="N2324" s="19"/>
      <c r="O2324" s="280"/>
      <c r="P2324" s="345">
        <v>14975</v>
      </c>
      <c r="Q2324" s="28">
        <v>0.12920000000000001</v>
      </c>
      <c r="U2324" s="29">
        <v>0</v>
      </c>
      <c r="W2324" s="741">
        <f t="shared" si="71"/>
        <v>1934.7700000000002</v>
      </c>
    </row>
    <row r="2325" spans="1:23" ht="15" customHeight="1">
      <c r="A2325" s="3">
        <v>39150</v>
      </c>
      <c r="B2325" s="4">
        <v>15825</v>
      </c>
      <c r="D2325" s="5">
        <v>15775</v>
      </c>
      <c r="E2325" s="5">
        <f t="shared" si="73"/>
        <v>0</v>
      </c>
      <c r="F2325" s="5">
        <v>31600</v>
      </c>
      <c r="K2325" s="24">
        <v>1833</v>
      </c>
      <c r="L2325" s="6">
        <v>1804</v>
      </c>
      <c r="M2325" s="270">
        <f t="shared" si="74"/>
        <v>-29</v>
      </c>
      <c r="N2325" s="19"/>
      <c r="O2325" s="280"/>
      <c r="P2325" s="345">
        <v>14800</v>
      </c>
      <c r="Q2325" s="28">
        <v>0.12909999999999999</v>
      </c>
      <c r="U2325" s="29">
        <v>0</v>
      </c>
      <c r="W2325" s="741">
        <f t="shared" si="71"/>
        <v>1910.6799999999998</v>
      </c>
    </row>
    <row r="2326" spans="1:23" ht="15" customHeight="1">
      <c r="A2326" s="3">
        <v>39153</v>
      </c>
      <c r="B2326" s="4">
        <v>15600</v>
      </c>
      <c r="D2326" s="5">
        <v>15950</v>
      </c>
      <c r="E2326" s="5">
        <f t="shared" si="73"/>
        <v>0</v>
      </c>
      <c r="F2326" s="5">
        <v>31550</v>
      </c>
      <c r="K2326" s="24">
        <v>1880.5</v>
      </c>
      <c r="L2326" s="6">
        <v>1846</v>
      </c>
      <c r="M2326" s="270">
        <f t="shared" si="74"/>
        <v>-34.5</v>
      </c>
      <c r="N2326" s="19"/>
      <c r="O2326" s="280"/>
      <c r="P2326" s="345">
        <v>14700</v>
      </c>
      <c r="Q2326" s="28">
        <v>0.12909999999999999</v>
      </c>
      <c r="U2326" s="29">
        <v>0</v>
      </c>
      <c r="W2326" s="741">
        <f t="shared" si="71"/>
        <v>1897.77</v>
      </c>
    </row>
    <row r="2327" spans="1:23" ht="15" customHeight="1">
      <c r="A2327" s="3">
        <v>39154</v>
      </c>
      <c r="B2327" s="4">
        <v>14700</v>
      </c>
      <c r="D2327" s="5">
        <v>16200</v>
      </c>
      <c r="E2327" s="5">
        <f t="shared" si="73"/>
        <v>0</v>
      </c>
      <c r="F2327" s="5">
        <v>30900</v>
      </c>
      <c r="K2327" s="24">
        <v>1916</v>
      </c>
      <c r="L2327" s="6">
        <v>1885</v>
      </c>
      <c r="M2327" s="270">
        <f t="shared" si="74"/>
        <v>-31</v>
      </c>
      <c r="N2327" s="19"/>
      <c r="O2327" s="280"/>
      <c r="P2327" s="345">
        <v>14800</v>
      </c>
      <c r="Q2327" s="28">
        <v>0.12920000000000001</v>
      </c>
      <c r="U2327" s="29">
        <v>0</v>
      </c>
      <c r="W2327" s="741">
        <f t="shared" si="71"/>
        <v>1912.16</v>
      </c>
    </row>
    <row r="2328" spans="1:23" ht="15" customHeight="1">
      <c r="A2328" s="3">
        <v>39155</v>
      </c>
      <c r="B2328" s="4">
        <v>14600</v>
      </c>
      <c r="D2328" s="5">
        <v>16650</v>
      </c>
      <c r="E2328" s="5">
        <f t="shared" si="73"/>
        <v>0</v>
      </c>
      <c r="F2328" s="5">
        <v>31250</v>
      </c>
      <c r="K2328" s="24">
        <v>1900</v>
      </c>
      <c r="L2328" s="6">
        <v>1870</v>
      </c>
      <c r="M2328" s="270">
        <f t="shared" si="74"/>
        <v>-30</v>
      </c>
      <c r="N2328" s="19"/>
      <c r="O2328" s="280"/>
      <c r="P2328" s="345">
        <v>14775</v>
      </c>
      <c r="Q2328" s="28">
        <v>0.12920000000000001</v>
      </c>
      <c r="U2328" s="29">
        <v>0</v>
      </c>
      <c r="W2328" s="741">
        <f t="shared" si="71"/>
        <v>1908.93</v>
      </c>
    </row>
    <row r="2329" spans="1:23" ht="15" customHeight="1">
      <c r="A2329" s="3">
        <v>39156</v>
      </c>
      <c r="B2329" s="4">
        <v>14275</v>
      </c>
      <c r="D2329" s="5">
        <v>16800</v>
      </c>
      <c r="E2329" s="5">
        <f t="shared" si="73"/>
        <v>0</v>
      </c>
      <c r="F2329" s="5">
        <v>31075</v>
      </c>
      <c r="K2329" s="24">
        <v>1945</v>
      </c>
      <c r="L2329" s="6">
        <v>1909</v>
      </c>
      <c r="M2329" s="270">
        <f t="shared" si="74"/>
        <v>-36</v>
      </c>
      <c r="N2329" s="19"/>
      <c r="O2329" s="280"/>
      <c r="P2329" s="345">
        <v>14775</v>
      </c>
      <c r="Q2329" s="28">
        <v>0.12920000000000001</v>
      </c>
      <c r="U2329" s="29">
        <v>0</v>
      </c>
      <c r="W2329" s="741">
        <f t="shared" si="71"/>
        <v>1908.93</v>
      </c>
    </row>
    <row r="2330" spans="1:23" ht="15" customHeight="1">
      <c r="A2330" s="3">
        <v>39157</v>
      </c>
      <c r="B2330" s="4">
        <v>14075</v>
      </c>
      <c r="D2330" s="5">
        <v>16875</v>
      </c>
      <c r="E2330" s="5">
        <f t="shared" si="73"/>
        <v>0</v>
      </c>
      <c r="F2330" s="5">
        <v>30950</v>
      </c>
      <c r="K2330" s="24">
        <v>1912</v>
      </c>
      <c r="L2330" s="6">
        <v>1885</v>
      </c>
      <c r="M2330" s="270">
        <f t="shared" si="74"/>
        <v>-27</v>
      </c>
      <c r="N2330" s="19"/>
      <c r="O2330" s="280"/>
      <c r="P2330" s="345">
        <v>14900</v>
      </c>
      <c r="Q2330" s="28">
        <v>0.1293</v>
      </c>
      <c r="U2330" s="29">
        <v>0</v>
      </c>
      <c r="W2330" s="741">
        <f t="shared" si="71"/>
        <v>1926.57</v>
      </c>
    </row>
    <row r="2331" spans="1:23" ht="15" customHeight="1">
      <c r="A2331" s="3">
        <v>39160</v>
      </c>
      <c r="B2331" s="4">
        <v>14075</v>
      </c>
      <c r="D2331" s="5">
        <v>17150</v>
      </c>
      <c r="E2331" s="5">
        <f t="shared" si="73"/>
        <v>0</v>
      </c>
      <c r="F2331" s="5">
        <v>31225</v>
      </c>
      <c r="K2331" s="24">
        <v>1963</v>
      </c>
      <c r="L2331" s="6">
        <v>1920</v>
      </c>
      <c r="M2331" s="270">
        <f t="shared" si="74"/>
        <v>-43</v>
      </c>
      <c r="N2331" s="19"/>
      <c r="O2331" s="280"/>
      <c r="P2331" s="345">
        <v>14900</v>
      </c>
      <c r="Q2331" s="28">
        <v>0.1293</v>
      </c>
      <c r="U2331" s="29">
        <v>0</v>
      </c>
      <c r="W2331" s="741">
        <f t="shared" si="71"/>
        <v>1926.57</v>
      </c>
    </row>
    <row r="2332" spans="1:23" ht="15" customHeight="1">
      <c r="A2332" s="3">
        <v>39161</v>
      </c>
      <c r="B2332" s="4">
        <v>13875</v>
      </c>
      <c r="D2332" s="5">
        <v>17200</v>
      </c>
      <c r="E2332" s="5">
        <f t="shared" si="73"/>
        <v>0</v>
      </c>
      <c r="F2332" s="5">
        <v>31075</v>
      </c>
      <c r="K2332" s="24">
        <v>1950</v>
      </c>
      <c r="L2332" s="6">
        <v>1921.5</v>
      </c>
      <c r="M2332" s="270">
        <f>L2332-K2332</f>
        <v>-28.5</v>
      </c>
      <c r="N2332" s="19"/>
      <c r="O2332" s="280"/>
      <c r="P2332" s="345">
        <v>14900</v>
      </c>
      <c r="Q2332" s="28">
        <v>0.12920000000000001</v>
      </c>
      <c r="U2332" s="29">
        <v>0</v>
      </c>
      <c r="W2332" s="741">
        <f t="shared" si="71"/>
        <v>1925.0800000000002</v>
      </c>
    </row>
    <row r="2333" spans="1:23" ht="15" customHeight="1">
      <c r="A2333" s="3">
        <v>39162</v>
      </c>
      <c r="B2333" s="4">
        <v>13875</v>
      </c>
      <c r="D2333" s="5">
        <v>17250</v>
      </c>
      <c r="E2333" s="5">
        <f t="shared" si="73"/>
        <v>0</v>
      </c>
      <c r="F2333" s="5">
        <v>31125</v>
      </c>
      <c r="K2333" s="24">
        <v>1941</v>
      </c>
      <c r="L2333" s="6">
        <v>1915</v>
      </c>
      <c r="M2333" s="270">
        <f t="shared" si="74"/>
        <v>-26</v>
      </c>
      <c r="N2333" s="19"/>
      <c r="O2333" s="280"/>
      <c r="P2333" s="345">
        <v>14900</v>
      </c>
      <c r="Q2333" s="28">
        <v>0.1293</v>
      </c>
      <c r="U2333" s="29">
        <v>0</v>
      </c>
      <c r="W2333" s="741">
        <f t="shared" si="71"/>
        <v>1926.57</v>
      </c>
    </row>
    <row r="2334" spans="1:23" ht="15" customHeight="1">
      <c r="A2334" s="3">
        <v>39163</v>
      </c>
      <c r="B2334" s="4">
        <v>13825</v>
      </c>
      <c r="D2334" s="5">
        <v>17375</v>
      </c>
      <c r="E2334" s="5">
        <f t="shared" si="73"/>
        <v>0</v>
      </c>
      <c r="F2334" s="5">
        <v>31200</v>
      </c>
      <c r="K2334" s="24">
        <v>1939.5</v>
      </c>
      <c r="L2334" s="6">
        <v>1910</v>
      </c>
      <c r="M2334" s="270">
        <f t="shared" si="74"/>
        <v>-29.5</v>
      </c>
      <c r="N2334" s="19"/>
      <c r="O2334" s="280"/>
      <c r="P2334" s="345">
        <v>14900</v>
      </c>
      <c r="Q2334" s="28">
        <v>0.1293</v>
      </c>
      <c r="U2334" s="29">
        <v>0</v>
      </c>
      <c r="W2334" s="741">
        <f t="shared" si="71"/>
        <v>1926.57</v>
      </c>
    </row>
    <row r="2335" spans="1:23" ht="15" customHeight="1">
      <c r="A2335" s="3">
        <v>39164</v>
      </c>
      <c r="B2335" s="4">
        <v>13825</v>
      </c>
      <c r="D2335" s="5">
        <v>17450</v>
      </c>
      <c r="E2335" s="5">
        <f t="shared" si="73"/>
        <v>0</v>
      </c>
      <c r="F2335" s="5">
        <v>31275</v>
      </c>
      <c r="K2335" s="24">
        <v>1945</v>
      </c>
      <c r="L2335" s="6">
        <v>1926</v>
      </c>
      <c r="M2335" s="270">
        <f t="shared" si="74"/>
        <v>-19</v>
      </c>
      <c r="N2335" s="19"/>
      <c r="O2335" s="280"/>
      <c r="P2335" s="345">
        <v>14900</v>
      </c>
      <c r="Q2335" s="28">
        <v>0.1293</v>
      </c>
      <c r="U2335" s="29">
        <v>0</v>
      </c>
      <c r="W2335" s="741">
        <f t="shared" si="71"/>
        <v>1926.57</v>
      </c>
    </row>
    <row r="2336" spans="1:23" ht="15" customHeight="1">
      <c r="A2336" s="3">
        <v>39167</v>
      </c>
      <c r="B2336" s="4">
        <v>14325</v>
      </c>
      <c r="D2336" s="5">
        <v>17600</v>
      </c>
      <c r="E2336" s="5">
        <f t="shared" si="73"/>
        <v>0</v>
      </c>
      <c r="F2336" s="5">
        <v>31925</v>
      </c>
      <c r="K2336" s="24">
        <v>1910</v>
      </c>
      <c r="L2336" s="6">
        <v>1895</v>
      </c>
      <c r="M2336" s="270">
        <f t="shared" si="74"/>
        <v>-15</v>
      </c>
      <c r="N2336" s="19"/>
      <c r="O2336" s="280"/>
      <c r="P2336" s="345">
        <v>14900</v>
      </c>
      <c r="Q2336" s="28">
        <v>0.12920000000000001</v>
      </c>
      <c r="U2336" s="29">
        <v>0</v>
      </c>
      <c r="W2336" s="741">
        <f t="shared" si="71"/>
        <v>1925.0800000000002</v>
      </c>
    </row>
    <row r="2337" spans="1:23" ht="15" customHeight="1">
      <c r="A2337" s="3">
        <v>39168</v>
      </c>
      <c r="B2337" s="4">
        <v>15275</v>
      </c>
      <c r="D2337" s="5">
        <v>17775</v>
      </c>
      <c r="E2337" s="5">
        <f t="shared" si="73"/>
        <v>0</v>
      </c>
      <c r="F2337" s="5">
        <v>33050</v>
      </c>
      <c r="K2337" s="24">
        <v>1904</v>
      </c>
      <c r="L2337" s="6">
        <v>1889.5</v>
      </c>
      <c r="M2337" s="270">
        <f t="shared" si="74"/>
        <v>-14.5</v>
      </c>
      <c r="N2337" s="19"/>
      <c r="O2337" s="280"/>
      <c r="P2337" s="345">
        <v>14900</v>
      </c>
      <c r="Q2337" s="28">
        <v>0.1293</v>
      </c>
      <c r="U2337" s="29">
        <v>0</v>
      </c>
      <c r="W2337" s="741">
        <f t="shared" si="71"/>
        <v>1926.57</v>
      </c>
    </row>
    <row r="2338" spans="1:23" ht="15" customHeight="1">
      <c r="A2338" s="3">
        <v>39169</v>
      </c>
      <c r="B2338" s="4">
        <v>15200</v>
      </c>
      <c r="D2338" s="5">
        <v>18025</v>
      </c>
      <c r="E2338" s="5">
        <f t="shared" si="73"/>
        <v>0</v>
      </c>
      <c r="F2338" s="5">
        <v>33225</v>
      </c>
      <c r="K2338" s="24">
        <v>1938</v>
      </c>
      <c r="L2338" s="6">
        <v>1920</v>
      </c>
      <c r="M2338" s="270">
        <f t="shared" si="74"/>
        <v>-18</v>
      </c>
      <c r="N2338" s="19"/>
      <c r="O2338" s="280"/>
      <c r="P2338" s="345">
        <v>14900</v>
      </c>
      <c r="Q2338" s="28">
        <v>0.12939999999999999</v>
      </c>
      <c r="U2338" s="29">
        <v>0</v>
      </c>
      <c r="W2338" s="741">
        <f t="shared" si="71"/>
        <v>1928.0599999999997</v>
      </c>
    </row>
    <row r="2339" spans="1:23" ht="15" customHeight="1">
      <c r="A2339" s="3">
        <v>39170</v>
      </c>
      <c r="B2339" s="4">
        <v>15100</v>
      </c>
      <c r="D2339" s="5">
        <v>18025</v>
      </c>
      <c r="E2339" s="5">
        <f t="shared" si="73"/>
        <v>0</v>
      </c>
      <c r="F2339" s="5">
        <v>33125</v>
      </c>
      <c r="K2339" s="24">
        <v>1912</v>
      </c>
      <c r="L2339" s="6">
        <v>1905</v>
      </c>
      <c r="M2339" s="270">
        <f t="shared" si="74"/>
        <v>-7</v>
      </c>
      <c r="N2339" s="19"/>
      <c r="O2339" s="280"/>
      <c r="P2339" s="345">
        <v>14950</v>
      </c>
      <c r="Q2339" s="28">
        <v>0.12939999999999999</v>
      </c>
      <c r="U2339" s="29">
        <v>0</v>
      </c>
      <c r="W2339" s="741">
        <f t="shared" si="71"/>
        <v>1934.5299999999997</v>
      </c>
    </row>
    <row r="2340" spans="1:23" ht="15" customHeight="1" thickBot="1">
      <c r="A2340" s="12">
        <v>39171</v>
      </c>
      <c r="B2340" s="13">
        <v>14950</v>
      </c>
      <c r="C2340" s="13"/>
      <c r="D2340" s="14">
        <v>18300</v>
      </c>
      <c r="E2340" s="14">
        <f t="shared" si="73"/>
        <v>0</v>
      </c>
      <c r="F2340" s="14">
        <v>33250</v>
      </c>
      <c r="G2340" s="14"/>
      <c r="H2340" s="14"/>
      <c r="I2340" s="14"/>
      <c r="J2340" s="264"/>
      <c r="K2340" s="25">
        <v>1936</v>
      </c>
      <c r="L2340" s="15">
        <v>1926</v>
      </c>
      <c r="M2340" s="271">
        <f t="shared" si="74"/>
        <v>-10</v>
      </c>
      <c r="N2340" s="20">
        <f>AVERAGE(K2319:K2340)</f>
        <v>1914.0454545454545</v>
      </c>
      <c r="O2340" s="281">
        <f>AVERAGE(K2277:K2340)</f>
        <v>1786.796875</v>
      </c>
      <c r="P2340" s="346">
        <v>14950</v>
      </c>
      <c r="Q2340" s="30">
        <v>0.12939999999999999</v>
      </c>
      <c r="R2340" s="30"/>
      <c r="S2340" s="30"/>
      <c r="T2340" s="30"/>
      <c r="U2340" s="31">
        <v>0</v>
      </c>
      <c r="V2340" s="46">
        <f>AVERAGE(P2319:P2340)</f>
        <v>14900</v>
      </c>
      <c r="W2340" s="741">
        <f t="shared" si="71"/>
        <v>1934.5299999999997</v>
      </c>
    </row>
    <row r="2341" spans="1:23" ht="15" customHeight="1">
      <c r="A2341" s="3">
        <v>39174</v>
      </c>
      <c r="B2341" s="4">
        <v>15250</v>
      </c>
      <c r="D2341" s="5">
        <v>18425</v>
      </c>
      <c r="E2341" s="5">
        <f t="shared" si="73"/>
        <v>0</v>
      </c>
      <c r="F2341" s="5">
        <v>33675</v>
      </c>
      <c r="K2341" s="24">
        <v>1945</v>
      </c>
      <c r="L2341" s="6">
        <v>1930</v>
      </c>
      <c r="M2341" s="270">
        <f t="shared" si="74"/>
        <v>-15</v>
      </c>
      <c r="N2341" s="21"/>
      <c r="O2341" s="283"/>
      <c r="P2341" s="345">
        <v>14950</v>
      </c>
      <c r="Q2341" s="28">
        <v>0.12939999999999999</v>
      </c>
      <c r="U2341" s="29">
        <v>0</v>
      </c>
      <c r="W2341" s="741">
        <f t="shared" si="71"/>
        <v>1934.5299999999997</v>
      </c>
    </row>
    <row r="2342" spans="1:23" ht="15" customHeight="1">
      <c r="A2342" s="3">
        <v>39175</v>
      </c>
      <c r="B2342" s="4">
        <v>15850</v>
      </c>
      <c r="D2342" s="5">
        <v>18775</v>
      </c>
      <c r="E2342" s="5">
        <f t="shared" si="73"/>
        <v>0</v>
      </c>
      <c r="F2342" s="5">
        <v>34625</v>
      </c>
      <c r="K2342" s="24">
        <v>1979</v>
      </c>
      <c r="L2342" s="6">
        <v>1965</v>
      </c>
      <c r="M2342" s="270">
        <f t="shared" si="74"/>
        <v>-14</v>
      </c>
      <c r="N2342" s="19"/>
      <c r="O2342" s="280"/>
      <c r="P2342" s="345">
        <v>14950</v>
      </c>
      <c r="Q2342" s="28">
        <v>0.1293</v>
      </c>
      <c r="U2342" s="29">
        <v>0</v>
      </c>
      <c r="W2342" s="741">
        <f t="shared" si="71"/>
        <v>1933.0350000000001</v>
      </c>
    </row>
    <row r="2343" spans="1:23" ht="15" customHeight="1">
      <c r="A2343" s="3">
        <v>39176</v>
      </c>
      <c r="B2343" s="4">
        <v>15825</v>
      </c>
      <c r="D2343" s="5">
        <v>19125</v>
      </c>
      <c r="E2343" s="5">
        <f t="shared" si="73"/>
        <v>0</v>
      </c>
      <c r="F2343" s="5">
        <v>34950</v>
      </c>
      <c r="K2343" s="24">
        <v>2018</v>
      </c>
      <c r="L2343" s="6">
        <v>1995</v>
      </c>
      <c r="M2343" s="270">
        <f t="shared" si="74"/>
        <v>-23</v>
      </c>
      <c r="N2343" s="19"/>
      <c r="O2343" s="280"/>
      <c r="P2343" s="345">
        <v>15000</v>
      </c>
      <c r="Q2343" s="28">
        <v>0.1293</v>
      </c>
      <c r="U2343" s="29">
        <v>0</v>
      </c>
      <c r="W2343" s="741">
        <f t="shared" si="71"/>
        <v>1939.5</v>
      </c>
    </row>
    <row r="2344" spans="1:23" ht="15" customHeight="1">
      <c r="A2344" s="3">
        <v>39177</v>
      </c>
      <c r="B2344" s="4">
        <v>15525</v>
      </c>
      <c r="D2344" s="5">
        <v>19450</v>
      </c>
      <c r="E2344" s="5">
        <f t="shared" si="73"/>
        <v>0</v>
      </c>
      <c r="F2344" s="5">
        <v>34975</v>
      </c>
      <c r="K2344" s="24">
        <v>2021</v>
      </c>
      <c r="L2344" s="6">
        <v>1990</v>
      </c>
      <c r="M2344" s="270">
        <f t="shared" si="74"/>
        <v>-31</v>
      </c>
      <c r="N2344" s="19"/>
      <c r="O2344" s="280"/>
      <c r="P2344" s="345">
        <v>15075</v>
      </c>
      <c r="Q2344" s="28">
        <v>0.12939999999999999</v>
      </c>
      <c r="U2344" s="29">
        <v>0</v>
      </c>
      <c r="W2344" s="741">
        <f t="shared" si="71"/>
        <v>1950.7049999999997</v>
      </c>
    </row>
    <row r="2345" spans="1:23" ht="15" customHeight="1">
      <c r="A2345" s="3">
        <v>39178</v>
      </c>
      <c r="B2345" s="360"/>
      <c r="C2345" s="360"/>
      <c r="D2345" s="361"/>
      <c r="E2345" s="361"/>
      <c r="F2345" s="361"/>
      <c r="G2345" s="1016" t="s">
        <v>13</v>
      </c>
      <c r="H2345" s="1016"/>
      <c r="I2345" s="1016"/>
      <c r="J2345" s="1016"/>
      <c r="K2345" s="361"/>
      <c r="L2345" s="361"/>
      <c r="M2345" s="361"/>
      <c r="N2345" s="19"/>
      <c r="O2345" s="280"/>
      <c r="P2345" s="345">
        <v>15075</v>
      </c>
      <c r="Q2345" s="28">
        <v>0.12939999999999999</v>
      </c>
      <c r="U2345" s="29">
        <v>0</v>
      </c>
      <c r="W2345" s="741">
        <f t="shared" si="71"/>
        <v>1950.7049999999997</v>
      </c>
    </row>
    <row r="2346" spans="1:23" ht="15" customHeight="1">
      <c r="A2346" s="3">
        <v>39181</v>
      </c>
      <c r="B2346" s="361"/>
      <c r="C2346" s="361"/>
      <c r="D2346" s="361"/>
      <c r="E2346" s="361"/>
      <c r="F2346" s="361"/>
      <c r="G2346" s="1016"/>
      <c r="H2346" s="1016"/>
      <c r="I2346" s="1016"/>
      <c r="J2346" s="1016"/>
      <c r="K2346" s="361"/>
      <c r="L2346" s="361"/>
      <c r="M2346" s="361"/>
      <c r="N2346" s="19"/>
      <c r="O2346" s="280"/>
      <c r="P2346" s="345">
        <v>15225</v>
      </c>
      <c r="Q2346" s="28">
        <v>0.1295</v>
      </c>
      <c r="U2346" s="29">
        <v>0</v>
      </c>
      <c r="W2346" s="741">
        <f t="shared" si="71"/>
        <v>1971.6375</v>
      </c>
    </row>
    <row r="2347" spans="1:23" ht="15" customHeight="1">
      <c r="A2347" s="3">
        <v>39182</v>
      </c>
      <c r="B2347" s="4">
        <v>14450</v>
      </c>
      <c r="D2347" s="5">
        <v>19575</v>
      </c>
      <c r="E2347" s="5">
        <f t="shared" ref="E2347:E2591" si="75">F2347-(B2347+D2347)</f>
        <v>0</v>
      </c>
      <c r="F2347" s="5">
        <v>34025</v>
      </c>
      <c r="K2347" s="24">
        <v>2041</v>
      </c>
      <c r="L2347" s="6">
        <v>2030.5</v>
      </c>
      <c r="M2347" s="270">
        <f t="shared" ref="M2347:M2379" si="76">L2347-K2347</f>
        <v>-10.5</v>
      </c>
      <c r="N2347" s="19"/>
      <c r="O2347" s="280"/>
      <c r="P2347" s="345">
        <v>15300</v>
      </c>
      <c r="Q2347" s="28">
        <v>0.1293</v>
      </c>
      <c r="U2347" s="29">
        <v>0</v>
      </c>
      <c r="W2347" s="741">
        <f t="shared" si="71"/>
        <v>1978.29</v>
      </c>
    </row>
    <row r="2348" spans="1:23" ht="15" customHeight="1">
      <c r="A2348" s="3">
        <v>39183</v>
      </c>
      <c r="B2348" s="4">
        <v>15425</v>
      </c>
      <c r="D2348" s="5">
        <v>19925</v>
      </c>
      <c r="E2348" s="5">
        <f t="shared" si="75"/>
        <v>0</v>
      </c>
      <c r="F2348" s="5">
        <v>35350</v>
      </c>
      <c r="K2348" s="24">
        <v>2047</v>
      </c>
      <c r="L2348" s="6">
        <v>2031</v>
      </c>
      <c r="M2348" s="270">
        <f t="shared" si="76"/>
        <v>-16</v>
      </c>
      <c r="N2348" s="19"/>
      <c r="O2348" s="280"/>
      <c r="P2348" s="345">
        <v>15425</v>
      </c>
      <c r="Q2348" s="28">
        <v>0.12939999999999999</v>
      </c>
      <c r="U2348" s="29">
        <v>0</v>
      </c>
      <c r="W2348" s="741">
        <f t="shared" si="71"/>
        <v>1995.9949999999999</v>
      </c>
    </row>
    <row r="2349" spans="1:23" ht="15" customHeight="1">
      <c r="A2349" s="3">
        <v>39184</v>
      </c>
      <c r="B2349" s="4">
        <v>15625</v>
      </c>
      <c r="D2349" s="5">
        <v>19975</v>
      </c>
      <c r="E2349" s="5">
        <f t="shared" si="75"/>
        <v>0</v>
      </c>
      <c r="F2349" s="5">
        <v>35600</v>
      </c>
      <c r="K2349" s="24">
        <v>2030</v>
      </c>
      <c r="L2349" s="6">
        <v>2000</v>
      </c>
      <c r="M2349" s="270">
        <f t="shared" si="76"/>
        <v>-30</v>
      </c>
      <c r="N2349" s="19"/>
      <c r="O2349" s="280"/>
      <c r="P2349" s="345">
        <v>15425</v>
      </c>
      <c r="Q2349" s="28">
        <v>0.12939999999999999</v>
      </c>
      <c r="U2349" s="29">
        <v>0</v>
      </c>
      <c r="W2349" s="741">
        <f t="shared" ref="W2349:W2412" si="77">(P2349*Q2349)*(1+U2349)</f>
        <v>1995.9949999999999</v>
      </c>
    </row>
    <row r="2350" spans="1:23" ht="15" customHeight="1">
      <c r="A2350" s="3">
        <v>39185</v>
      </c>
      <c r="B2350" s="4">
        <v>15475</v>
      </c>
      <c r="D2350" s="5">
        <v>19975</v>
      </c>
      <c r="E2350" s="5">
        <f t="shared" si="75"/>
        <v>0</v>
      </c>
      <c r="F2350" s="5">
        <v>35450</v>
      </c>
      <c r="K2350" s="24">
        <v>2025</v>
      </c>
      <c r="L2350" s="6">
        <v>2010</v>
      </c>
      <c r="M2350" s="270">
        <f t="shared" si="76"/>
        <v>-15</v>
      </c>
      <c r="N2350" s="19"/>
      <c r="O2350" s="280"/>
      <c r="P2350" s="345">
        <v>15425</v>
      </c>
      <c r="Q2350" s="28">
        <v>0.1295</v>
      </c>
      <c r="U2350" s="29">
        <v>0</v>
      </c>
      <c r="W2350" s="741">
        <f t="shared" si="77"/>
        <v>1997.5375000000001</v>
      </c>
    </row>
    <row r="2351" spans="1:23" ht="15" customHeight="1">
      <c r="A2351" s="3">
        <v>39188</v>
      </c>
      <c r="B2351" s="4">
        <v>16075</v>
      </c>
      <c r="D2351" s="5">
        <v>20125</v>
      </c>
      <c r="E2351" s="5">
        <f t="shared" si="75"/>
        <v>0</v>
      </c>
      <c r="F2351" s="5">
        <v>36200</v>
      </c>
      <c r="K2351" s="24">
        <v>2050</v>
      </c>
      <c r="L2351" s="6">
        <v>2035</v>
      </c>
      <c r="M2351" s="270">
        <f t="shared" si="76"/>
        <v>-15</v>
      </c>
      <c r="N2351" s="19"/>
      <c r="O2351" s="280"/>
      <c r="P2351" s="345">
        <v>15425</v>
      </c>
      <c r="Q2351" s="28">
        <v>0.12939999999999999</v>
      </c>
      <c r="U2351" s="29">
        <v>0</v>
      </c>
      <c r="W2351" s="741">
        <f t="shared" si="77"/>
        <v>1995.9949999999999</v>
      </c>
    </row>
    <row r="2352" spans="1:23" ht="15" customHeight="1">
      <c r="A2352" s="3">
        <v>39189</v>
      </c>
      <c r="B2352" s="4">
        <v>17275</v>
      </c>
      <c r="D2352" s="5">
        <v>20525</v>
      </c>
      <c r="E2352" s="5">
        <f t="shared" si="75"/>
        <v>0</v>
      </c>
      <c r="F2352" s="5">
        <v>37800</v>
      </c>
      <c r="K2352" s="24">
        <v>2001</v>
      </c>
      <c r="L2352" s="6">
        <v>1986</v>
      </c>
      <c r="M2352" s="270">
        <f t="shared" si="76"/>
        <v>-15</v>
      </c>
      <c r="N2352" s="19"/>
      <c r="O2352" s="280"/>
      <c r="P2352" s="345">
        <v>15550</v>
      </c>
      <c r="Q2352" s="28">
        <v>0.1293</v>
      </c>
      <c r="U2352" s="29">
        <v>0</v>
      </c>
      <c r="W2352" s="741">
        <f t="shared" si="77"/>
        <v>2010.615</v>
      </c>
    </row>
    <row r="2353" spans="1:23" ht="15" customHeight="1">
      <c r="A2353" s="3">
        <v>39190</v>
      </c>
      <c r="B2353" s="4">
        <v>17275</v>
      </c>
      <c r="D2353" s="5">
        <v>20650</v>
      </c>
      <c r="E2353" s="5">
        <f t="shared" si="75"/>
        <v>25</v>
      </c>
      <c r="F2353" s="5">
        <v>37950</v>
      </c>
      <c r="K2353" s="24">
        <v>2000</v>
      </c>
      <c r="L2353" s="6">
        <v>1985</v>
      </c>
      <c r="M2353" s="270">
        <f t="shared" si="76"/>
        <v>-15</v>
      </c>
      <c r="N2353" s="19"/>
      <c r="O2353" s="280"/>
      <c r="P2353" s="345">
        <v>15700</v>
      </c>
      <c r="Q2353" s="28">
        <v>0.1295</v>
      </c>
      <c r="U2353" s="29">
        <v>0</v>
      </c>
      <c r="W2353" s="741">
        <f t="shared" si="77"/>
        <v>2033.15</v>
      </c>
    </row>
    <row r="2354" spans="1:23" ht="15" customHeight="1">
      <c r="A2354" s="3">
        <v>39191</v>
      </c>
      <c r="B2354" s="4">
        <v>17725</v>
      </c>
      <c r="D2354" s="5">
        <v>20675</v>
      </c>
      <c r="E2354" s="5">
        <f t="shared" si="75"/>
        <v>125</v>
      </c>
      <c r="F2354" s="5">
        <v>38525</v>
      </c>
      <c r="K2354" s="24">
        <v>1975</v>
      </c>
      <c r="L2354" s="6">
        <v>1990</v>
      </c>
      <c r="M2354" s="270">
        <f t="shared" si="76"/>
        <v>15</v>
      </c>
      <c r="N2354" s="19"/>
      <c r="O2354" s="280"/>
      <c r="P2354" s="345">
        <v>15800</v>
      </c>
      <c r="Q2354" s="28">
        <v>0.12959999999999999</v>
      </c>
      <c r="U2354" s="29">
        <v>0</v>
      </c>
      <c r="W2354" s="741">
        <f t="shared" si="77"/>
        <v>2047.6799999999998</v>
      </c>
    </row>
    <row r="2355" spans="1:23" ht="15" customHeight="1">
      <c r="A2355" s="3">
        <v>39192</v>
      </c>
      <c r="B2355" s="4">
        <v>18650</v>
      </c>
      <c r="D2355" s="5">
        <v>21250</v>
      </c>
      <c r="E2355" s="5">
        <f t="shared" si="75"/>
        <v>125</v>
      </c>
      <c r="F2355" s="5">
        <v>40025</v>
      </c>
      <c r="K2355" s="24">
        <v>1980</v>
      </c>
      <c r="L2355" s="6">
        <v>1976</v>
      </c>
      <c r="M2355" s="270">
        <f t="shared" si="76"/>
        <v>-4</v>
      </c>
      <c r="N2355" s="19"/>
      <c r="O2355" s="280"/>
      <c r="P2355" s="345">
        <v>15800</v>
      </c>
      <c r="Q2355" s="28">
        <v>0.12959999999999999</v>
      </c>
      <c r="U2355" s="29">
        <v>0</v>
      </c>
      <c r="W2355" s="741">
        <f t="shared" si="77"/>
        <v>2047.6799999999998</v>
      </c>
    </row>
    <row r="2356" spans="1:23" ht="15" customHeight="1">
      <c r="A2356" s="3">
        <v>39195</v>
      </c>
      <c r="B2356" s="4">
        <v>18800</v>
      </c>
      <c r="D2356" s="5">
        <v>21425</v>
      </c>
      <c r="E2356" s="5">
        <f t="shared" si="75"/>
        <v>125</v>
      </c>
      <c r="F2356" s="5">
        <v>40350</v>
      </c>
      <c r="K2356" s="24">
        <v>1960</v>
      </c>
      <c r="L2356" s="6">
        <v>1960</v>
      </c>
      <c r="M2356" s="270">
        <f t="shared" si="76"/>
        <v>0</v>
      </c>
      <c r="N2356" s="19"/>
      <c r="O2356" s="280"/>
      <c r="P2356" s="345">
        <v>15825</v>
      </c>
      <c r="Q2356" s="28">
        <v>0.1295</v>
      </c>
      <c r="U2356" s="29">
        <v>0</v>
      </c>
      <c r="W2356" s="741">
        <f t="shared" si="77"/>
        <v>2049.3375000000001</v>
      </c>
    </row>
    <row r="2357" spans="1:23" ht="15" customHeight="1">
      <c r="A2357" s="3">
        <v>39196</v>
      </c>
      <c r="B2357" s="4">
        <v>19225</v>
      </c>
      <c r="D2357" s="5">
        <v>21525</v>
      </c>
      <c r="E2357" s="5">
        <f t="shared" si="75"/>
        <v>175</v>
      </c>
      <c r="F2357" s="5">
        <v>40925</v>
      </c>
      <c r="K2357" s="24">
        <v>2015</v>
      </c>
      <c r="L2357" s="6">
        <v>2024</v>
      </c>
      <c r="M2357" s="270">
        <f t="shared" si="76"/>
        <v>9</v>
      </c>
      <c r="N2357" s="19"/>
      <c r="O2357" s="280"/>
      <c r="P2357" s="345">
        <v>15900</v>
      </c>
      <c r="Q2357" s="28">
        <v>0.12939999999999999</v>
      </c>
      <c r="U2357" s="29">
        <v>0</v>
      </c>
      <c r="W2357" s="741">
        <f t="shared" si="77"/>
        <v>2057.4599999999996</v>
      </c>
    </row>
    <row r="2358" spans="1:23" ht="15" customHeight="1">
      <c r="A2358" s="3">
        <v>39197</v>
      </c>
      <c r="B2358" s="4">
        <v>19550</v>
      </c>
      <c r="D2358" s="5">
        <v>21525</v>
      </c>
      <c r="E2358" s="5">
        <f t="shared" si="75"/>
        <v>275</v>
      </c>
      <c r="F2358" s="5">
        <v>41350</v>
      </c>
      <c r="K2358" s="24">
        <v>1980</v>
      </c>
      <c r="L2358" s="6">
        <v>1990</v>
      </c>
      <c r="M2358" s="270">
        <f t="shared" si="76"/>
        <v>10</v>
      </c>
      <c r="N2358" s="19"/>
      <c r="O2358" s="280"/>
      <c r="P2358" s="345">
        <v>15950</v>
      </c>
      <c r="Q2358" s="28">
        <v>0.12939999999999999</v>
      </c>
      <c r="U2358" s="29">
        <v>0</v>
      </c>
      <c r="W2358" s="741">
        <f t="shared" si="77"/>
        <v>2063.9299999999998</v>
      </c>
    </row>
    <row r="2359" spans="1:23" ht="15" customHeight="1">
      <c r="A2359" s="3">
        <v>39198</v>
      </c>
      <c r="B2359" s="4">
        <v>19500</v>
      </c>
      <c r="D2359" s="5">
        <v>21675</v>
      </c>
      <c r="E2359" s="5">
        <f t="shared" si="75"/>
        <v>275</v>
      </c>
      <c r="F2359" s="5">
        <v>41450</v>
      </c>
      <c r="K2359" s="24">
        <v>1951</v>
      </c>
      <c r="L2359" s="6">
        <v>1975</v>
      </c>
      <c r="M2359" s="270">
        <f t="shared" si="76"/>
        <v>24</v>
      </c>
      <c r="N2359" s="19"/>
      <c r="O2359" s="280"/>
      <c r="P2359" s="345">
        <v>16050</v>
      </c>
      <c r="Q2359" s="28">
        <v>0.12939999999999999</v>
      </c>
      <c r="U2359" s="29">
        <v>0</v>
      </c>
      <c r="W2359" s="741">
        <f t="shared" si="77"/>
        <v>2076.87</v>
      </c>
    </row>
    <row r="2360" spans="1:23" ht="15" customHeight="1">
      <c r="A2360" s="3">
        <v>39199</v>
      </c>
      <c r="B2360" s="4">
        <v>19200</v>
      </c>
      <c r="D2360" s="5">
        <v>21875</v>
      </c>
      <c r="E2360" s="5">
        <f t="shared" si="75"/>
        <v>275</v>
      </c>
      <c r="F2360" s="5">
        <v>41350</v>
      </c>
      <c r="K2360" s="24">
        <v>2000</v>
      </c>
      <c r="L2360" s="6">
        <v>1991.5</v>
      </c>
      <c r="M2360" s="270">
        <f t="shared" si="76"/>
        <v>-8.5</v>
      </c>
      <c r="N2360" s="19"/>
      <c r="O2360" s="280"/>
      <c r="P2360" s="345">
        <v>16150</v>
      </c>
      <c r="Q2360" s="28">
        <v>0.1295</v>
      </c>
      <c r="U2360" s="29">
        <v>0</v>
      </c>
      <c r="W2360" s="741">
        <f t="shared" si="77"/>
        <v>2091.4250000000002</v>
      </c>
    </row>
    <row r="2361" spans="1:23" ht="15" customHeight="1" thickBot="1">
      <c r="A2361" s="12">
        <v>39202</v>
      </c>
      <c r="B2361" s="13">
        <v>19350</v>
      </c>
      <c r="C2361" s="13"/>
      <c r="D2361" s="14">
        <v>21875</v>
      </c>
      <c r="E2361" s="14">
        <f t="shared" si="75"/>
        <v>350</v>
      </c>
      <c r="F2361" s="14">
        <v>41575</v>
      </c>
      <c r="G2361" s="14"/>
      <c r="H2361" s="14"/>
      <c r="I2361" s="14"/>
      <c r="J2361" s="264"/>
      <c r="K2361" s="25">
        <v>2000</v>
      </c>
      <c r="L2361" s="15">
        <v>2010</v>
      </c>
      <c r="M2361" s="271">
        <f t="shared" si="76"/>
        <v>10</v>
      </c>
      <c r="N2361" s="20">
        <f>AVERAGE(K2341:K2361)</f>
        <v>2000.9473684210527</v>
      </c>
      <c r="O2361" s="281">
        <f>AVERAGE(K2277:K2361)</f>
        <v>1835.8192771084337</v>
      </c>
      <c r="P2361" s="346">
        <v>16250</v>
      </c>
      <c r="Q2361" s="30">
        <v>0.1298</v>
      </c>
      <c r="U2361" s="31">
        <v>0</v>
      </c>
      <c r="V2361" s="46">
        <f>AVERAGE(P2341:P2361)</f>
        <v>15535.714285714286</v>
      </c>
      <c r="W2361" s="741">
        <f t="shared" si="77"/>
        <v>2109.25</v>
      </c>
    </row>
    <row r="2362" spans="1:23" ht="15" customHeight="1">
      <c r="A2362" s="3">
        <v>39203</v>
      </c>
      <c r="B2362" s="4">
        <v>20175</v>
      </c>
      <c r="D2362" s="5">
        <v>21875</v>
      </c>
      <c r="E2362" s="5">
        <f t="shared" si="75"/>
        <v>425</v>
      </c>
      <c r="F2362" s="5">
        <v>42475</v>
      </c>
      <c r="K2362" s="24">
        <v>1995</v>
      </c>
      <c r="L2362" s="6">
        <v>2015</v>
      </c>
      <c r="M2362" s="270">
        <f t="shared" si="76"/>
        <v>20</v>
      </c>
      <c r="N2362" s="21"/>
      <c r="O2362" s="283"/>
      <c r="P2362" s="362"/>
      <c r="Q2362" s="1010" t="s">
        <v>10</v>
      </c>
      <c r="R2362" s="1010"/>
      <c r="S2362" s="1010"/>
      <c r="T2362" s="1010"/>
      <c r="U2362" s="1010"/>
      <c r="V2362" s="362"/>
      <c r="W2362" s="741" t="e">
        <f t="shared" si="77"/>
        <v>#VALUE!</v>
      </c>
    </row>
    <row r="2363" spans="1:23" ht="15" customHeight="1">
      <c r="A2363" s="3">
        <v>39204</v>
      </c>
      <c r="B2363" s="4">
        <v>20175</v>
      </c>
      <c r="D2363" s="5">
        <v>22150</v>
      </c>
      <c r="E2363" s="5">
        <f t="shared" si="75"/>
        <v>425</v>
      </c>
      <c r="F2363" s="5">
        <v>42750</v>
      </c>
      <c r="K2363" s="24">
        <v>2025</v>
      </c>
      <c r="L2363" s="6">
        <v>2030.5</v>
      </c>
      <c r="M2363" s="270">
        <f t="shared" si="76"/>
        <v>5.5</v>
      </c>
      <c r="N2363" s="19"/>
      <c r="O2363" s="280"/>
      <c r="P2363" s="364"/>
      <c r="Q2363" s="996"/>
      <c r="R2363" s="996"/>
      <c r="S2363" s="996"/>
      <c r="T2363" s="996"/>
      <c r="U2363" s="996"/>
      <c r="V2363" s="364"/>
      <c r="W2363" s="741">
        <f t="shared" si="77"/>
        <v>0</v>
      </c>
    </row>
    <row r="2364" spans="1:23" ht="15" customHeight="1">
      <c r="A2364" s="3">
        <v>39205</v>
      </c>
      <c r="B2364" s="4">
        <v>20175</v>
      </c>
      <c r="D2364" s="5">
        <v>22425</v>
      </c>
      <c r="E2364" s="5">
        <f t="shared" si="75"/>
        <v>425</v>
      </c>
      <c r="F2364" s="5">
        <v>43025</v>
      </c>
      <c r="K2364" s="24">
        <v>2063</v>
      </c>
      <c r="L2364" s="6">
        <v>2070</v>
      </c>
      <c r="M2364" s="270">
        <f t="shared" si="76"/>
        <v>7</v>
      </c>
      <c r="N2364" s="19"/>
      <c r="O2364" s="280"/>
      <c r="P2364" s="364"/>
      <c r="Q2364" s="996"/>
      <c r="R2364" s="996"/>
      <c r="S2364" s="996"/>
      <c r="T2364" s="996"/>
      <c r="U2364" s="996"/>
      <c r="V2364" s="364"/>
      <c r="W2364" s="741">
        <f t="shared" si="77"/>
        <v>0</v>
      </c>
    </row>
    <row r="2365" spans="1:23" ht="15" customHeight="1">
      <c r="A2365" s="3">
        <v>39206</v>
      </c>
      <c r="B2365" s="4">
        <v>20975</v>
      </c>
      <c r="D2365" s="5">
        <v>22425</v>
      </c>
      <c r="E2365" s="5">
        <f t="shared" si="75"/>
        <v>425</v>
      </c>
      <c r="F2365" s="5">
        <v>43825</v>
      </c>
      <c r="K2365" s="24">
        <v>2080</v>
      </c>
      <c r="L2365" s="6">
        <v>2080</v>
      </c>
      <c r="M2365" s="270">
        <f t="shared" si="76"/>
        <v>0</v>
      </c>
      <c r="N2365" s="19"/>
      <c r="O2365" s="280"/>
      <c r="P2365" s="364"/>
      <c r="Q2365" s="996"/>
      <c r="R2365" s="996"/>
      <c r="S2365" s="996"/>
      <c r="T2365" s="996"/>
      <c r="U2365" s="996"/>
      <c r="V2365" s="364"/>
      <c r="W2365" s="741">
        <f t="shared" si="77"/>
        <v>0</v>
      </c>
    </row>
    <row r="2366" spans="1:23" ht="15" customHeight="1">
      <c r="A2366" s="3">
        <v>39210</v>
      </c>
      <c r="B2366" s="4">
        <v>20850</v>
      </c>
      <c r="D2366" s="5">
        <v>22425</v>
      </c>
      <c r="E2366" s="5">
        <f t="shared" si="75"/>
        <v>525</v>
      </c>
      <c r="F2366" s="5">
        <v>43800</v>
      </c>
      <c r="K2366" s="24">
        <v>2065.5</v>
      </c>
      <c r="L2366" s="6">
        <v>2075</v>
      </c>
      <c r="M2366" s="270">
        <f t="shared" si="76"/>
        <v>9.5</v>
      </c>
      <c r="N2366" s="19"/>
      <c r="O2366" s="280"/>
      <c r="P2366" s="345">
        <v>16900</v>
      </c>
      <c r="Q2366" s="28">
        <v>0.12989999999999999</v>
      </c>
      <c r="U2366" s="29">
        <v>0</v>
      </c>
      <c r="W2366" s="741">
        <f t="shared" si="77"/>
        <v>2195.31</v>
      </c>
    </row>
    <row r="2367" spans="1:23" ht="15" customHeight="1">
      <c r="A2367" s="3">
        <v>39211</v>
      </c>
      <c r="B2367" s="4">
        <v>21675</v>
      </c>
      <c r="D2367" s="5">
        <v>22625</v>
      </c>
      <c r="E2367" s="5">
        <f t="shared" si="75"/>
        <v>350</v>
      </c>
      <c r="F2367" s="5">
        <v>44650</v>
      </c>
      <c r="K2367" s="24">
        <v>2070</v>
      </c>
      <c r="L2367" s="6">
        <v>2076</v>
      </c>
      <c r="M2367" s="270">
        <f t="shared" si="76"/>
        <v>6</v>
      </c>
      <c r="N2367" s="19"/>
      <c r="O2367" s="280"/>
      <c r="P2367" s="345">
        <v>17000</v>
      </c>
      <c r="Q2367" s="28">
        <v>0.13</v>
      </c>
      <c r="U2367" s="29">
        <v>0</v>
      </c>
      <c r="W2367" s="741">
        <f t="shared" si="77"/>
        <v>2210</v>
      </c>
    </row>
    <row r="2368" spans="1:23" ht="15" customHeight="1">
      <c r="A2368" s="3">
        <v>39212</v>
      </c>
      <c r="B2368" s="4">
        <v>21600</v>
      </c>
      <c r="D2368" s="5">
        <v>22575</v>
      </c>
      <c r="E2368" s="5">
        <f t="shared" si="75"/>
        <v>275</v>
      </c>
      <c r="F2368" s="5">
        <v>44450</v>
      </c>
      <c r="K2368" s="24">
        <v>2060.5</v>
      </c>
      <c r="L2368" s="6">
        <v>2075</v>
      </c>
      <c r="M2368" s="270">
        <f t="shared" si="76"/>
        <v>14.5</v>
      </c>
      <c r="N2368" s="19"/>
      <c r="O2368" s="280"/>
      <c r="P2368" s="345">
        <v>17100</v>
      </c>
      <c r="Q2368" s="28">
        <v>0.13</v>
      </c>
      <c r="U2368" s="29">
        <v>0</v>
      </c>
      <c r="W2368" s="741">
        <f t="shared" si="77"/>
        <v>2223</v>
      </c>
    </row>
    <row r="2369" spans="1:23" ht="15" customHeight="1">
      <c r="A2369" s="3">
        <v>39213</v>
      </c>
      <c r="B2369" s="4">
        <v>21950</v>
      </c>
      <c r="D2369" s="5">
        <v>22500</v>
      </c>
      <c r="E2369" s="5">
        <f t="shared" si="75"/>
        <v>250</v>
      </c>
      <c r="F2369" s="5">
        <v>44700</v>
      </c>
      <c r="K2369" s="24">
        <v>2068</v>
      </c>
      <c r="L2369" s="6">
        <v>2070</v>
      </c>
      <c r="M2369" s="270">
        <f t="shared" si="76"/>
        <v>2</v>
      </c>
      <c r="N2369" s="19"/>
      <c r="O2369" s="280"/>
      <c r="P2369" s="345">
        <v>17100</v>
      </c>
      <c r="Q2369" s="28">
        <v>0.1303</v>
      </c>
      <c r="U2369" s="29">
        <v>0</v>
      </c>
      <c r="W2369" s="741">
        <f t="shared" si="77"/>
        <v>2228.13</v>
      </c>
    </row>
    <row r="2370" spans="1:23" ht="15" customHeight="1">
      <c r="A2370" s="3">
        <v>39216</v>
      </c>
      <c r="B2370" s="4">
        <v>21700</v>
      </c>
      <c r="D2370" s="5">
        <v>22725</v>
      </c>
      <c r="E2370" s="5">
        <f t="shared" si="75"/>
        <v>100</v>
      </c>
      <c r="F2370" s="5">
        <v>44525</v>
      </c>
      <c r="K2370" s="24">
        <v>2060</v>
      </c>
      <c r="L2370" s="6">
        <v>2065</v>
      </c>
      <c r="M2370" s="270">
        <f t="shared" si="76"/>
        <v>5</v>
      </c>
      <c r="N2370" s="19"/>
      <c r="O2370" s="280"/>
      <c r="P2370" s="345">
        <v>17100</v>
      </c>
      <c r="Q2370" s="28">
        <v>0.13020000000000001</v>
      </c>
      <c r="U2370" s="29">
        <v>0</v>
      </c>
      <c r="W2370" s="741">
        <f t="shared" si="77"/>
        <v>2226.42</v>
      </c>
    </row>
    <row r="2371" spans="1:23" ht="15" customHeight="1">
      <c r="A2371" s="3">
        <v>39217</v>
      </c>
      <c r="B2371" s="4">
        <v>21875</v>
      </c>
      <c r="D2371" s="5">
        <v>22975</v>
      </c>
      <c r="E2371" s="5">
        <f t="shared" si="75"/>
        <v>100</v>
      </c>
      <c r="F2371" s="5">
        <v>44950</v>
      </c>
      <c r="K2371" s="24">
        <v>2085.5</v>
      </c>
      <c r="L2371" s="6">
        <v>2085</v>
      </c>
      <c r="M2371" s="270">
        <f t="shared" si="76"/>
        <v>-0.5</v>
      </c>
      <c r="N2371" s="19"/>
      <c r="O2371" s="280"/>
      <c r="P2371" s="345">
        <v>16950</v>
      </c>
      <c r="Q2371" s="28">
        <v>0.13009999999999999</v>
      </c>
      <c r="U2371" s="29">
        <v>0</v>
      </c>
      <c r="W2371" s="741">
        <f t="shared" si="77"/>
        <v>2205.1949999999997</v>
      </c>
    </row>
    <row r="2372" spans="1:23" ht="15" customHeight="1">
      <c r="A2372" s="3">
        <v>39218</v>
      </c>
      <c r="B2372" s="4">
        <v>21950</v>
      </c>
      <c r="D2372" s="5">
        <v>22950</v>
      </c>
      <c r="E2372" s="5">
        <f t="shared" si="75"/>
        <v>100</v>
      </c>
      <c r="F2372" s="5">
        <v>45000</v>
      </c>
      <c r="K2372" s="24">
        <v>2075</v>
      </c>
      <c r="L2372" s="6">
        <v>2081.5</v>
      </c>
      <c r="M2372" s="270">
        <f t="shared" si="76"/>
        <v>6.5</v>
      </c>
      <c r="N2372" s="19"/>
      <c r="O2372" s="280"/>
      <c r="P2372" s="345">
        <v>16900</v>
      </c>
      <c r="Q2372" s="28">
        <v>0.13020000000000001</v>
      </c>
      <c r="U2372" s="29">
        <v>0</v>
      </c>
      <c r="W2372" s="741">
        <f t="shared" si="77"/>
        <v>2200.38</v>
      </c>
    </row>
    <row r="2373" spans="1:23" ht="15" customHeight="1">
      <c r="A2373" s="3">
        <v>39219</v>
      </c>
      <c r="B2373" s="4">
        <v>24750</v>
      </c>
      <c r="D2373" s="5">
        <v>22950</v>
      </c>
      <c r="E2373" s="5">
        <f t="shared" si="75"/>
        <v>175</v>
      </c>
      <c r="F2373" s="5">
        <v>47875</v>
      </c>
      <c r="K2373" s="24">
        <v>2005</v>
      </c>
      <c r="L2373" s="6">
        <v>2015</v>
      </c>
      <c r="M2373" s="270">
        <f t="shared" si="76"/>
        <v>10</v>
      </c>
      <c r="N2373" s="19"/>
      <c r="O2373" s="280"/>
      <c r="P2373" s="345">
        <v>16900</v>
      </c>
      <c r="Q2373" s="28">
        <v>0.13039999999999999</v>
      </c>
      <c r="U2373" s="29">
        <v>0</v>
      </c>
      <c r="W2373" s="741">
        <f t="shared" si="77"/>
        <v>2203.7599999999998</v>
      </c>
    </row>
    <row r="2374" spans="1:23" ht="15" customHeight="1">
      <c r="A2374" s="3">
        <v>39220</v>
      </c>
      <c r="B2374" s="4">
        <v>25600</v>
      </c>
      <c r="D2374" s="5">
        <v>22950</v>
      </c>
      <c r="E2374" s="5">
        <f t="shared" si="75"/>
        <v>175</v>
      </c>
      <c r="F2374" s="5">
        <v>48725</v>
      </c>
      <c r="K2374" s="24">
        <v>1995</v>
      </c>
      <c r="L2374" s="6">
        <v>2020</v>
      </c>
      <c r="M2374" s="270">
        <f t="shared" si="76"/>
        <v>25</v>
      </c>
      <c r="N2374" s="19"/>
      <c r="O2374" s="280"/>
      <c r="P2374" s="345">
        <v>16750</v>
      </c>
      <c r="Q2374" s="28">
        <v>0.13039999999999999</v>
      </c>
      <c r="U2374" s="29">
        <v>0</v>
      </c>
      <c r="W2374" s="741">
        <f t="shared" si="77"/>
        <v>2184.1999999999998</v>
      </c>
    </row>
    <row r="2375" spans="1:23" ht="15" customHeight="1">
      <c r="A2375" s="3">
        <v>39223</v>
      </c>
      <c r="B2375" s="4">
        <v>25500</v>
      </c>
      <c r="D2375" s="5">
        <v>22950</v>
      </c>
      <c r="E2375" s="5">
        <f t="shared" si="75"/>
        <v>175</v>
      </c>
      <c r="F2375" s="5">
        <v>48625</v>
      </c>
      <c r="K2375" s="24">
        <v>2060.5</v>
      </c>
      <c r="L2375" s="6">
        <v>2075</v>
      </c>
      <c r="M2375" s="270">
        <f t="shared" si="76"/>
        <v>14.5</v>
      </c>
      <c r="N2375" s="19"/>
      <c r="O2375" s="280"/>
      <c r="P2375" s="345">
        <v>16750</v>
      </c>
      <c r="Q2375" s="28">
        <v>0.1305</v>
      </c>
      <c r="U2375" s="29">
        <v>0</v>
      </c>
      <c r="W2375" s="741">
        <f t="shared" si="77"/>
        <v>2185.875</v>
      </c>
    </row>
    <row r="2376" spans="1:23" ht="15" customHeight="1">
      <c r="A2376" s="3">
        <v>39224</v>
      </c>
      <c r="B2376" s="4">
        <v>25075</v>
      </c>
      <c r="D2376" s="5">
        <v>22950</v>
      </c>
      <c r="E2376" s="5">
        <f t="shared" si="75"/>
        <v>175</v>
      </c>
      <c r="F2376" s="5">
        <v>48200</v>
      </c>
      <c r="K2376" s="24">
        <v>2155.5</v>
      </c>
      <c r="L2376" s="6">
        <v>2170.5</v>
      </c>
      <c r="M2376" s="270">
        <f t="shared" si="76"/>
        <v>15</v>
      </c>
      <c r="N2376" s="19"/>
      <c r="O2376" s="280"/>
      <c r="P2376" s="345">
        <v>16700</v>
      </c>
      <c r="Q2376" s="28">
        <v>0.13059999999999999</v>
      </c>
      <c r="U2376" s="29">
        <v>0</v>
      </c>
      <c r="W2376" s="741">
        <f t="shared" si="77"/>
        <v>2181.02</v>
      </c>
    </row>
    <row r="2377" spans="1:23" ht="15" customHeight="1">
      <c r="A2377" s="3">
        <v>39225</v>
      </c>
      <c r="B2377" s="4">
        <v>25375</v>
      </c>
      <c r="D2377" s="5">
        <v>22850</v>
      </c>
      <c r="E2377" s="5">
        <f t="shared" si="75"/>
        <v>175</v>
      </c>
      <c r="F2377" s="5">
        <v>48400</v>
      </c>
      <c r="K2377" s="24">
        <v>2095</v>
      </c>
      <c r="L2377" s="6">
        <v>2100</v>
      </c>
      <c r="M2377" s="270">
        <f t="shared" si="76"/>
        <v>5</v>
      </c>
      <c r="N2377" s="19"/>
      <c r="O2377" s="280"/>
      <c r="P2377" s="345">
        <v>16650</v>
      </c>
      <c r="Q2377" s="28">
        <v>0.13070000000000001</v>
      </c>
      <c r="U2377" s="29">
        <v>0</v>
      </c>
      <c r="W2377" s="741">
        <f t="shared" si="77"/>
        <v>2176.1550000000002</v>
      </c>
    </row>
    <row r="2378" spans="1:23" ht="15" customHeight="1">
      <c r="A2378" s="3">
        <v>39226</v>
      </c>
      <c r="B2378" s="4">
        <v>24975</v>
      </c>
      <c r="D2378" s="5">
        <v>22775</v>
      </c>
      <c r="E2378" s="5">
        <f t="shared" si="75"/>
        <v>175</v>
      </c>
      <c r="F2378" s="5">
        <v>47925</v>
      </c>
      <c r="K2378" s="24">
        <v>2165</v>
      </c>
      <c r="L2378" s="6">
        <v>2175.5</v>
      </c>
      <c r="M2378" s="270">
        <f t="shared" si="76"/>
        <v>10.5</v>
      </c>
      <c r="N2378" s="19"/>
      <c r="O2378" s="280"/>
      <c r="P2378" s="345">
        <v>16600</v>
      </c>
      <c r="Q2378" s="28">
        <v>0.13070000000000001</v>
      </c>
      <c r="U2378" s="29">
        <v>0</v>
      </c>
      <c r="W2378" s="741">
        <f t="shared" si="77"/>
        <v>2169.6200000000003</v>
      </c>
    </row>
    <row r="2379" spans="1:23" ht="15" customHeight="1">
      <c r="A2379" s="3">
        <v>39227</v>
      </c>
      <c r="B2379" s="4">
        <v>23925</v>
      </c>
      <c r="D2379" s="5">
        <v>22800</v>
      </c>
      <c r="E2379" s="5">
        <f t="shared" si="75"/>
        <v>175</v>
      </c>
      <c r="F2379" s="5">
        <v>46900</v>
      </c>
      <c r="K2379" s="24">
        <v>2156</v>
      </c>
      <c r="L2379" s="6">
        <v>2175</v>
      </c>
      <c r="M2379" s="270">
        <f t="shared" si="76"/>
        <v>19</v>
      </c>
      <c r="N2379" s="19"/>
      <c r="O2379" s="280"/>
      <c r="P2379" s="345">
        <v>16525</v>
      </c>
      <c r="Q2379" s="28">
        <v>0.13070000000000001</v>
      </c>
      <c r="U2379" s="29">
        <v>0</v>
      </c>
      <c r="W2379" s="741">
        <f t="shared" si="77"/>
        <v>2159.8175000000001</v>
      </c>
    </row>
    <row r="2380" spans="1:23" ht="15" customHeight="1">
      <c r="C2380" s="365"/>
      <c r="D2380" s="365"/>
      <c r="E2380" s="365"/>
      <c r="F2380" s="365"/>
      <c r="G2380" s="1023" t="s">
        <v>14</v>
      </c>
      <c r="H2380" s="1023"/>
      <c r="I2380" s="1023"/>
      <c r="J2380" s="1023"/>
      <c r="K2380" s="365"/>
      <c r="L2380" s="365"/>
      <c r="M2380" s="365"/>
      <c r="N2380" s="19"/>
      <c r="O2380" s="280"/>
      <c r="P2380" s="345">
        <v>16575</v>
      </c>
      <c r="Q2380" s="28">
        <v>0.1308</v>
      </c>
      <c r="U2380" s="29">
        <v>0</v>
      </c>
      <c r="W2380" s="741">
        <f t="shared" si="77"/>
        <v>2168.0100000000002</v>
      </c>
    </row>
    <row r="2381" spans="1:23" ht="15" customHeight="1">
      <c r="A2381" s="3">
        <v>39231</v>
      </c>
      <c r="B2381" s="4">
        <v>23775</v>
      </c>
      <c r="D2381" s="5">
        <v>22825</v>
      </c>
      <c r="E2381" s="5">
        <f t="shared" si="75"/>
        <v>100</v>
      </c>
      <c r="F2381" s="5">
        <v>46700</v>
      </c>
      <c r="K2381" s="24">
        <v>2205</v>
      </c>
      <c r="L2381" s="6">
        <v>2220</v>
      </c>
      <c r="M2381" s="270">
        <f>L2381-K2381</f>
        <v>15</v>
      </c>
      <c r="N2381" s="19"/>
      <c r="O2381" s="280"/>
      <c r="P2381" s="345">
        <v>16650</v>
      </c>
      <c r="Q2381" s="28">
        <v>0.13070000000000001</v>
      </c>
      <c r="U2381" s="29">
        <v>0</v>
      </c>
      <c r="W2381" s="741">
        <f t="shared" si="77"/>
        <v>2176.1550000000002</v>
      </c>
    </row>
    <row r="2382" spans="1:23" ht="15" customHeight="1">
      <c r="A2382" s="3">
        <v>39232</v>
      </c>
      <c r="B2382" s="4">
        <v>23450</v>
      </c>
      <c r="D2382" s="5">
        <v>23300</v>
      </c>
      <c r="E2382" s="5">
        <f t="shared" si="75"/>
        <v>50</v>
      </c>
      <c r="F2382" s="5">
        <v>46800</v>
      </c>
      <c r="K2382" s="24">
        <v>2280</v>
      </c>
      <c r="L2382" s="6">
        <v>2285</v>
      </c>
      <c r="M2382" s="270">
        <f t="shared" ref="M2382:M2445" si="78">L2382-K2382</f>
        <v>5</v>
      </c>
      <c r="N2382" s="19"/>
      <c r="O2382" s="280"/>
      <c r="P2382" s="345">
        <v>16700</v>
      </c>
      <c r="Q2382" s="28">
        <v>0.1308</v>
      </c>
      <c r="U2382" s="29">
        <v>0</v>
      </c>
      <c r="W2382" s="741">
        <f t="shared" si="77"/>
        <v>2184.36</v>
      </c>
    </row>
    <row r="2383" spans="1:23" ht="15" customHeight="1" thickBot="1">
      <c r="A2383" s="12">
        <v>39233</v>
      </c>
      <c r="B2383" s="13">
        <v>24250</v>
      </c>
      <c r="C2383" s="13"/>
      <c r="D2383" s="14">
        <v>23325</v>
      </c>
      <c r="E2383" s="14">
        <f t="shared" si="75"/>
        <v>50</v>
      </c>
      <c r="F2383" s="14">
        <v>47625</v>
      </c>
      <c r="G2383" s="14"/>
      <c r="H2383" s="14"/>
      <c r="I2383" s="14"/>
      <c r="J2383" s="264"/>
      <c r="K2383" s="25">
        <v>2349</v>
      </c>
      <c r="L2383" s="15">
        <v>2321</v>
      </c>
      <c r="M2383" s="271">
        <f t="shared" si="78"/>
        <v>-28</v>
      </c>
      <c r="N2383" s="20">
        <f>AVERAGE(K2362:K2383)</f>
        <v>2100.6428571428573</v>
      </c>
      <c r="O2383" s="281">
        <f>AVERAGE(K2277:K2383)</f>
        <v>1889.2932692307693</v>
      </c>
      <c r="P2383" s="346">
        <v>16750</v>
      </c>
      <c r="Q2383" s="30">
        <v>0.1308</v>
      </c>
      <c r="R2383" s="30"/>
      <c r="S2383" s="30"/>
      <c r="T2383" s="30"/>
      <c r="U2383" s="31">
        <v>0</v>
      </c>
      <c r="V2383" s="46">
        <f>AVERAGE(P2362:P2383)</f>
        <v>16811.111111111109</v>
      </c>
      <c r="W2383" s="741">
        <f t="shared" si="77"/>
        <v>2190.9</v>
      </c>
    </row>
    <row r="2384" spans="1:23" ht="15" customHeight="1">
      <c r="A2384" s="3">
        <v>39234</v>
      </c>
      <c r="B2384" s="4">
        <v>24250</v>
      </c>
      <c r="D2384" s="5">
        <v>23325</v>
      </c>
      <c r="E2384" s="5">
        <f t="shared" si="75"/>
        <v>25</v>
      </c>
      <c r="F2384" s="5">
        <v>47600</v>
      </c>
      <c r="K2384" s="24">
        <v>2351</v>
      </c>
      <c r="L2384" s="6">
        <v>2355</v>
      </c>
      <c r="M2384" s="270">
        <f t="shared" si="78"/>
        <v>4</v>
      </c>
      <c r="N2384" s="21"/>
      <c r="O2384" s="283"/>
      <c r="P2384" s="348">
        <v>16850</v>
      </c>
      <c r="Q2384" s="41">
        <v>0.1308</v>
      </c>
      <c r="U2384" s="29">
        <v>0.1</v>
      </c>
      <c r="W2384" s="741">
        <f t="shared" si="77"/>
        <v>2424.3780000000002</v>
      </c>
    </row>
    <row r="2385" spans="1:23" ht="15" customHeight="1">
      <c r="A2385" s="3">
        <v>39237</v>
      </c>
      <c r="B2385" s="4">
        <v>24250</v>
      </c>
      <c r="D2385" s="5">
        <v>23400</v>
      </c>
      <c r="E2385" s="5">
        <f t="shared" si="75"/>
        <v>0</v>
      </c>
      <c r="F2385" s="5">
        <v>47650</v>
      </c>
      <c r="K2385" s="24">
        <v>2336</v>
      </c>
      <c r="L2385" s="6">
        <v>2350</v>
      </c>
      <c r="M2385" s="270">
        <f t="shared" si="78"/>
        <v>14</v>
      </c>
      <c r="N2385" s="19"/>
      <c r="O2385" s="280"/>
      <c r="P2385" s="345">
        <v>16825</v>
      </c>
      <c r="Q2385" s="28">
        <v>0.13070000000000001</v>
      </c>
      <c r="U2385" s="29">
        <v>0.1</v>
      </c>
      <c r="W2385" s="741">
        <f t="shared" si="77"/>
        <v>2418.9302500000003</v>
      </c>
    </row>
    <row r="2386" spans="1:23" ht="15" customHeight="1">
      <c r="A2386" s="3">
        <v>39238</v>
      </c>
      <c r="B2386" s="4">
        <v>24800</v>
      </c>
      <c r="D2386" s="5">
        <v>23450</v>
      </c>
      <c r="E2386" s="5">
        <f t="shared" si="75"/>
        <v>0</v>
      </c>
      <c r="F2386" s="5">
        <v>48250</v>
      </c>
      <c r="K2386" s="24">
        <v>2325.5</v>
      </c>
      <c r="L2386" s="6">
        <v>2328</v>
      </c>
      <c r="M2386" s="270">
        <f t="shared" si="78"/>
        <v>2.5</v>
      </c>
      <c r="N2386" s="19"/>
      <c r="O2386" s="280"/>
      <c r="P2386" s="345">
        <v>16825</v>
      </c>
      <c r="Q2386" s="28">
        <v>0.13100000000000001</v>
      </c>
      <c r="U2386" s="29">
        <v>0.1</v>
      </c>
      <c r="W2386" s="741">
        <f t="shared" si="77"/>
        <v>2424.4825000000005</v>
      </c>
    </row>
    <row r="2387" spans="1:23" ht="15" customHeight="1">
      <c r="A2387" s="3">
        <v>39239</v>
      </c>
      <c r="B2387" s="4">
        <v>24325</v>
      </c>
      <c r="D2387" s="5">
        <v>23450</v>
      </c>
      <c r="E2387" s="5">
        <f t="shared" si="75"/>
        <v>0</v>
      </c>
      <c r="F2387" s="5">
        <v>47775</v>
      </c>
      <c r="K2387" s="24">
        <v>2315.5</v>
      </c>
      <c r="L2387" s="6">
        <v>2311</v>
      </c>
      <c r="M2387" s="270">
        <f t="shared" si="78"/>
        <v>-4.5</v>
      </c>
      <c r="N2387" s="19"/>
      <c r="O2387" s="280"/>
      <c r="P2387" s="345">
        <v>16800</v>
      </c>
      <c r="Q2387" s="28">
        <v>0.13100000000000001</v>
      </c>
      <c r="U2387" s="29">
        <v>0.1</v>
      </c>
      <c r="W2387" s="741">
        <f t="shared" si="77"/>
        <v>2420.8800000000006</v>
      </c>
    </row>
    <row r="2388" spans="1:23" ht="15" customHeight="1">
      <c r="A2388" s="3">
        <v>39240</v>
      </c>
      <c r="B2388" s="4">
        <v>23575</v>
      </c>
      <c r="D2388" s="5">
        <v>23500</v>
      </c>
      <c r="E2388" s="5">
        <f t="shared" si="75"/>
        <v>0</v>
      </c>
      <c r="F2388" s="5">
        <v>47075</v>
      </c>
      <c r="K2388" s="24">
        <v>2305</v>
      </c>
      <c r="L2388" s="6">
        <v>2303.5</v>
      </c>
      <c r="M2388" s="270">
        <f t="shared" si="78"/>
        <v>-1.5</v>
      </c>
      <c r="N2388" s="19"/>
      <c r="O2388" s="280"/>
      <c r="P2388" s="345">
        <v>16775</v>
      </c>
      <c r="Q2388" s="28">
        <v>0.1308</v>
      </c>
      <c r="U2388" s="29">
        <v>0.1</v>
      </c>
      <c r="W2388" s="741">
        <f t="shared" si="77"/>
        <v>2413.5870000000004</v>
      </c>
    </row>
    <row r="2389" spans="1:23" ht="15" customHeight="1">
      <c r="A2389" s="3">
        <v>39241</v>
      </c>
      <c r="B2389" s="4">
        <v>22800</v>
      </c>
      <c r="D2389" s="5">
        <v>23475</v>
      </c>
      <c r="E2389" s="5">
        <f t="shared" si="75"/>
        <v>0</v>
      </c>
      <c r="F2389" s="5">
        <v>46275</v>
      </c>
      <c r="K2389" s="24">
        <v>2255</v>
      </c>
      <c r="L2389" s="6">
        <v>2257</v>
      </c>
      <c r="M2389" s="270">
        <f t="shared" si="78"/>
        <v>2</v>
      </c>
      <c r="N2389" s="19"/>
      <c r="O2389" s="280"/>
      <c r="P2389" s="345">
        <v>16725</v>
      </c>
      <c r="Q2389" s="28">
        <v>0.13059999999999999</v>
      </c>
      <c r="U2389" s="29">
        <v>0.1</v>
      </c>
      <c r="W2389" s="741">
        <f t="shared" si="77"/>
        <v>2402.7134999999998</v>
      </c>
    </row>
    <row r="2390" spans="1:23" ht="15" customHeight="1">
      <c r="A2390" s="3">
        <v>39244</v>
      </c>
      <c r="B2390" s="4">
        <v>21775</v>
      </c>
      <c r="D2390" s="5">
        <v>23500</v>
      </c>
      <c r="E2390" s="5">
        <f t="shared" si="75"/>
        <v>0</v>
      </c>
      <c r="F2390" s="5">
        <v>45275</v>
      </c>
      <c r="K2390" s="24">
        <v>2315</v>
      </c>
      <c r="L2390" s="6">
        <v>2315</v>
      </c>
      <c r="M2390" s="270">
        <f t="shared" si="78"/>
        <v>0</v>
      </c>
      <c r="N2390" s="19"/>
      <c r="O2390" s="280"/>
      <c r="P2390" s="345">
        <v>16725</v>
      </c>
      <c r="Q2390" s="28">
        <v>0.1305</v>
      </c>
      <c r="U2390" s="29">
        <v>0.1</v>
      </c>
      <c r="W2390" s="741">
        <f t="shared" si="77"/>
        <v>2400.8737500000002</v>
      </c>
    </row>
    <row r="2391" spans="1:23" ht="15" customHeight="1">
      <c r="A2391" s="3">
        <v>39245</v>
      </c>
      <c r="B2391" s="4">
        <v>20675</v>
      </c>
      <c r="D2391" s="5">
        <v>23500</v>
      </c>
      <c r="E2391" s="5">
        <f t="shared" si="75"/>
        <v>0</v>
      </c>
      <c r="F2391" s="5">
        <v>44175</v>
      </c>
      <c r="K2391" s="24">
        <v>2315</v>
      </c>
      <c r="L2391" s="6">
        <v>2324.5</v>
      </c>
      <c r="M2391" s="270">
        <f t="shared" si="78"/>
        <v>9.5</v>
      </c>
      <c r="N2391" s="19"/>
      <c r="O2391" s="280"/>
      <c r="P2391" s="345">
        <v>16825</v>
      </c>
      <c r="Q2391" s="28">
        <v>0.1308</v>
      </c>
      <c r="U2391" s="29">
        <v>0.1</v>
      </c>
      <c r="W2391" s="741">
        <f t="shared" si="77"/>
        <v>2420.7810000000004</v>
      </c>
    </row>
    <row r="2392" spans="1:23" ht="15" customHeight="1">
      <c r="A2392" s="3">
        <v>39246</v>
      </c>
      <c r="B2392" s="4">
        <v>19850</v>
      </c>
      <c r="D2392" s="5">
        <v>23450</v>
      </c>
      <c r="E2392" s="5">
        <f t="shared" si="75"/>
        <v>0</v>
      </c>
      <c r="F2392" s="5">
        <v>43300</v>
      </c>
      <c r="K2392" s="24">
        <v>2288.5</v>
      </c>
      <c r="L2392" s="6">
        <v>2290</v>
      </c>
      <c r="M2392" s="270">
        <f t="shared" si="78"/>
        <v>1.5</v>
      </c>
      <c r="N2392" s="19"/>
      <c r="O2392" s="280"/>
      <c r="P2392" s="345">
        <v>16875</v>
      </c>
      <c r="Q2392" s="28">
        <v>0.13100000000000001</v>
      </c>
      <c r="U2392" s="29">
        <v>0.1</v>
      </c>
      <c r="W2392" s="741">
        <f t="shared" si="77"/>
        <v>2431.6875</v>
      </c>
    </row>
    <row r="2393" spans="1:23" ht="15" customHeight="1">
      <c r="A2393" s="3">
        <v>39247</v>
      </c>
      <c r="B2393" s="4">
        <v>19525</v>
      </c>
      <c r="D2393" s="5">
        <v>23450</v>
      </c>
      <c r="E2393" s="5">
        <f t="shared" si="75"/>
        <v>0</v>
      </c>
      <c r="F2393" s="5">
        <v>42975</v>
      </c>
      <c r="K2393" s="24">
        <v>2335.5</v>
      </c>
      <c r="L2393" s="6">
        <v>2339</v>
      </c>
      <c r="M2393" s="270">
        <f t="shared" si="78"/>
        <v>3.5</v>
      </c>
      <c r="N2393" s="19"/>
      <c r="O2393" s="280"/>
      <c r="P2393" s="345">
        <v>17000</v>
      </c>
      <c r="Q2393" s="28">
        <v>0.13109999999999999</v>
      </c>
      <c r="U2393" s="29">
        <v>0.1</v>
      </c>
      <c r="W2393" s="741">
        <f t="shared" si="77"/>
        <v>2451.5700000000002</v>
      </c>
    </row>
    <row r="2394" spans="1:23" ht="15" customHeight="1">
      <c r="A2394" s="3">
        <v>39248</v>
      </c>
      <c r="B2394" s="4">
        <v>19275</v>
      </c>
      <c r="D2394" s="5">
        <v>23450</v>
      </c>
      <c r="E2394" s="5">
        <f t="shared" si="75"/>
        <v>0</v>
      </c>
      <c r="F2394" s="5">
        <v>42725</v>
      </c>
      <c r="K2394" s="24">
        <v>2360</v>
      </c>
      <c r="L2394" s="6">
        <v>2353</v>
      </c>
      <c r="M2394" s="270">
        <f t="shared" si="78"/>
        <v>-7</v>
      </c>
      <c r="N2394" s="19"/>
      <c r="O2394" s="280"/>
      <c r="P2394" s="345">
        <v>17150</v>
      </c>
      <c r="Q2394" s="28">
        <v>0.13109999999999999</v>
      </c>
      <c r="U2394" s="29">
        <v>0.1</v>
      </c>
      <c r="W2394" s="741">
        <f t="shared" si="77"/>
        <v>2473.2015000000001</v>
      </c>
    </row>
    <row r="2395" spans="1:23" ht="15" customHeight="1">
      <c r="A2395" s="3">
        <v>39251</v>
      </c>
      <c r="B2395" s="4">
        <v>19025</v>
      </c>
      <c r="D2395" s="5">
        <v>23325</v>
      </c>
      <c r="E2395" s="5">
        <f t="shared" si="75"/>
        <v>375</v>
      </c>
      <c r="F2395" s="5">
        <v>42725</v>
      </c>
      <c r="K2395" s="24">
        <v>2410.5</v>
      </c>
      <c r="L2395" s="6">
        <v>2391</v>
      </c>
      <c r="M2395" s="270">
        <f t="shared" si="78"/>
        <v>-19.5</v>
      </c>
      <c r="N2395" s="19"/>
      <c r="O2395" s="280"/>
      <c r="P2395" s="345">
        <v>17150</v>
      </c>
      <c r="Q2395" s="28">
        <v>0.13109999999999999</v>
      </c>
      <c r="U2395" s="29">
        <v>0.1</v>
      </c>
      <c r="W2395" s="741">
        <f t="shared" si="77"/>
        <v>2473.2015000000001</v>
      </c>
    </row>
    <row r="2396" spans="1:23" ht="15" customHeight="1">
      <c r="A2396" s="3">
        <v>39252</v>
      </c>
      <c r="B2396" s="4">
        <v>18425</v>
      </c>
      <c r="D2396" s="5">
        <v>23300</v>
      </c>
      <c r="E2396" s="5">
        <f t="shared" si="75"/>
        <v>0</v>
      </c>
      <c r="F2396" s="5">
        <v>41725</v>
      </c>
      <c r="K2396" s="24">
        <v>2400</v>
      </c>
      <c r="L2396" s="6">
        <v>2390</v>
      </c>
      <c r="M2396" s="270">
        <f t="shared" si="78"/>
        <v>-10</v>
      </c>
      <c r="N2396" s="19"/>
      <c r="O2396" s="280"/>
      <c r="P2396" s="345">
        <v>17275</v>
      </c>
      <c r="Q2396" s="28">
        <v>0.1313</v>
      </c>
      <c r="U2396" s="29">
        <v>0.1</v>
      </c>
      <c r="W2396" s="741">
        <f t="shared" si="77"/>
        <v>2495.0282500000003</v>
      </c>
    </row>
    <row r="2397" spans="1:23" ht="15" customHeight="1">
      <c r="A2397" s="3">
        <v>39253</v>
      </c>
      <c r="B2397" s="4">
        <v>19800</v>
      </c>
      <c r="D2397" s="5">
        <v>23375</v>
      </c>
      <c r="E2397" s="5">
        <f t="shared" si="75"/>
        <v>0</v>
      </c>
      <c r="F2397" s="5">
        <v>43175</v>
      </c>
      <c r="K2397" s="24">
        <v>2477</v>
      </c>
      <c r="L2397" s="6">
        <v>2477</v>
      </c>
      <c r="M2397" s="270">
        <f t="shared" si="78"/>
        <v>0</v>
      </c>
      <c r="N2397" s="19"/>
      <c r="O2397" s="280"/>
      <c r="P2397" s="345">
        <v>17425</v>
      </c>
      <c r="Q2397" s="28">
        <v>0.1313</v>
      </c>
      <c r="U2397" s="29">
        <v>0.1</v>
      </c>
      <c r="W2397" s="741">
        <f t="shared" si="77"/>
        <v>2516.6927500000002</v>
      </c>
    </row>
    <row r="2398" spans="1:23" ht="15" customHeight="1">
      <c r="A2398" s="3">
        <v>39254</v>
      </c>
      <c r="B2398" s="4">
        <v>19400</v>
      </c>
      <c r="D2398" s="5">
        <v>23500</v>
      </c>
      <c r="E2398" s="5">
        <f t="shared" si="75"/>
        <v>0</v>
      </c>
      <c r="F2398" s="5">
        <v>42900</v>
      </c>
      <c r="K2398" s="24">
        <v>2523</v>
      </c>
      <c r="L2398" s="6">
        <v>2511</v>
      </c>
      <c r="M2398" s="270">
        <f t="shared" si="78"/>
        <v>-12</v>
      </c>
      <c r="N2398" s="19"/>
      <c r="O2398" s="280"/>
      <c r="P2398" s="345">
        <v>17600</v>
      </c>
      <c r="Q2398" s="28">
        <v>0.13100000000000001</v>
      </c>
      <c r="U2398" s="29">
        <v>0.1</v>
      </c>
      <c r="W2398" s="741">
        <f t="shared" si="77"/>
        <v>2536.1600000000003</v>
      </c>
    </row>
    <row r="2399" spans="1:23" ht="15" customHeight="1">
      <c r="A2399" s="3">
        <v>39255</v>
      </c>
      <c r="B2399" s="4">
        <v>21325</v>
      </c>
      <c r="D2399" s="5">
        <v>23500</v>
      </c>
      <c r="E2399" s="5">
        <f t="shared" si="75"/>
        <v>0</v>
      </c>
      <c r="F2399" s="5">
        <v>44825</v>
      </c>
      <c r="K2399" s="24">
        <v>2530</v>
      </c>
      <c r="L2399" s="6">
        <v>2505</v>
      </c>
      <c r="M2399" s="270">
        <f t="shared" si="78"/>
        <v>-25</v>
      </c>
      <c r="N2399" s="19"/>
      <c r="O2399" s="280"/>
      <c r="P2399" s="345">
        <v>17800</v>
      </c>
      <c r="Q2399" s="28">
        <v>0.13120000000000001</v>
      </c>
      <c r="U2399" s="29">
        <v>0.1</v>
      </c>
      <c r="W2399" s="741">
        <f t="shared" si="77"/>
        <v>2568.8960000000002</v>
      </c>
    </row>
    <row r="2400" spans="1:23" ht="15" customHeight="1">
      <c r="A2400" s="3">
        <v>39258</v>
      </c>
      <c r="B2400" s="4">
        <v>22525</v>
      </c>
      <c r="D2400" s="5">
        <v>23500</v>
      </c>
      <c r="E2400" s="5">
        <f t="shared" si="75"/>
        <v>0</v>
      </c>
      <c r="F2400" s="5">
        <v>46025</v>
      </c>
      <c r="K2400" s="24">
        <v>2600</v>
      </c>
      <c r="L2400" s="6">
        <v>2601</v>
      </c>
      <c r="M2400" s="270">
        <f t="shared" si="78"/>
        <v>1</v>
      </c>
      <c r="N2400" s="19"/>
      <c r="O2400" s="280"/>
      <c r="P2400" s="345">
        <v>18100</v>
      </c>
      <c r="Q2400" s="28">
        <v>0.13120000000000001</v>
      </c>
      <c r="U2400" s="29">
        <v>0.1</v>
      </c>
      <c r="W2400" s="741">
        <f t="shared" si="77"/>
        <v>2612.1920000000005</v>
      </c>
    </row>
    <row r="2401" spans="1:23" ht="15" customHeight="1">
      <c r="A2401" s="3">
        <v>39259</v>
      </c>
      <c r="B2401" s="4">
        <v>22725</v>
      </c>
      <c r="D2401" s="5">
        <v>23675</v>
      </c>
      <c r="E2401" s="5">
        <f t="shared" si="75"/>
        <v>0</v>
      </c>
      <c r="F2401" s="5">
        <v>46400</v>
      </c>
      <c r="K2401" s="24">
        <v>2677</v>
      </c>
      <c r="L2401" s="6">
        <v>2679</v>
      </c>
      <c r="M2401" s="270">
        <f t="shared" si="78"/>
        <v>2</v>
      </c>
      <c r="N2401" s="19"/>
      <c r="O2401" s="280"/>
      <c r="P2401" s="345">
        <v>18650</v>
      </c>
      <c r="Q2401" s="28">
        <v>0.1313</v>
      </c>
      <c r="U2401" s="29">
        <v>0.1</v>
      </c>
      <c r="W2401" s="741">
        <f t="shared" si="77"/>
        <v>2693.6195000000002</v>
      </c>
    </row>
    <row r="2402" spans="1:23" ht="15" customHeight="1">
      <c r="A2402" s="3">
        <v>39260</v>
      </c>
      <c r="B2402" s="4">
        <v>22075</v>
      </c>
      <c r="D2402" s="5">
        <v>23675</v>
      </c>
      <c r="E2402" s="5">
        <f t="shared" si="75"/>
        <v>0</v>
      </c>
      <c r="F2402" s="5">
        <v>45750</v>
      </c>
      <c r="K2402" s="24">
        <v>2519</v>
      </c>
      <c r="L2402" s="6">
        <v>2501</v>
      </c>
      <c r="M2402" s="270">
        <f t="shared" si="78"/>
        <v>-18</v>
      </c>
      <c r="N2402" s="19"/>
      <c r="O2402" s="280"/>
      <c r="P2402" s="345">
        <v>19000</v>
      </c>
      <c r="Q2402" s="28">
        <v>0.1313</v>
      </c>
      <c r="U2402" s="29">
        <v>0.1</v>
      </c>
      <c r="W2402" s="741">
        <f t="shared" si="77"/>
        <v>2744.17</v>
      </c>
    </row>
    <row r="2403" spans="1:23" ht="15" customHeight="1">
      <c r="A2403" s="3">
        <v>39261</v>
      </c>
      <c r="B2403" s="4">
        <v>21425</v>
      </c>
      <c r="D2403" s="5">
        <v>23675</v>
      </c>
      <c r="E2403" s="5">
        <f t="shared" si="75"/>
        <v>0</v>
      </c>
      <c r="F2403" s="5">
        <v>45100</v>
      </c>
      <c r="K2403" s="24">
        <v>2660</v>
      </c>
      <c r="L2403" s="6">
        <v>2651</v>
      </c>
      <c r="M2403" s="270">
        <f t="shared" si="78"/>
        <v>-9</v>
      </c>
      <c r="N2403" s="19"/>
      <c r="O2403" s="280"/>
      <c r="P2403" s="345">
        <v>19100</v>
      </c>
      <c r="Q2403" s="28">
        <v>0.1313</v>
      </c>
      <c r="U2403" s="29">
        <v>0.1</v>
      </c>
      <c r="W2403" s="741">
        <f t="shared" si="77"/>
        <v>2758.6130000000003</v>
      </c>
    </row>
    <row r="2404" spans="1:23" ht="15" customHeight="1" thickBot="1">
      <c r="A2404" s="12">
        <v>39262</v>
      </c>
      <c r="B2404" s="13">
        <v>21275</v>
      </c>
      <c r="C2404" s="13"/>
      <c r="D2404" s="14">
        <v>23800</v>
      </c>
      <c r="E2404" s="14">
        <f t="shared" si="75"/>
        <v>0</v>
      </c>
      <c r="F2404" s="14">
        <v>45075</v>
      </c>
      <c r="G2404" s="14"/>
      <c r="H2404" s="14"/>
      <c r="I2404" s="14"/>
      <c r="J2404" s="264"/>
      <c r="K2404" s="25">
        <v>2647</v>
      </c>
      <c r="L2404" s="15">
        <v>2645</v>
      </c>
      <c r="M2404" s="271">
        <f t="shared" si="78"/>
        <v>-2</v>
      </c>
      <c r="N2404" s="20">
        <f>AVERAGE(K2384:K2404)</f>
        <v>2425.9761904761904</v>
      </c>
      <c r="O2404" s="281">
        <f>AVERAGE(K2277:K2404)</f>
        <v>1979.4559999999999</v>
      </c>
      <c r="P2404" s="346">
        <v>19200</v>
      </c>
      <c r="Q2404" s="30">
        <v>0.1313</v>
      </c>
      <c r="R2404" s="30"/>
      <c r="S2404" s="30"/>
      <c r="T2404" s="30"/>
      <c r="U2404" s="31">
        <v>0.1</v>
      </c>
      <c r="V2404" s="46">
        <f>AVERAGE(P2384:P2404)</f>
        <v>17460.714285714286</v>
      </c>
      <c r="W2404" s="741">
        <f t="shared" si="77"/>
        <v>2773.056</v>
      </c>
    </row>
    <row r="2405" spans="1:23" ht="15" customHeight="1">
      <c r="A2405" s="3">
        <v>39265</v>
      </c>
      <c r="B2405" s="4">
        <v>21225</v>
      </c>
      <c r="D2405" s="5">
        <v>23800</v>
      </c>
      <c r="E2405" s="5">
        <f t="shared" si="75"/>
        <v>100</v>
      </c>
      <c r="F2405" s="5">
        <v>45125</v>
      </c>
      <c r="K2405" s="24">
        <v>2730</v>
      </c>
      <c r="L2405" s="6">
        <v>2730</v>
      </c>
      <c r="M2405" s="270">
        <f t="shared" si="78"/>
        <v>0</v>
      </c>
      <c r="N2405" s="21"/>
      <c r="O2405" s="283"/>
      <c r="P2405" s="345">
        <v>19200</v>
      </c>
      <c r="Q2405" s="28">
        <v>0.1313</v>
      </c>
      <c r="U2405" s="29">
        <v>0.1</v>
      </c>
      <c r="W2405" s="741">
        <f t="shared" si="77"/>
        <v>2773.056</v>
      </c>
    </row>
    <row r="2406" spans="1:23" ht="15" customHeight="1">
      <c r="A2406" s="3">
        <v>39266</v>
      </c>
      <c r="B2406" s="4">
        <v>20950</v>
      </c>
      <c r="D2406" s="5">
        <v>23800</v>
      </c>
      <c r="E2406" s="5">
        <f t="shared" si="75"/>
        <v>100</v>
      </c>
      <c r="F2406" s="5">
        <v>44850</v>
      </c>
      <c r="K2406" s="24">
        <v>2780</v>
      </c>
      <c r="L2406" s="6">
        <v>2780</v>
      </c>
      <c r="M2406" s="270">
        <f t="shared" si="78"/>
        <v>0</v>
      </c>
      <c r="N2406" s="19"/>
      <c r="O2406" s="280"/>
      <c r="P2406" s="345">
        <v>19900</v>
      </c>
      <c r="Q2406" s="28">
        <v>0.13150000000000001</v>
      </c>
      <c r="U2406" s="29">
        <v>0.1</v>
      </c>
      <c r="W2406" s="741">
        <f t="shared" si="77"/>
        <v>2878.5350000000003</v>
      </c>
    </row>
    <row r="2407" spans="1:23" ht="15" customHeight="1">
      <c r="A2407" s="3">
        <v>39267</v>
      </c>
      <c r="B2407" s="4">
        <v>20950</v>
      </c>
      <c r="D2407" s="5">
        <v>24000</v>
      </c>
      <c r="E2407" s="5">
        <f t="shared" si="75"/>
        <v>100</v>
      </c>
      <c r="F2407" s="5">
        <v>45050</v>
      </c>
      <c r="K2407" s="24">
        <v>2857</v>
      </c>
      <c r="L2407" s="6">
        <v>2850</v>
      </c>
      <c r="M2407" s="270">
        <f t="shared" si="78"/>
        <v>-7</v>
      </c>
      <c r="N2407" s="19"/>
      <c r="O2407" s="280"/>
      <c r="P2407" s="345">
        <v>20400</v>
      </c>
      <c r="Q2407" s="28">
        <v>0.13170000000000001</v>
      </c>
      <c r="U2407" s="29">
        <v>0.1</v>
      </c>
      <c r="W2407" s="741">
        <f t="shared" si="77"/>
        <v>2955.3480000000004</v>
      </c>
    </row>
    <row r="2408" spans="1:23" ht="15" customHeight="1">
      <c r="A2408" s="3">
        <v>39268</v>
      </c>
      <c r="B2408" s="4">
        <v>20450</v>
      </c>
      <c r="D2408" s="5">
        <v>24000</v>
      </c>
      <c r="E2408" s="5">
        <f t="shared" si="75"/>
        <v>350</v>
      </c>
      <c r="F2408" s="5">
        <v>44800</v>
      </c>
      <c r="K2408" s="24">
        <v>2858</v>
      </c>
      <c r="L2408" s="6">
        <v>2862</v>
      </c>
      <c r="M2408" s="270">
        <f t="shared" si="78"/>
        <v>4</v>
      </c>
      <c r="N2408" s="19"/>
      <c r="O2408" s="280"/>
      <c r="P2408" s="345">
        <v>21250</v>
      </c>
      <c r="Q2408" s="28">
        <v>0.13170000000000001</v>
      </c>
      <c r="U2408" s="29">
        <v>0.1</v>
      </c>
      <c r="W2408" s="741">
        <f t="shared" si="77"/>
        <v>3078.4875000000006</v>
      </c>
    </row>
    <row r="2409" spans="1:23" ht="15" customHeight="1">
      <c r="A2409" s="3">
        <v>39269</v>
      </c>
      <c r="B2409" s="4">
        <v>19800</v>
      </c>
      <c r="D2409" s="5">
        <v>24000</v>
      </c>
      <c r="E2409" s="5">
        <f t="shared" si="75"/>
        <v>350</v>
      </c>
      <c r="F2409" s="5">
        <v>44150</v>
      </c>
      <c r="K2409" s="24">
        <v>2846</v>
      </c>
      <c r="L2409" s="6">
        <v>2835</v>
      </c>
      <c r="M2409" s="270">
        <f t="shared" si="78"/>
        <v>-11</v>
      </c>
      <c r="N2409" s="19"/>
      <c r="O2409" s="280"/>
      <c r="P2409" s="345">
        <v>22550</v>
      </c>
      <c r="Q2409" s="28">
        <v>0.13159999999999999</v>
      </c>
      <c r="U2409" s="29">
        <v>0.1</v>
      </c>
      <c r="W2409" s="741">
        <f t="shared" si="77"/>
        <v>3264.3380000000002</v>
      </c>
    </row>
    <row r="2410" spans="1:23" ht="15" customHeight="1">
      <c r="A2410" s="3">
        <v>39272</v>
      </c>
      <c r="B2410" s="4">
        <v>19050</v>
      </c>
      <c r="D2410" s="5">
        <v>24000</v>
      </c>
      <c r="E2410" s="5">
        <f t="shared" si="75"/>
        <v>350</v>
      </c>
      <c r="F2410" s="5">
        <v>43400</v>
      </c>
      <c r="K2410" s="24">
        <v>2945</v>
      </c>
      <c r="L2410" s="6">
        <v>2931</v>
      </c>
      <c r="M2410" s="270">
        <f t="shared" si="78"/>
        <v>-14</v>
      </c>
      <c r="N2410" s="19"/>
      <c r="O2410" s="280"/>
      <c r="P2410" s="345">
        <v>23250</v>
      </c>
      <c r="Q2410" s="28">
        <v>0.13159999999999999</v>
      </c>
      <c r="U2410" s="29">
        <v>0.1</v>
      </c>
      <c r="W2410" s="741">
        <f t="shared" si="77"/>
        <v>3365.67</v>
      </c>
    </row>
    <row r="2411" spans="1:23" ht="15" customHeight="1">
      <c r="A2411" s="3">
        <v>39273</v>
      </c>
      <c r="B2411" s="4">
        <v>18625</v>
      </c>
      <c r="D2411" s="5">
        <v>24000</v>
      </c>
      <c r="E2411" s="5">
        <f t="shared" si="75"/>
        <v>425</v>
      </c>
      <c r="F2411" s="5">
        <v>43050</v>
      </c>
      <c r="K2411" s="24">
        <v>2934</v>
      </c>
      <c r="L2411" s="6">
        <v>2930</v>
      </c>
      <c r="M2411" s="270">
        <f t="shared" si="78"/>
        <v>-4</v>
      </c>
      <c r="N2411" s="19"/>
      <c r="O2411" s="280"/>
      <c r="P2411" s="345">
        <v>23750</v>
      </c>
      <c r="Q2411" s="28">
        <v>0.13159999999999999</v>
      </c>
      <c r="U2411" s="29">
        <v>0.1</v>
      </c>
      <c r="W2411" s="741">
        <f t="shared" si="77"/>
        <v>3438.05</v>
      </c>
    </row>
    <row r="2412" spans="1:23" ht="15" customHeight="1">
      <c r="A2412" s="3">
        <v>39274</v>
      </c>
      <c r="B2412" s="4">
        <v>18450</v>
      </c>
      <c r="D2412" s="5">
        <v>24000</v>
      </c>
      <c r="E2412" s="5">
        <f t="shared" si="75"/>
        <v>475</v>
      </c>
      <c r="F2412" s="5">
        <v>42925</v>
      </c>
      <c r="K2412" s="24">
        <v>3016</v>
      </c>
      <c r="L2412" s="6">
        <v>3001</v>
      </c>
      <c r="M2412" s="270">
        <f t="shared" si="78"/>
        <v>-15</v>
      </c>
      <c r="N2412" s="19"/>
      <c r="O2412" s="280"/>
      <c r="P2412" s="345">
        <v>23600</v>
      </c>
      <c r="Q2412" s="28">
        <v>0.13189999999999999</v>
      </c>
      <c r="U2412" s="29">
        <v>0.1</v>
      </c>
      <c r="W2412" s="741">
        <f t="shared" si="77"/>
        <v>3424.1239999999998</v>
      </c>
    </row>
    <row r="2413" spans="1:23" ht="15" customHeight="1">
      <c r="A2413" s="3">
        <v>39275</v>
      </c>
      <c r="B2413" s="4">
        <v>17450</v>
      </c>
      <c r="D2413" s="5">
        <v>24000</v>
      </c>
      <c r="E2413" s="5">
        <f t="shared" si="75"/>
        <v>500</v>
      </c>
      <c r="F2413" s="5">
        <v>41950</v>
      </c>
      <c r="K2413" s="24">
        <v>3036</v>
      </c>
      <c r="L2413" s="6">
        <v>3011</v>
      </c>
      <c r="M2413" s="270">
        <f t="shared" si="78"/>
        <v>-25</v>
      </c>
      <c r="N2413" s="19"/>
      <c r="O2413" s="280"/>
      <c r="P2413" s="345">
        <v>23300</v>
      </c>
      <c r="Q2413" s="28">
        <v>0.13220000000000001</v>
      </c>
      <c r="U2413" s="29">
        <v>0.1</v>
      </c>
      <c r="W2413" s="741">
        <f t="shared" ref="W2413:W2476" si="79">(P2413*Q2413)*(1+U2413)</f>
        <v>3388.2860000000005</v>
      </c>
    </row>
    <row r="2414" spans="1:23" ht="15" customHeight="1">
      <c r="A2414" s="3">
        <v>39276</v>
      </c>
      <c r="B2414" s="4">
        <v>17450</v>
      </c>
      <c r="D2414" s="5">
        <v>24075</v>
      </c>
      <c r="E2414" s="5">
        <f t="shared" si="75"/>
        <v>500</v>
      </c>
      <c r="F2414" s="5">
        <v>42025</v>
      </c>
      <c r="K2414" s="24">
        <v>3018.5</v>
      </c>
      <c r="L2414" s="6">
        <v>3000</v>
      </c>
      <c r="M2414" s="270">
        <f t="shared" si="78"/>
        <v>-18.5</v>
      </c>
      <c r="N2414" s="19"/>
      <c r="O2414" s="280"/>
      <c r="P2414" s="345">
        <v>23000</v>
      </c>
      <c r="Q2414" s="28">
        <v>0.13220000000000001</v>
      </c>
      <c r="U2414" s="29">
        <v>0.1</v>
      </c>
      <c r="W2414" s="741">
        <f t="shared" si="79"/>
        <v>3344.6600000000008</v>
      </c>
    </row>
    <row r="2415" spans="1:23" ht="15" customHeight="1">
      <c r="A2415" s="3">
        <v>39279</v>
      </c>
      <c r="B2415" s="4">
        <v>17000</v>
      </c>
      <c r="D2415" s="5">
        <v>24075</v>
      </c>
      <c r="E2415" s="5">
        <f t="shared" si="75"/>
        <v>500</v>
      </c>
      <c r="F2415" s="5">
        <v>41575</v>
      </c>
      <c r="K2415" s="24">
        <v>3125</v>
      </c>
      <c r="L2415" s="6">
        <v>3100</v>
      </c>
      <c r="M2415" s="270">
        <f t="shared" si="78"/>
        <v>-25</v>
      </c>
      <c r="N2415" s="19"/>
      <c r="O2415" s="280"/>
      <c r="P2415" s="345">
        <v>23050</v>
      </c>
      <c r="Q2415" s="28">
        <v>0.1321</v>
      </c>
      <c r="U2415" s="29">
        <v>0.1</v>
      </c>
      <c r="W2415" s="741">
        <f t="shared" si="79"/>
        <v>3349.3955000000001</v>
      </c>
    </row>
    <row r="2416" spans="1:23" ht="15" customHeight="1">
      <c r="A2416" s="3">
        <v>39280</v>
      </c>
      <c r="B2416" s="4">
        <v>16875</v>
      </c>
      <c r="D2416" s="5">
        <v>24575</v>
      </c>
      <c r="E2416" s="5">
        <f t="shared" si="75"/>
        <v>500</v>
      </c>
      <c r="F2416" s="5">
        <v>41950</v>
      </c>
      <c r="K2416" s="24">
        <v>3170</v>
      </c>
      <c r="L2416" s="6">
        <v>3131</v>
      </c>
      <c r="M2416" s="270">
        <f t="shared" si="78"/>
        <v>-39</v>
      </c>
      <c r="N2416" s="19"/>
      <c r="O2416" s="280"/>
      <c r="P2416" s="345">
        <v>23300</v>
      </c>
      <c r="Q2416" s="28">
        <v>0.1321</v>
      </c>
      <c r="U2416" s="29">
        <v>0.1</v>
      </c>
      <c r="W2416" s="741">
        <f t="shared" si="79"/>
        <v>3385.723</v>
      </c>
    </row>
    <row r="2417" spans="1:23" ht="15" customHeight="1">
      <c r="A2417" s="3">
        <v>39281</v>
      </c>
      <c r="B2417" s="4">
        <v>16150</v>
      </c>
      <c r="D2417" s="5">
        <v>24575</v>
      </c>
      <c r="E2417" s="5">
        <f t="shared" si="75"/>
        <v>500</v>
      </c>
      <c r="F2417" s="5">
        <v>41225</v>
      </c>
      <c r="K2417" s="24">
        <v>3224</v>
      </c>
      <c r="L2417" s="6">
        <v>3205</v>
      </c>
      <c r="M2417" s="270">
        <f t="shared" si="78"/>
        <v>-19</v>
      </c>
      <c r="N2417" s="19"/>
      <c r="O2417" s="280"/>
      <c r="P2417" s="345">
        <v>23700</v>
      </c>
      <c r="Q2417" s="28">
        <v>0.13220000000000001</v>
      </c>
      <c r="U2417" s="29">
        <v>0.1</v>
      </c>
      <c r="W2417" s="741">
        <f t="shared" si="79"/>
        <v>3446.4540000000006</v>
      </c>
    </row>
    <row r="2418" spans="1:23" ht="15" customHeight="1">
      <c r="A2418" s="3">
        <v>39282</v>
      </c>
      <c r="B2418" s="4">
        <v>15700</v>
      </c>
      <c r="D2418" s="5">
        <v>24575</v>
      </c>
      <c r="E2418" s="5">
        <f t="shared" si="75"/>
        <v>500</v>
      </c>
      <c r="F2418" s="5">
        <v>40775</v>
      </c>
      <c r="K2418" s="24">
        <v>3314.5</v>
      </c>
      <c r="L2418" s="6">
        <v>3290</v>
      </c>
      <c r="M2418" s="270">
        <f t="shared" si="78"/>
        <v>-24.5</v>
      </c>
      <c r="N2418" s="19"/>
      <c r="O2418" s="280"/>
      <c r="P2418" s="345">
        <v>24050</v>
      </c>
      <c r="Q2418" s="28">
        <v>0.13220000000000001</v>
      </c>
      <c r="U2418" s="29">
        <v>0.1</v>
      </c>
      <c r="W2418" s="741">
        <f t="shared" si="79"/>
        <v>3497.3510000000006</v>
      </c>
    </row>
    <row r="2419" spans="1:23" ht="15" customHeight="1">
      <c r="A2419" s="3">
        <v>39283</v>
      </c>
      <c r="B2419" s="4">
        <v>15500</v>
      </c>
      <c r="D2419" s="5">
        <v>24575</v>
      </c>
      <c r="E2419" s="5">
        <f t="shared" si="75"/>
        <v>500</v>
      </c>
      <c r="F2419" s="5">
        <v>40575</v>
      </c>
      <c r="K2419" s="24">
        <v>3465</v>
      </c>
      <c r="L2419" s="6">
        <v>3430</v>
      </c>
      <c r="M2419" s="270">
        <f t="shared" si="78"/>
        <v>-35</v>
      </c>
      <c r="N2419" s="19"/>
      <c r="O2419" s="280"/>
      <c r="P2419" s="345">
        <v>24700</v>
      </c>
      <c r="Q2419" s="28">
        <v>0.13220000000000001</v>
      </c>
      <c r="U2419" s="29">
        <v>0.1</v>
      </c>
      <c r="W2419" s="741">
        <f t="shared" si="79"/>
        <v>3591.8740000000003</v>
      </c>
    </row>
    <row r="2420" spans="1:23" ht="15" customHeight="1">
      <c r="A2420" s="3">
        <v>39286</v>
      </c>
      <c r="B2420" s="4">
        <v>15250</v>
      </c>
      <c r="D2420" s="5">
        <v>24575</v>
      </c>
      <c r="E2420" s="5">
        <f t="shared" si="75"/>
        <v>500</v>
      </c>
      <c r="F2420" s="5">
        <v>40325</v>
      </c>
      <c r="K2420" s="24">
        <v>3480</v>
      </c>
      <c r="L2420" s="6">
        <v>3475</v>
      </c>
      <c r="M2420" s="270">
        <f t="shared" si="78"/>
        <v>-5</v>
      </c>
      <c r="N2420" s="19"/>
      <c r="O2420" s="280"/>
      <c r="P2420" s="345">
        <v>25650</v>
      </c>
      <c r="Q2420" s="28">
        <v>0.1321</v>
      </c>
      <c r="U2420" s="29">
        <v>0.1</v>
      </c>
      <c r="W2420" s="741">
        <f t="shared" si="79"/>
        <v>3727.2015000000001</v>
      </c>
    </row>
    <row r="2421" spans="1:23" ht="15" customHeight="1">
      <c r="A2421" s="3">
        <v>39287</v>
      </c>
      <c r="B2421" s="4">
        <v>15025</v>
      </c>
      <c r="D2421" s="5">
        <v>24575</v>
      </c>
      <c r="E2421" s="5">
        <f t="shared" si="75"/>
        <v>500</v>
      </c>
      <c r="F2421" s="5">
        <v>40100</v>
      </c>
      <c r="K2421" s="24">
        <v>3455</v>
      </c>
      <c r="L2421" s="6">
        <v>3444</v>
      </c>
      <c r="M2421" s="270">
        <f t="shared" si="78"/>
        <v>-11</v>
      </c>
      <c r="N2421" s="19"/>
      <c r="O2421" s="280"/>
      <c r="P2421" s="345">
        <v>25650</v>
      </c>
      <c r="Q2421" s="28">
        <v>0.13220000000000001</v>
      </c>
      <c r="U2421" s="29">
        <v>0.1</v>
      </c>
      <c r="W2421" s="741">
        <f t="shared" si="79"/>
        <v>3730.0230000000006</v>
      </c>
    </row>
    <row r="2422" spans="1:23" ht="15" customHeight="1">
      <c r="A2422" s="3">
        <v>39288</v>
      </c>
      <c r="B2422" s="4">
        <v>14375</v>
      </c>
      <c r="D2422" s="5">
        <v>24575</v>
      </c>
      <c r="E2422" s="5">
        <f t="shared" si="75"/>
        <v>500</v>
      </c>
      <c r="F2422" s="5">
        <v>39450</v>
      </c>
      <c r="K2422" s="24">
        <v>3300</v>
      </c>
      <c r="L2422" s="6">
        <v>3305</v>
      </c>
      <c r="M2422" s="270">
        <f t="shared" si="78"/>
        <v>5</v>
      </c>
      <c r="N2422" s="19"/>
      <c r="O2422" s="280"/>
      <c r="P2422" s="345">
        <v>25550</v>
      </c>
      <c r="Q2422" s="28">
        <v>0.13220000000000001</v>
      </c>
      <c r="U2422" s="29">
        <v>0.1</v>
      </c>
      <c r="W2422" s="741">
        <f t="shared" si="79"/>
        <v>3715.4810000000007</v>
      </c>
    </row>
    <row r="2423" spans="1:23" ht="15" customHeight="1">
      <c r="A2423" s="3">
        <v>39289</v>
      </c>
      <c r="B2423" s="4">
        <v>14375</v>
      </c>
      <c r="D2423" s="5">
        <v>24575</v>
      </c>
      <c r="E2423" s="5">
        <f t="shared" si="75"/>
        <v>500</v>
      </c>
      <c r="F2423" s="5">
        <v>39450</v>
      </c>
      <c r="K2423" s="24">
        <v>3169</v>
      </c>
      <c r="L2423" s="6">
        <v>3169</v>
      </c>
      <c r="M2423" s="270">
        <f t="shared" si="78"/>
        <v>0</v>
      </c>
      <c r="N2423" s="19"/>
      <c r="O2423" s="280"/>
      <c r="P2423" s="345">
        <v>25100</v>
      </c>
      <c r="Q2423" s="28">
        <v>0.1323</v>
      </c>
      <c r="U2423" s="29">
        <v>0.1</v>
      </c>
      <c r="W2423" s="741">
        <f t="shared" si="79"/>
        <v>3652.8030000000003</v>
      </c>
    </row>
    <row r="2424" spans="1:23" ht="15" customHeight="1">
      <c r="A2424" s="3">
        <v>39290</v>
      </c>
      <c r="B2424" s="4">
        <v>13925</v>
      </c>
      <c r="D2424" s="5">
        <v>24575</v>
      </c>
      <c r="E2424" s="5">
        <f t="shared" si="75"/>
        <v>500</v>
      </c>
      <c r="F2424" s="5">
        <v>39000</v>
      </c>
      <c r="K2424" s="24">
        <v>3045</v>
      </c>
      <c r="L2424" s="6">
        <v>3040</v>
      </c>
      <c r="M2424" s="270">
        <f t="shared" si="78"/>
        <v>-5</v>
      </c>
      <c r="N2424" s="19"/>
      <c r="O2424" s="280"/>
      <c r="P2424" s="345">
        <v>24650</v>
      </c>
      <c r="Q2424" s="28">
        <v>0.13220000000000001</v>
      </c>
      <c r="U2424" s="29">
        <v>0.1</v>
      </c>
      <c r="W2424" s="741">
        <f t="shared" si="79"/>
        <v>3584.603000000001</v>
      </c>
    </row>
    <row r="2425" spans="1:23" ht="15" customHeight="1">
      <c r="A2425" s="3">
        <v>39293</v>
      </c>
      <c r="B2425" s="4">
        <v>13925</v>
      </c>
      <c r="D2425" s="5">
        <v>24575</v>
      </c>
      <c r="E2425" s="5">
        <f t="shared" si="75"/>
        <v>500</v>
      </c>
      <c r="F2425" s="5">
        <v>39000</v>
      </c>
      <c r="K2425" s="24">
        <v>2951</v>
      </c>
      <c r="L2425" s="6">
        <v>2956</v>
      </c>
      <c r="M2425" s="270">
        <f t="shared" si="78"/>
        <v>5</v>
      </c>
      <c r="N2425" s="19"/>
      <c r="O2425" s="280"/>
      <c r="P2425" s="345">
        <v>24300</v>
      </c>
      <c r="Q2425" s="28">
        <v>0.1323</v>
      </c>
      <c r="U2425" s="29">
        <v>0.1</v>
      </c>
      <c r="W2425" s="741">
        <f t="shared" si="79"/>
        <v>3536.3790000000004</v>
      </c>
    </row>
    <row r="2426" spans="1:23" ht="15" customHeight="1" thickBot="1">
      <c r="A2426" s="12">
        <v>39294</v>
      </c>
      <c r="B2426" s="13">
        <v>12500</v>
      </c>
      <c r="C2426" s="13"/>
      <c r="D2426" s="14">
        <v>24575</v>
      </c>
      <c r="E2426" s="14">
        <f t="shared" si="75"/>
        <v>500</v>
      </c>
      <c r="F2426" s="14">
        <v>37575</v>
      </c>
      <c r="G2426" s="14"/>
      <c r="H2426" s="14"/>
      <c r="I2426" s="14"/>
      <c r="J2426" s="264"/>
      <c r="K2426" s="25">
        <v>3119</v>
      </c>
      <c r="L2426" s="15">
        <v>3097</v>
      </c>
      <c r="M2426" s="271">
        <f t="shared" si="78"/>
        <v>-22</v>
      </c>
      <c r="N2426" s="20">
        <f>AVERAGE(K2405:K2426)</f>
        <v>3083.5454545454545</v>
      </c>
      <c r="O2426" s="281">
        <f>AVERAGE(K2277:K2426)</f>
        <v>2144.6938775510203</v>
      </c>
      <c r="P2426" s="346">
        <v>23650</v>
      </c>
      <c r="Q2426" s="30">
        <v>0.1321</v>
      </c>
      <c r="R2426" s="30"/>
      <c r="S2426" s="30"/>
      <c r="T2426" s="30"/>
      <c r="U2426" s="31">
        <v>0.1</v>
      </c>
      <c r="V2426" s="46">
        <f>AVERAGE(P2405:P2426)</f>
        <v>23343.18181818182</v>
      </c>
      <c r="W2426" s="741">
        <f t="shared" si="79"/>
        <v>3436.5815000000002</v>
      </c>
    </row>
    <row r="2427" spans="1:23" ht="15" customHeight="1">
      <c r="A2427" s="3">
        <v>39295</v>
      </c>
      <c r="B2427" s="4">
        <v>11875</v>
      </c>
      <c r="D2427" s="5">
        <v>24575</v>
      </c>
      <c r="E2427" s="5">
        <f t="shared" si="75"/>
        <v>600</v>
      </c>
      <c r="F2427" s="5">
        <v>37050</v>
      </c>
      <c r="K2427" s="24">
        <v>3075</v>
      </c>
      <c r="L2427" s="6">
        <v>3067</v>
      </c>
      <c r="M2427" s="270">
        <f t="shared" si="78"/>
        <v>-8</v>
      </c>
      <c r="N2427" s="7"/>
      <c r="O2427" s="285"/>
      <c r="P2427" s="345">
        <v>24600</v>
      </c>
      <c r="Q2427" s="28">
        <v>0.1321</v>
      </c>
      <c r="U2427" s="29">
        <v>0.1</v>
      </c>
      <c r="W2427" s="741">
        <f t="shared" si="79"/>
        <v>3574.6260000000002</v>
      </c>
    </row>
    <row r="2428" spans="1:23" ht="15" customHeight="1">
      <c r="A2428" s="3">
        <v>39296</v>
      </c>
      <c r="B2428" s="4">
        <v>11300</v>
      </c>
      <c r="D2428" s="5">
        <v>24850</v>
      </c>
      <c r="E2428" s="5">
        <f t="shared" si="75"/>
        <v>600</v>
      </c>
      <c r="F2428" s="5">
        <v>36750</v>
      </c>
      <c r="K2428" s="24">
        <v>3266</v>
      </c>
      <c r="L2428" s="6">
        <v>3242</v>
      </c>
      <c r="M2428" s="270">
        <f t="shared" si="78"/>
        <v>-24</v>
      </c>
      <c r="N2428" s="19"/>
      <c r="O2428" s="280"/>
      <c r="P2428" s="345">
        <v>25050</v>
      </c>
      <c r="Q2428" s="28">
        <v>0.1321</v>
      </c>
      <c r="U2428" s="29">
        <v>0.1</v>
      </c>
      <c r="W2428" s="741">
        <f t="shared" si="79"/>
        <v>3640.0155000000004</v>
      </c>
    </row>
    <row r="2429" spans="1:23" ht="15" customHeight="1">
      <c r="A2429" s="3">
        <v>39297</v>
      </c>
      <c r="B2429" s="4">
        <v>10100</v>
      </c>
      <c r="D2429" s="5">
        <v>24850</v>
      </c>
      <c r="E2429" s="5">
        <f t="shared" si="75"/>
        <v>600</v>
      </c>
      <c r="F2429" s="5">
        <v>35550</v>
      </c>
      <c r="K2429" s="24">
        <v>3390</v>
      </c>
      <c r="L2429" s="6">
        <v>3330</v>
      </c>
      <c r="M2429" s="270">
        <f t="shared" si="78"/>
        <v>-60</v>
      </c>
      <c r="N2429" s="19"/>
      <c r="O2429" s="280"/>
      <c r="P2429" s="345">
        <v>25500</v>
      </c>
      <c r="Q2429" s="28">
        <v>0.1321</v>
      </c>
      <c r="U2429" s="29">
        <v>0.1</v>
      </c>
      <c r="W2429" s="741">
        <f t="shared" si="79"/>
        <v>3705.4050000000002</v>
      </c>
    </row>
    <row r="2430" spans="1:23" ht="15" customHeight="1">
      <c r="A2430" s="3">
        <v>39300</v>
      </c>
      <c r="B2430" s="4">
        <v>9800</v>
      </c>
      <c r="D2430" s="5">
        <v>24925</v>
      </c>
      <c r="E2430" s="5">
        <f t="shared" si="75"/>
        <v>600</v>
      </c>
      <c r="F2430" s="5">
        <v>35325</v>
      </c>
      <c r="K2430" s="24">
        <v>3251</v>
      </c>
      <c r="L2430" s="6">
        <v>3211</v>
      </c>
      <c r="M2430" s="270">
        <f t="shared" si="78"/>
        <v>-40</v>
      </c>
      <c r="N2430" s="19"/>
      <c r="O2430" s="280"/>
      <c r="P2430" s="345">
        <v>25700</v>
      </c>
      <c r="Q2430" s="28">
        <v>0.13220000000000001</v>
      </c>
      <c r="U2430" s="29">
        <v>0.1</v>
      </c>
      <c r="W2430" s="741">
        <f t="shared" si="79"/>
        <v>3737.2940000000008</v>
      </c>
    </row>
    <row r="2431" spans="1:23" ht="15" customHeight="1">
      <c r="A2431" s="3">
        <v>39301</v>
      </c>
      <c r="B2431" s="4">
        <v>9000</v>
      </c>
      <c r="D2431" s="5">
        <v>25700</v>
      </c>
      <c r="E2431" s="5">
        <f t="shared" si="75"/>
        <v>600</v>
      </c>
      <c r="F2431" s="5">
        <v>35300</v>
      </c>
      <c r="K2431" s="24">
        <v>3174</v>
      </c>
      <c r="L2431" s="6">
        <v>3090</v>
      </c>
      <c r="M2431" s="270">
        <f t="shared" si="78"/>
        <v>-84</v>
      </c>
      <c r="N2431" s="19"/>
      <c r="O2431" s="280"/>
      <c r="P2431" s="345">
        <v>25050</v>
      </c>
      <c r="Q2431" s="28">
        <v>0.1323</v>
      </c>
      <c r="U2431" s="29">
        <v>0.1</v>
      </c>
      <c r="W2431" s="741">
        <f t="shared" si="79"/>
        <v>3645.5265000000004</v>
      </c>
    </row>
    <row r="2432" spans="1:23" ht="15" customHeight="1">
      <c r="A2432" s="3">
        <v>39302</v>
      </c>
      <c r="B2432" s="4">
        <v>7675</v>
      </c>
      <c r="D2432" s="5">
        <v>25700</v>
      </c>
      <c r="E2432" s="5">
        <f t="shared" si="75"/>
        <v>600</v>
      </c>
      <c r="F2432" s="5">
        <v>33975</v>
      </c>
      <c r="K2432" s="24">
        <v>3179</v>
      </c>
      <c r="L2432" s="6">
        <v>3125</v>
      </c>
      <c r="M2432" s="270">
        <f t="shared" si="78"/>
        <v>-54</v>
      </c>
      <c r="N2432" s="19"/>
      <c r="O2432" s="280"/>
      <c r="P2432" s="345">
        <v>25050</v>
      </c>
      <c r="Q2432" s="28">
        <v>0.1321</v>
      </c>
      <c r="U2432" s="29">
        <v>0.1</v>
      </c>
      <c r="W2432" s="741">
        <f t="shared" si="79"/>
        <v>3640.0155000000004</v>
      </c>
    </row>
    <row r="2433" spans="1:23" ht="15" customHeight="1">
      <c r="A2433" s="3">
        <v>39303</v>
      </c>
      <c r="B2433" s="4">
        <v>6750</v>
      </c>
      <c r="D2433" s="5">
        <v>25500</v>
      </c>
      <c r="E2433" s="5">
        <f t="shared" si="75"/>
        <v>500</v>
      </c>
      <c r="F2433" s="5">
        <v>32750</v>
      </c>
      <c r="K2433" s="24">
        <v>3045</v>
      </c>
      <c r="L2433" s="6">
        <v>2980</v>
      </c>
      <c r="M2433" s="270">
        <f t="shared" si="78"/>
        <v>-65</v>
      </c>
      <c r="N2433" s="19"/>
      <c r="O2433" s="280"/>
      <c r="P2433" s="345">
        <v>24800</v>
      </c>
      <c r="Q2433" s="28">
        <v>0.13200000000000001</v>
      </c>
      <c r="U2433" s="29">
        <v>0.1</v>
      </c>
      <c r="W2433" s="741">
        <f t="shared" si="79"/>
        <v>3600.9600000000005</v>
      </c>
    </row>
    <row r="2434" spans="1:23" ht="15" customHeight="1">
      <c r="A2434" s="3">
        <v>39304</v>
      </c>
      <c r="B2434" s="4">
        <v>6750</v>
      </c>
      <c r="D2434" s="5">
        <v>25275</v>
      </c>
      <c r="E2434" s="5">
        <f t="shared" si="75"/>
        <v>550</v>
      </c>
      <c r="F2434" s="5">
        <v>32575</v>
      </c>
      <c r="K2434" s="24">
        <v>2873</v>
      </c>
      <c r="L2434" s="6">
        <v>2800</v>
      </c>
      <c r="M2434" s="270">
        <f t="shared" si="78"/>
        <v>-73</v>
      </c>
      <c r="N2434" s="19"/>
      <c r="O2434" s="280"/>
      <c r="P2434" s="345">
        <v>24200</v>
      </c>
      <c r="Q2434" s="28">
        <v>0.13220000000000001</v>
      </c>
      <c r="U2434" s="29">
        <v>0.1</v>
      </c>
      <c r="W2434" s="741">
        <f t="shared" si="79"/>
        <v>3519.1640000000007</v>
      </c>
    </row>
    <row r="2435" spans="1:23" ht="15" customHeight="1">
      <c r="A2435" s="3">
        <v>39307</v>
      </c>
      <c r="B2435" s="4">
        <v>5800</v>
      </c>
      <c r="D2435" s="5">
        <v>25150</v>
      </c>
      <c r="E2435" s="5">
        <f t="shared" si="75"/>
        <v>600</v>
      </c>
      <c r="F2435" s="5">
        <v>31550</v>
      </c>
      <c r="K2435" s="24">
        <v>3048</v>
      </c>
      <c r="L2435" s="6">
        <v>3040</v>
      </c>
      <c r="M2435" s="270">
        <f t="shared" si="78"/>
        <v>-8</v>
      </c>
      <c r="N2435" s="19"/>
      <c r="O2435" s="280"/>
      <c r="P2435" s="345">
        <v>24200</v>
      </c>
      <c r="Q2435" s="28">
        <v>0.13200000000000001</v>
      </c>
      <c r="U2435" s="29">
        <v>0.1</v>
      </c>
      <c r="W2435" s="741">
        <f t="shared" si="79"/>
        <v>3513.8400000000006</v>
      </c>
    </row>
    <row r="2436" spans="1:23" ht="15" customHeight="1">
      <c r="A2436" s="3">
        <v>39308</v>
      </c>
      <c r="B2436" s="4">
        <v>5200</v>
      </c>
      <c r="D2436" s="5">
        <v>25050</v>
      </c>
      <c r="E2436" s="5">
        <f t="shared" si="75"/>
        <v>600</v>
      </c>
      <c r="F2436" s="5">
        <v>30850</v>
      </c>
      <c r="K2436" s="24">
        <v>3121</v>
      </c>
      <c r="L2436" s="6">
        <v>3056</v>
      </c>
      <c r="M2436" s="270">
        <f t="shared" si="78"/>
        <v>-65</v>
      </c>
      <c r="N2436" s="19"/>
      <c r="O2436" s="280"/>
      <c r="P2436" s="345">
        <v>24600</v>
      </c>
      <c r="Q2436" s="28">
        <v>0.13189999999999999</v>
      </c>
      <c r="U2436" s="29">
        <v>0.1</v>
      </c>
      <c r="W2436" s="741">
        <f t="shared" si="79"/>
        <v>3569.2139999999999</v>
      </c>
    </row>
    <row r="2437" spans="1:23" ht="15" customHeight="1">
      <c r="A2437" s="3">
        <v>39309</v>
      </c>
      <c r="B2437" s="4">
        <v>3850</v>
      </c>
      <c r="D2437" s="5">
        <v>24800</v>
      </c>
      <c r="E2437" s="5">
        <f t="shared" si="75"/>
        <v>700</v>
      </c>
      <c r="F2437" s="5">
        <v>29350</v>
      </c>
      <c r="K2437" s="24">
        <v>2940</v>
      </c>
      <c r="L2437" s="6">
        <v>2876</v>
      </c>
      <c r="M2437" s="270">
        <f t="shared" si="78"/>
        <v>-64</v>
      </c>
      <c r="N2437" s="19"/>
      <c r="O2437" s="280"/>
      <c r="P2437" s="345">
        <v>24800</v>
      </c>
      <c r="Q2437" s="28">
        <v>0.13189999999999999</v>
      </c>
      <c r="U2437" s="29">
        <v>0.1</v>
      </c>
      <c r="W2437" s="741">
        <f t="shared" si="79"/>
        <v>3598.232</v>
      </c>
    </row>
    <row r="2438" spans="1:23" ht="15" customHeight="1">
      <c r="A2438" s="3">
        <v>39310</v>
      </c>
      <c r="B2438" s="4">
        <v>3675</v>
      </c>
      <c r="D2438" s="5">
        <v>24575</v>
      </c>
      <c r="E2438" s="5">
        <f t="shared" si="75"/>
        <v>700</v>
      </c>
      <c r="F2438" s="5">
        <v>28950</v>
      </c>
      <c r="K2438" s="24">
        <v>2925</v>
      </c>
      <c r="L2438" s="6">
        <v>2861</v>
      </c>
      <c r="M2438" s="270">
        <f t="shared" si="78"/>
        <v>-64</v>
      </c>
      <c r="N2438" s="19"/>
      <c r="O2438" s="280"/>
      <c r="P2438" s="345">
        <v>24600</v>
      </c>
      <c r="Q2438" s="28">
        <v>0.1318</v>
      </c>
      <c r="U2438" s="29">
        <v>0.1</v>
      </c>
      <c r="W2438" s="741">
        <f t="shared" si="79"/>
        <v>3566.5080000000007</v>
      </c>
    </row>
    <row r="2439" spans="1:23" ht="15" customHeight="1">
      <c r="A2439" s="3">
        <v>39311</v>
      </c>
      <c r="B2439" s="4">
        <v>3475</v>
      </c>
      <c r="D2439" s="5">
        <v>24225</v>
      </c>
      <c r="E2439" s="5">
        <f t="shared" si="75"/>
        <v>550</v>
      </c>
      <c r="F2439" s="5">
        <v>28250</v>
      </c>
      <c r="K2439" s="24">
        <v>2895</v>
      </c>
      <c r="L2439" s="6">
        <v>2840</v>
      </c>
      <c r="M2439" s="270">
        <f t="shared" si="78"/>
        <v>-55</v>
      </c>
      <c r="N2439" s="19"/>
      <c r="O2439" s="280"/>
      <c r="P2439" s="345">
        <v>23900</v>
      </c>
      <c r="Q2439" s="28">
        <v>0.13150000000000001</v>
      </c>
      <c r="U2439" s="29">
        <v>0.1</v>
      </c>
      <c r="W2439" s="741">
        <f t="shared" si="79"/>
        <v>3457.1350000000007</v>
      </c>
    </row>
    <row r="2440" spans="1:23" ht="15" customHeight="1">
      <c r="A2440" s="3">
        <v>39314</v>
      </c>
      <c r="B2440" s="4">
        <v>3375</v>
      </c>
      <c r="D2440" s="5">
        <v>23825</v>
      </c>
      <c r="E2440" s="5">
        <f t="shared" si="75"/>
        <v>550</v>
      </c>
      <c r="F2440" s="5">
        <v>27750</v>
      </c>
      <c r="K2440" s="24">
        <v>3015</v>
      </c>
      <c r="L2440" s="6">
        <v>2960</v>
      </c>
      <c r="M2440" s="270">
        <f t="shared" si="78"/>
        <v>-55</v>
      </c>
      <c r="N2440" s="19"/>
      <c r="O2440" s="280"/>
      <c r="P2440" s="345">
        <v>24200</v>
      </c>
      <c r="Q2440" s="28">
        <v>0.13170000000000001</v>
      </c>
      <c r="U2440" s="29">
        <v>0.1</v>
      </c>
      <c r="W2440" s="741">
        <f t="shared" si="79"/>
        <v>3505.8540000000007</v>
      </c>
    </row>
    <row r="2441" spans="1:23" ht="15" customHeight="1">
      <c r="A2441" s="3">
        <v>39315</v>
      </c>
      <c r="B2441" s="4">
        <v>2975</v>
      </c>
      <c r="D2441" s="5">
        <v>23675</v>
      </c>
      <c r="E2441" s="5">
        <f t="shared" si="75"/>
        <v>550</v>
      </c>
      <c r="F2441" s="5">
        <v>27200</v>
      </c>
      <c r="K2441" s="24">
        <v>2940</v>
      </c>
      <c r="L2441" s="6">
        <v>2886</v>
      </c>
      <c r="M2441" s="270">
        <f t="shared" si="78"/>
        <v>-54</v>
      </c>
      <c r="N2441" s="19"/>
      <c r="O2441" s="280"/>
      <c r="P2441" s="345">
        <v>24600</v>
      </c>
      <c r="Q2441" s="28">
        <v>0.1318</v>
      </c>
      <c r="U2441" s="29">
        <v>0.1</v>
      </c>
      <c r="W2441" s="741">
        <f t="shared" si="79"/>
        <v>3566.5080000000007</v>
      </c>
    </row>
    <row r="2442" spans="1:23" ht="15" customHeight="1">
      <c r="A2442" s="3">
        <v>39316</v>
      </c>
      <c r="B2442" s="4">
        <v>2650</v>
      </c>
      <c r="D2442" s="5">
        <v>23475</v>
      </c>
      <c r="E2442" s="5">
        <f t="shared" si="75"/>
        <v>550</v>
      </c>
      <c r="F2442" s="5">
        <v>26675</v>
      </c>
      <c r="K2442" s="24">
        <v>3055</v>
      </c>
      <c r="L2442" s="6">
        <v>3000</v>
      </c>
      <c r="M2442" s="270">
        <f t="shared" si="78"/>
        <v>-55</v>
      </c>
      <c r="N2442" s="19"/>
      <c r="O2442" s="280"/>
      <c r="P2442" s="345">
        <v>24450</v>
      </c>
      <c r="Q2442" s="28">
        <v>0.13170000000000001</v>
      </c>
      <c r="U2442" s="29">
        <v>0.1</v>
      </c>
      <c r="W2442" s="741">
        <f t="shared" si="79"/>
        <v>3542.0715000000005</v>
      </c>
    </row>
    <row r="2443" spans="1:23" ht="15" customHeight="1">
      <c r="A2443" s="3">
        <v>39317</v>
      </c>
      <c r="B2443" s="4">
        <v>2650</v>
      </c>
      <c r="D2443" s="5">
        <v>23200</v>
      </c>
      <c r="E2443" s="5">
        <f t="shared" si="75"/>
        <v>550</v>
      </c>
      <c r="F2443" s="5">
        <v>26400</v>
      </c>
      <c r="K2443" s="24">
        <v>3200</v>
      </c>
      <c r="L2443" s="6">
        <v>3145</v>
      </c>
      <c r="M2443" s="270">
        <f t="shared" si="78"/>
        <v>-55</v>
      </c>
      <c r="N2443" s="19"/>
      <c r="O2443" s="280"/>
      <c r="P2443" s="345">
        <v>24600</v>
      </c>
      <c r="Q2443" s="28">
        <v>0.13150000000000001</v>
      </c>
      <c r="U2443" s="29">
        <v>0.1</v>
      </c>
      <c r="W2443" s="741">
        <f t="shared" si="79"/>
        <v>3558.3900000000003</v>
      </c>
    </row>
    <row r="2444" spans="1:23" ht="15" customHeight="1">
      <c r="A2444" s="3">
        <v>39318</v>
      </c>
      <c r="B2444" s="4">
        <v>2350</v>
      </c>
      <c r="D2444" s="5">
        <v>23125</v>
      </c>
      <c r="E2444" s="5">
        <f t="shared" si="75"/>
        <v>550</v>
      </c>
      <c r="F2444" s="5">
        <v>26025</v>
      </c>
      <c r="K2444" s="24">
        <v>3265</v>
      </c>
      <c r="L2444" s="6">
        <v>3190</v>
      </c>
      <c r="M2444" s="270">
        <f t="shared" si="78"/>
        <v>-75</v>
      </c>
      <c r="N2444" s="19"/>
      <c r="O2444" s="280"/>
      <c r="P2444" s="345">
        <v>24850</v>
      </c>
      <c r="Q2444" s="28">
        <v>0.13189999999999999</v>
      </c>
      <c r="U2444" s="29">
        <v>0.1</v>
      </c>
      <c r="W2444" s="741">
        <f t="shared" si="79"/>
        <v>3605.4865</v>
      </c>
    </row>
    <row r="2445" spans="1:23" ht="15" customHeight="1">
      <c r="A2445" s="3">
        <v>39322</v>
      </c>
      <c r="B2445" s="4">
        <v>2150</v>
      </c>
      <c r="D2445" s="5">
        <v>23050</v>
      </c>
      <c r="E2445" s="5">
        <f t="shared" si="75"/>
        <v>550</v>
      </c>
      <c r="F2445" s="5">
        <v>25750</v>
      </c>
      <c r="K2445" s="24">
        <v>3308</v>
      </c>
      <c r="L2445" s="6">
        <v>3225</v>
      </c>
      <c r="M2445" s="270">
        <f t="shared" si="78"/>
        <v>-83</v>
      </c>
      <c r="N2445" s="19"/>
      <c r="O2445" s="280"/>
      <c r="P2445" s="345">
        <v>24800</v>
      </c>
      <c r="Q2445" s="28">
        <v>0.1323</v>
      </c>
      <c r="U2445" s="29">
        <v>0.1</v>
      </c>
      <c r="W2445" s="741">
        <f t="shared" si="79"/>
        <v>3609.1440000000002</v>
      </c>
    </row>
    <row r="2446" spans="1:23" ht="15" customHeight="1">
      <c r="A2446" s="3">
        <v>39323</v>
      </c>
      <c r="B2446" s="4">
        <v>2000</v>
      </c>
      <c r="D2446" s="5">
        <v>22975</v>
      </c>
      <c r="E2446" s="5">
        <f t="shared" si="75"/>
        <v>550</v>
      </c>
      <c r="F2446" s="5">
        <v>25525</v>
      </c>
      <c r="K2446" s="24">
        <v>3188</v>
      </c>
      <c r="L2446" s="6">
        <v>3106</v>
      </c>
      <c r="M2446" s="270">
        <f t="shared" ref="M2446:M2509" si="80">L2446-K2446</f>
        <v>-82</v>
      </c>
      <c r="N2446" s="19"/>
      <c r="O2446" s="280"/>
      <c r="P2446" s="345">
        <v>24500</v>
      </c>
      <c r="Q2446" s="28">
        <v>0.13239999999999999</v>
      </c>
      <c r="U2446" s="29">
        <v>0.1</v>
      </c>
      <c r="W2446" s="741">
        <f t="shared" si="79"/>
        <v>3568.18</v>
      </c>
    </row>
    <row r="2447" spans="1:23" ht="15" customHeight="1">
      <c r="A2447" s="3">
        <v>39324</v>
      </c>
      <c r="B2447" s="4">
        <v>2000</v>
      </c>
      <c r="D2447" s="5">
        <v>22975</v>
      </c>
      <c r="E2447" s="5">
        <f t="shared" si="75"/>
        <v>550</v>
      </c>
      <c r="F2447" s="5">
        <v>25525</v>
      </c>
      <c r="K2447" s="24">
        <v>3190</v>
      </c>
      <c r="L2447" s="6">
        <v>3120</v>
      </c>
      <c r="M2447" s="270">
        <f t="shared" si="80"/>
        <v>-70</v>
      </c>
      <c r="N2447" s="19"/>
      <c r="O2447" s="280"/>
      <c r="P2447" s="345">
        <v>24200</v>
      </c>
      <c r="Q2447" s="28">
        <v>0.13250000000000001</v>
      </c>
      <c r="U2447" s="29">
        <v>0.1</v>
      </c>
      <c r="W2447" s="741">
        <f t="shared" si="79"/>
        <v>3527.15</v>
      </c>
    </row>
    <row r="2448" spans="1:23" ht="15" customHeight="1" thickBot="1">
      <c r="A2448" s="12">
        <v>39325</v>
      </c>
      <c r="B2448" s="13">
        <v>2000</v>
      </c>
      <c r="C2448" s="13"/>
      <c r="D2448" s="14">
        <v>22825</v>
      </c>
      <c r="E2448" s="14">
        <f t="shared" si="75"/>
        <v>550</v>
      </c>
      <c r="F2448" s="14">
        <v>25375</v>
      </c>
      <c r="G2448" s="14"/>
      <c r="H2448" s="14"/>
      <c r="I2448" s="14"/>
      <c r="J2448" s="264"/>
      <c r="K2448" s="25">
        <v>3285</v>
      </c>
      <c r="L2448" s="15">
        <v>3206</v>
      </c>
      <c r="M2448" s="271">
        <f t="shared" si="80"/>
        <v>-79</v>
      </c>
      <c r="N2448" s="20">
        <f>AVERAGE(K2427:K2448)</f>
        <v>3119.4545454545455</v>
      </c>
      <c r="O2448" s="281">
        <f>AVERAGE(K2277:K2448)</f>
        <v>2271.5857988165681</v>
      </c>
      <c r="P2448" s="346">
        <v>24050</v>
      </c>
      <c r="Q2448" s="30">
        <v>0.13250000000000001</v>
      </c>
      <c r="R2448" s="30"/>
      <c r="S2448" s="30"/>
      <c r="T2448" s="30"/>
      <c r="U2448" s="31">
        <v>0.1</v>
      </c>
      <c r="V2448" s="46">
        <f>AVERAGE(P2427:P2448)</f>
        <v>24650</v>
      </c>
      <c r="W2448" s="741">
        <f t="shared" si="79"/>
        <v>3505.2875000000004</v>
      </c>
    </row>
    <row r="2449" spans="1:23" ht="15" customHeight="1">
      <c r="A2449" s="3">
        <v>39328</v>
      </c>
      <c r="B2449" s="4">
        <v>1900</v>
      </c>
      <c r="D2449" s="5">
        <v>22750</v>
      </c>
      <c r="E2449" s="5">
        <f t="shared" si="75"/>
        <v>550</v>
      </c>
      <c r="F2449" s="5">
        <v>25200</v>
      </c>
      <c r="K2449" s="24">
        <v>3091</v>
      </c>
      <c r="L2449" s="6">
        <v>3045</v>
      </c>
      <c r="M2449" s="270">
        <f t="shared" si="80"/>
        <v>-46</v>
      </c>
      <c r="N2449" s="21"/>
      <c r="O2449" s="283"/>
      <c r="P2449" s="345">
        <v>23600</v>
      </c>
      <c r="Q2449" s="28">
        <v>0.13250000000000001</v>
      </c>
      <c r="U2449" s="29">
        <v>0.1</v>
      </c>
      <c r="W2449" s="741">
        <f t="shared" si="79"/>
        <v>3439.7000000000003</v>
      </c>
    </row>
    <row r="2450" spans="1:23" ht="15" customHeight="1">
      <c r="A2450" s="3">
        <v>39329</v>
      </c>
      <c r="B2450" s="4">
        <v>1775</v>
      </c>
      <c r="E2450" s="78" t="s">
        <v>48</v>
      </c>
      <c r="K2450" s="24">
        <v>2991</v>
      </c>
      <c r="L2450" s="6">
        <v>2995</v>
      </c>
      <c r="M2450" s="270">
        <f t="shared" si="80"/>
        <v>4</v>
      </c>
      <c r="N2450" s="19"/>
      <c r="O2450" s="280"/>
      <c r="P2450" s="345">
        <v>23550</v>
      </c>
      <c r="Q2450" s="28">
        <v>0.13250000000000001</v>
      </c>
      <c r="U2450" s="29">
        <v>0.1</v>
      </c>
      <c r="W2450" s="741">
        <f t="shared" si="79"/>
        <v>3432.4125000000004</v>
      </c>
    </row>
    <row r="2451" spans="1:23" ht="15" customHeight="1">
      <c r="A2451" s="3">
        <v>39330</v>
      </c>
      <c r="B2451" s="4">
        <v>1225</v>
      </c>
      <c r="D2451" s="5">
        <v>22975</v>
      </c>
      <c r="E2451" s="5">
        <f t="shared" si="75"/>
        <v>550</v>
      </c>
      <c r="F2451" s="5">
        <v>24750</v>
      </c>
      <c r="K2451" s="24">
        <v>3090</v>
      </c>
      <c r="L2451" s="6">
        <v>3040</v>
      </c>
      <c r="M2451" s="270">
        <f t="shared" si="80"/>
        <v>-50</v>
      </c>
      <c r="N2451" s="19"/>
      <c r="O2451" s="280"/>
      <c r="P2451" s="345">
        <v>23400</v>
      </c>
      <c r="Q2451" s="28">
        <v>0.13250000000000001</v>
      </c>
      <c r="U2451" s="29">
        <v>0.1</v>
      </c>
      <c r="W2451" s="741">
        <f t="shared" si="79"/>
        <v>3410.55</v>
      </c>
    </row>
    <row r="2452" spans="1:23" ht="15" customHeight="1">
      <c r="A2452" s="3">
        <v>39331</v>
      </c>
      <c r="B2452" s="4">
        <v>1225</v>
      </c>
      <c r="D2452" s="5">
        <v>22900</v>
      </c>
      <c r="E2452" s="5">
        <f t="shared" si="75"/>
        <v>550</v>
      </c>
      <c r="F2452" s="5">
        <v>24675</v>
      </c>
      <c r="K2452" s="24">
        <v>2940</v>
      </c>
      <c r="L2452" s="6">
        <v>2892</v>
      </c>
      <c r="M2452" s="270">
        <f t="shared" si="80"/>
        <v>-48</v>
      </c>
      <c r="N2452" s="19"/>
      <c r="O2452" s="280"/>
      <c r="P2452" s="345">
        <v>23050</v>
      </c>
      <c r="Q2452" s="28">
        <v>0.13239999999999999</v>
      </c>
      <c r="U2452" s="29">
        <v>0.1</v>
      </c>
      <c r="W2452" s="741">
        <f t="shared" si="79"/>
        <v>3357.002</v>
      </c>
    </row>
    <row r="2453" spans="1:23" ht="15" customHeight="1">
      <c r="A2453" s="3">
        <v>39332</v>
      </c>
      <c r="B2453" s="4">
        <v>1225</v>
      </c>
      <c r="D2453" s="5">
        <v>22700</v>
      </c>
      <c r="E2453" s="5">
        <f t="shared" si="75"/>
        <v>550</v>
      </c>
      <c r="F2453" s="5">
        <v>24475</v>
      </c>
      <c r="K2453" s="24">
        <v>3010.5</v>
      </c>
      <c r="L2453" s="6">
        <v>2959</v>
      </c>
      <c r="M2453" s="270">
        <f t="shared" si="80"/>
        <v>-51.5</v>
      </c>
      <c r="N2453" s="7"/>
      <c r="O2453" s="277"/>
      <c r="P2453" s="345">
        <v>22850</v>
      </c>
      <c r="Q2453" s="28">
        <v>0.13270000000000001</v>
      </c>
      <c r="U2453" s="29">
        <v>0.1</v>
      </c>
      <c r="W2453" s="741">
        <f t="shared" si="79"/>
        <v>3335.4145000000003</v>
      </c>
    </row>
    <row r="2454" spans="1:23" ht="15" customHeight="1">
      <c r="A2454" s="3">
        <v>39335</v>
      </c>
      <c r="B2454" s="4">
        <v>1075</v>
      </c>
      <c r="D2454" s="5">
        <v>22550</v>
      </c>
      <c r="E2454" s="5">
        <f t="shared" si="75"/>
        <v>550</v>
      </c>
      <c r="F2454" s="5">
        <v>24175</v>
      </c>
      <c r="K2454" s="24">
        <v>2915</v>
      </c>
      <c r="L2454" s="6">
        <v>2868</v>
      </c>
      <c r="M2454" s="270">
        <f t="shared" si="80"/>
        <v>-47</v>
      </c>
      <c r="N2454" s="19"/>
      <c r="O2454" s="280"/>
      <c r="P2454" s="345">
        <v>22750</v>
      </c>
      <c r="Q2454" s="28">
        <v>0.13270000000000001</v>
      </c>
      <c r="U2454" s="29">
        <v>0.1</v>
      </c>
      <c r="W2454" s="741">
        <f t="shared" si="79"/>
        <v>3320.8175000000006</v>
      </c>
    </row>
    <row r="2455" spans="1:23" ht="15" customHeight="1">
      <c r="A2455" s="3">
        <v>39336</v>
      </c>
      <c r="B2455" s="4">
        <v>1050</v>
      </c>
      <c r="D2455" s="5">
        <v>22300</v>
      </c>
      <c r="E2455" s="5">
        <f t="shared" si="75"/>
        <v>550</v>
      </c>
      <c r="F2455" s="5">
        <v>23900</v>
      </c>
      <c r="K2455" s="24">
        <v>3020</v>
      </c>
      <c r="L2455" s="6">
        <v>2990</v>
      </c>
      <c r="M2455" s="270">
        <f t="shared" si="80"/>
        <v>-30</v>
      </c>
      <c r="N2455" s="19"/>
      <c r="O2455" s="280"/>
      <c r="P2455" s="345">
        <v>22650</v>
      </c>
      <c r="Q2455" s="28">
        <v>0.13300000000000001</v>
      </c>
      <c r="U2455" s="29">
        <v>0.1</v>
      </c>
      <c r="W2455" s="741">
        <f t="shared" si="79"/>
        <v>3313.6950000000006</v>
      </c>
    </row>
    <row r="2456" spans="1:23" ht="15" customHeight="1">
      <c r="A2456" s="3">
        <v>39337</v>
      </c>
      <c r="B2456" s="4">
        <v>950</v>
      </c>
      <c r="D2456" s="5">
        <v>22275</v>
      </c>
      <c r="E2456" s="5">
        <f t="shared" si="75"/>
        <v>550</v>
      </c>
      <c r="F2456" s="5">
        <v>23775</v>
      </c>
      <c r="K2456" s="24">
        <v>3065.5</v>
      </c>
      <c r="L2456" s="6">
        <v>2995</v>
      </c>
      <c r="M2456" s="270">
        <f t="shared" si="80"/>
        <v>-70.5</v>
      </c>
      <c r="N2456" s="19"/>
      <c r="O2456" s="280"/>
      <c r="P2456" s="345">
        <v>22750</v>
      </c>
      <c r="Q2456" s="28">
        <v>0.13289999999999999</v>
      </c>
      <c r="U2456" s="29">
        <v>0.1</v>
      </c>
      <c r="W2456" s="741">
        <f t="shared" si="79"/>
        <v>3325.8225000000002</v>
      </c>
    </row>
    <row r="2457" spans="1:23" ht="15" customHeight="1">
      <c r="A2457" s="3">
        <v>39338</v>
      </c>
      <c r="B2457" s="4">
        <v>950</v>
      </c>
      <c r="D2457" s="5">
        <v>22375</v>
      </c>
      <c r="E2457" s="5">
        <f t="shared" si="75"/>
        <v>550</v>
      </c>
      <c r="F2457" s="5">
        <v>23875</v>
      </c>
      <c r="K2457" s="24">
        <v>3101</v>
      </c>
      <c r="L2457" s="6">
        <v>3045</v>
      </c>
      <c r="M2457" s="270">
        <f t="shared" si="80"/>
        <v>-56</v>
      </c>
      <c r="N2457" s="19"/>
      <c r="O2457" s="280"/>
      <c r="P2457" s="345">
        <v>22750</v>
      </c>
      <c r="Q2457" s="28">
        <v>0.13289999999999999</v>
      </c>
      <c r="U2457" s="29">
        <v>0.1</v>
      </c>
      <c r="W2457" s="741">
        <f t="shared" si="79"/>
        <v>3325.8225000000002</v>
      </c>
    </row>
    <row r="2458" spans="1:23" ht="15" customHeight="1">
      <c r="A2458" s="3">
        <v>39339</v>
      </c>
      <c r="B2458" s="4">
        <v>950</v>
      </c>
      <c r="D2458" s="5">
        <v>21925</v>
      </c>
      <c r="E2458" s="5">
        <f t="shared" si="75"/>
        <v>550</v>
      </c>
      <c r="F2458" s="5">
        <v>23425</v>
      </c>
      <c r="K2458" s="24">
        <v>3200.5</v>
      </c>
      <c r="L2458" s="6">
        <v>3145</v>
      </c>
      <c r="M2458" s="270">
        <f t="shared" si="80"/>
        <v>-55.5</v>
      </c>
      <c r="N2458" s="19"/>
      <c r="O2458" s="280"/>
      <c r="P2458" s="345">
        <v>22850</v>
      </c>
      <c r="Q2458" s="28">
        <v>0.1331</v>
      </c>
      <c r="U2458" s="29">
        <v>0.1</v>
      </c>
      <c r="W2458" s="741">
        <f t="shared" si="79"/>
        <v>3345.4685000000004</v>
      </c>
    </row>
    <row r="2459" spans="1:23" ht="15" customHeight="1">
      <c r="A2459" s="3">
        <v>39342</v>
      </c>
      <c r="B2459" s="4">
        <v>925</v>
      </c>
      <c r="D2459" s="5">
        <v>21275</v>
      </c>
      <c r="E2459" s="5">
        <f t="shared" si="75"/>
        <v>550</v>
      </c>
      <c r="F2459" s="5">
        <v>22750</v>
      </c>
      <c r="K2459" s="24">
        <v>3253</v>
      </c>
      <c r="L2459" s="6">
        <v>3180</v>
      </c>
      <c r="M2459" s="270">
        <f t="shared" si="80"/>
        <v>-73</v>
      </c>
      <c r="N2459" s="19"/>
      <c r="O2459" s="280"/>
      <c r="P2459" s="345">
        <v>22900</v>
      </c>
      <c r="Q2459" s="28">
        <v>0.1331</v>
      </c>
      <c r="U2459" s="29">
        <v>0.1</v>
      </c>
      <c r="W2459" s="741">
        <f t="shared" si="79"/>
        <v>3352.7890000000002</v>
      </c>
    </row>
    <row r="2460" spans="1:23" ht="15" customHeight="1">
      <c r="A2460" s="3">
        <v>39343</v>
      </c>
      <c r="B2460" s="4">
        <v>925</v>
      </c>
      <c r="D2460" s="5">
        <v>20700</v>
      </c>
      <c r="E2460" s="5">
        <f t="shared" si="75"/>
        <v>550</v>
      </c>
      <c r="F2460" s="5">
        <v>22175</v>
      </c>
      <c r="K2460" s="24">
        <v>3181</v>
      </c>
      <c r="L2460" s="6">
        <v>3120</v>
      </c>
      <c r="M2460" s="270">
        <f t="shared" si="80"/>
        <v>-61</v>
      </c>
      <c r="N2460" s="19"/>
      <c r="O2460" s="280"/>
      <c r="P2460" s="345">
        <v>22750</v>
      </c>
      <c r="Q2460" s="28">
        <v>0.13289999999999999</v>
      </c>
      <c r="U2460" s="29">
        <v>0.1</v>
      </c>
      <c r="W2460" s="741">
        <f t="shared" si="79"/>
        <v>3325.8225000000002</v>
      </c>
    </row>
    <row r="2461" spans="1:23" ht="15" customHeight="1">
      <c r="A2461" s="3">
        <v>39344</v>
      </c>
      <c r="B2461" s="4">
        <v>875</v>
      </c>
      <c r="D2461" s="5">
        <v>20250</v>
      </c>
      <c r="E2461" s="5">
        <f t="shared" si="75"/>
        <v>550</v>
      </c>
      <c r="F2461" s="5">
        <v>21675</v>
      </c>
      <c r="K2461" s="24">
        <v>3290</v>
      </c>
      <c r="L2461" s="6">
        <v>3210</v>
      </c>
      <c r="M2461" s="270">
        <f t="shared" si="80"/>
        <v>-80</v>
      </c>
      <c r="N2461" s="19"/>
      <c r="O2461" s="280"/>
      <c r="P2461" s="345">
        <v>22800</v>
      </c>
      <c r="Q2461" s="28">
        <v>0.13289999999999999</v>
      </c>
      <c r="U2461" s="29">
        <v>0.1</v>
      </c>
      <c r="W2461" s="741">
        <f t="shared" si="79"/>
        <v>3333.1320000000001</v>
      </c>
    </row>
    <row r="2462" spans="1:23" ht="15" customHeight="1">
      <c r="A2462" s="3">
        <v>39345</v>
      </c>
      <c r="B2462" s="4">
        <v>875</v>
      </c>
      <c r="D2462" s="5">
        <v>20000</v>
      </c>
      <c r="E2462" s="5">
        <f t="shared" si="75"/>
        <v>550</v>
      </c>
      <c r="F2462" s="5">
        <v>21425</v>
      </c>
      <c r="K2462" s="24">
        <v>3314.5</v>
      </c>
      <c r="L2462" s="6">
        <v>3260</v>
      </c>
      <c r="M2462" s="270">
        <f t="shared" si="80"/>
        <v>-54.5</v>
      </c>
      <c r="N2462" s="19"/>
      <c r="O2462" s="280"/>
      <c r="P2462" s="345">
        <v>23100</v>
      </c>
      <c r="Q2462" s="28">
        <v>0.1331</v>
      </c>
      <c r="U2462" s="29">
        <v>0.1</v>
      </c>
      <c r="W2462" s="741">
        <f t="shared" si="79"/>
        <v>3382.0710000000004</v>
      </c>
    </row>
    <row r="2463" spans="1:23" ht="15" customHeight="1">
      <c r="A2463" s="3">
        <v>39346</v>
      </c>
      <c r="B2463" s="4">
        <v>875</v>
      </c>
      <c r="D2463" s="5">
        <v>19775</v>
      </c>
      <c r="E2463" s="5">
        <f t="shared" si="75"/>
        <v>550</v>
      </c>
      <c r="F2463" s="5">
        <v>21200</v>
      </c>
      <c r="K2463" s="24">
        <v>3450</v>
      </c>
      <c r="L2463" s="6">
        <v>3355.5</v>
      </c>
      <c r="M2463" s="270">
        <f t="shared" si="80"/>
        <v>-94.5</v>
      </c>
      <c r="N2463" s="19"/>
      <c r="O2463" s="280"/>
      <c r="P2463" s="345">
        <v>23250</v>
      </c>
      <c r="Q2463" s="28">
        <v>0.1331</v>
      </c>
      <c r="U2463" s="29">
        <v>0.1</v>
      </c>
      <c r="W2463" s="741">
        <f t="shared" si="79"/>
        <v>3404.0325000000003</v>
      </c>
    </row>
    <row r="2464" spans="1:23" ht="15" customHeight="1">
      <c r="A2464" s="3">
        <v>39349</v>
      </c>
      <c r="B2464" s="4">
        <v>975</v>
      </c>
      <c r="D2464" s="5">
        <v>19525</v>
      </c>
      <c r="E2464" s="5">
        <f t="shared" si="75"/>
        <v>550</v>
      </c>
      <c r="F2464" s="5">
        <v>21050</v>
      </c>
      <c r="K2464" s="24">
        <v>3542</v>
      </c>
      <c r="L2464" s="6">
        <v>3460</v>
      </c>
      <c r="M2464" s="270">
        <f t="shared" si="80"/>
        <v>-82</v>
      </c>
      <c r="N2464" s="19"/>
      <c r="O2464" s="280"/>
      <c r="P2464" s="345">
        <v>23450</v>
      </c>
      <c r="Q2464" s="28">
        <v>0.1331</v>
      </c>
      <c r="U2464" s="29">
        <v>0.1</v>
      </c>
      <c r="W2464" s="741">
        <f t="shared" si="79"/>
        <v>3433.3145</v>
      </c>
    </row>
    <row r="2465" spans="1:23" ht="15" customHeight="1">
      <c r="A2465" s="3">
        <v>39350</v>
      </c>
      <c r="B2465" s="4">
        <v>975</v>
      </c>
      <c r="D2465" s="5">
        <v>19325</v>
      </c>
      <c r="E2465" s="5">
        <f t="shared" si="75"/>
        <v>550</v>
      </c>
      <c r="F2465" s="5">
        <v>20850</v>
      </c>
      <c r="K2465" s="24">
        <v>3460</v>
      </c>
      <c r="L2465" s="6">
        <v>3390</v>
      </c>
      <c r="M2465" s="270">
        <f t="shared" si="80"/>
        <v>-70</v>
      </c>
      <c r="N2465" s="19"/>
      <c r="O2465" s="280"/>
      <c r="P2465" s="345">
        <v>23900</v>
      </c>
      <c r="Q2465" s="28">
        <v>0.1331</v>
      </c>
      <c r="U2465" s="29">
        <v>0.1</v>
      </c>
      <c r="W2465" s="741">
        <f t="shared" si="79"/>
        <v>3499.1990000000001</v>
      </c>
    </row>
    <row r="2466" spans="1:23" ht="15" customHeight="1">
      <c r="A2466" s="3">
        <v>39351</v>
      </c>
      <c r="B2466" s="4">
        <v>975</v>
      </c>
      <c r="D2466" s="5">
        <v>19325</v>
      </c>
      <c r="E2466" s="5">
        <f t="shared" si="75"/>
        <v>550</v>
      </c>
      <c r="F2466" s="5">
        <v>20850</v>
      </c>
      <c r="K2466" s="24">
        <v>3565</v>
      </c>
      <c r="L2466" s="6">
        <v>3471</v>
      </c>
      <c r="M2466" s="270">
        <f t="shared" si="80"/>
        <v>-94</v>
      </c>
      <c r="N2466" s="7"/>
      <c r="O2466" s="277"/>
      <c r="P2466" s="345">
        <v>24400</v>
      </c>
      <c r="Q2466" s="28">
        <v>0.1331</v>
      </c>
      <c r="U2466" s="29">
        <v>0.1</v>
      </c>
      <c r="W2466" s="741">
        <f t="shared" si="79"/>
        <v>3572.404</v>
      </c>
    </row>
    <row r="2467" spans="1:23" ht="15" customHeight="1">
      <c r="A2467" s="3">
        <v>39352</v>
      </c>
      <c r="B2467" s="4">
        <v>975</v>
      </c>
      <c r="D2467" s="5">
        <v>19325</v>
      </c>
      <c r="E2467" s="5">
        <f t="shared" si="75"/>
        <v>1700</v>
      </c>
      <c r="F2467" s="5">
        <v>22000</v>
      </c>
      <c r="K2467" s="24">
        <v>3600</v>
      </c>
      <c r="L2467" s="6">
        <v>3476</v>
      </c>
      <c r="M2467" s="270">
        <f t="shared" si="80"/>
        <v>-124</v>
      </c>
      <c r="N2467" s="19"/>
      <c r="O2467" s="280"/>
      <c r="P2467" s="345">
        <v>24625</v>
      </c>
      <c r="Q2467" s="28">
        <v>0.1331</v>
      </c>
      <c r="U2467" s="29">
        <v>0.1</v>
      </c>
      <c r="W2467" s="741">
        <f t="shared" si="79"/>
        <v>3605.3462500000005</v>
      </c>
    </row>
    <row r="2468" spans="1:23" ht="15" customHeight="1" thickBot="1">
      <c r="A2468" s="12">
        <v>39353</v>
      </c>
      <c r="B2468" s="13">
        <v>975</v>
      </c>
      <c r="C2468" s="13"/>
      <c r="D2468" s="14">
        <v>19325</v>
      </c>
      <c r="E2468" s="14">
        <f t="shared" si="75"/>
        <v>1850</v>
      </c>
      <c r="F2468" s="14">
        <v>22150</v>
      </c>
      <c r="G2468" s="14"/>
      <c r="H2468" s="14"/>
      <c r="I2468" s="14"/>
      <c r="J2468" s="264"/>
      <c r="K2468" s="25">
        <v>3451</v>
      </c>
      <c r="L2468" s="15">
        <v>3386</v>
      </c>
      <c r="M2468" s="271">
        <f t="shared" si="80"/>
        <v>-65</v>
      </c>
      <c r="N2468" s="20">
        <f>AVERAGE(K2449:K2468)</f>
        <v>3226.55</v>
      </c>
      <c r="O2468" s="281">
        <f>AVERAGE(K2277:K2468)</f>
        <v>2372.6402116402114</v>
      </c>
      <c r="P2468" s="346">
        <v>24525</v>
      </c>
      <c r="Q2468" s="30">
        <v>0.1331</v>
      </c>
      <c r="U2468" s="29">
        <v>0.1</v>
      </c>
      <c r="V2468" s="46">
        <f>AVERAGE(P2449:P2468)</f>
        <v>23295</v>
      </c>
      <c r="W2468" s="741">
        <f t="shared" si="79"/>
        <v>3590.70525</v>
      </c>
    </row>
    <row r="2469" spans="1:23" ht="15" customHeight="1">
      <c r="A2469" s="3">
        <v>39356</v>
      </c>
      <c r="B2469" s="4">
        <v>975</v>
      </c>
      <c r="D2469" s="5">
        <v>19725</v>
      </c>
      <c r="E2469" s="5">
        <f t="shared" si="75"/>
        <v>1850</v>
      </c>
      <c r="F2469" s="5">
        <v>22550</v>
      </c>
      <c r="K2469" s="24">
        <v>3445</v>
      </c>
      <c r="L2469" s="6">
        <v>3366</v>
      </c>
      <c r="M2469" s="270">
        <f t="shared" si="80"/>
        <v>-79</v>
      </c>
      <c r="N2469" s="21"/>
      <c r="O2469" s="283"/>
      <c r="P2469" s="362"/>
      <c r="Q2469" s="1010" t="s">
        <v>10</v>
      </c>
      <c r="R2469" s="1010"/>
      <c r="S2469" s="1010"/>
      <c r="T2469" s="1010"/>
      <c r="U2469" s="1010"/>
      <c r="V2469" s="362"/>
      <c r="W2469" s="741" t="e">
        <f t="shared" si="79"/>
        <v>#VALUE!</v>
      </c>
    </row>
    <row r="2470" spans="1:23" ht="15" customHeight="1">
      <c r="A2470" s="3">
        <v>39357</v>
      </c>
      <c r="B2470" s="4">
        <v>750</v>
      </c>
      <c r="D2470" s="5">
        <v>19725</v>
      </c>
      <c r="E2470" s="5">
        <f t="shared" si="75"/>
        <v>1850</v>
      </c>
      <c r="F2470" s="5">
        <v>22325</v>
      </c>
      <c r="K2470" s="24">
        <v>3529</v>
      </c>
      <c r="L2470" s="6">
        <v>3435</v>
      </c>
      <c r="M2470" s="270">
        <f t="shared" si="80"/>
        <v>-94</v>
      </c>
      <c r="N2470" s="19"/>
      <c r="O2470" s="280"/>
      <c r="P2470" s="364"/>
      <c r="Q2470" s="996"/>
      <c r="R2470" s="996"/>
      <c r="S2470" s="996"/>
      <c r="T2470" s="996"/>
      <c r="U2470" s="996"/>
      <c r="V2470" s="364"/>
      <c r="W2470" s="741">
        <f t="shared" si="79"/>
        <v>0</v>
      </c>
    </row>
    <row r="2471" spans="1:23" ht="15" customHeight="1">
      <c r="A2471" s="3">
        <v>39358</v>
      </c>
      <c r="B2471" s="4">
        <v>750</v>
      </c>
      <c r="D2471" s="5">
        <v>19750</v>
      </c>
      <c r="E2471" s="5">
        <f t="shared" si="75"/>
        <v>1850</v>
      </c>
      <c r="F2471" s="5">
        <v>22350</v>
      </c>
      <c r="K2471" s="24">
        <v>3677</v>
      </c>
      <c r="L2471" s="6">
        <v>3580</v>
      </c>
      <c r="M2471" s="270">
        <f t="shared" si="80"/>
        <v>-97</v>
      </c>
      <c r="N2471" s="19"/>
      <c r="O2471" s="280"/>
      <c r="P2471" s="364"/>
      <c r="Q2471" s="996"/>
      <c r="R2471" s="996"/>
      <c r="S2471" s="996"/>
      <c r="T2471" s="996"/>
      <c r="U2471" s="996"/>
      <c r="V2471" s="364"/>
      <c r="W2471" s="741">
        <f t="shared" si="79"/>
        <v>0</v>
      </c>
    </row>
    <row r="2472" spans="1:23" ht="15" customHeight="1">
      <c r="A2472" s="3">
        <v>39359</v>
      </c>
      <c r="B2472" s="4">
        <v>750</v>
      </c>
      <c r="D2472" s="5">
        <v>19700</v>
      </c>
      <c r="E2472" s="5">
        <f t="shared" si="75"/>
        <v>1850</v>
      </c>
      <c r="F2472" s="5">
        <v>22300</v>
      </c>
      <c r="K2472" s="24">
        <v>3661</v>
      </c>
      <c r="L2472" s="6">
        <v>3585</v>
      </c>
      <c r="M2472" s="270">
        <f t="shared" si="80"/>
        <v>-76</v>
      </c>
      <c r="N2472" s="19"/>
      <c r="O2472" s="280"/>
      <c r="P2472" s="364"/>
      <c r="Q2472" s="996"/>
      <c r="R2472" s="996"/>
      <c r="S2472" s="996"/>
      <c r="T2472" s="996"/>
      <c r="U2472" s="996"/>
      <c r="V2472" s="364"/>
      <c r="W2472" s="741">
        <f t="shared" si="79"/>
        <v>0</v>
      </c>
    </row>
    <row r="2473" spans="1:23" ht="15" customHeight="1">
      <c r="A2473" s="3">
        <v>39360</v>
      </c>
      <c r="B2473" s="4">
        <v>750</v>
      </c>
      <c r="D2473" s="5">
        <v>19675</v>
      </c>
      <c r="E2473" s="5">
        <f t="shared" si="75"/>
        <v>1850</v>
      </c>
      <c r="F2473" s="5">
        <v>22275</v>
      </c>
      <c r="K2473" s="24">
        <v>3804</v>
      </c>
      <c r="L2473" s="6">
        <v>3684</v>
      </c>
      <c r="M2473" s="270">
        <f t="shared" si="80"/>
        <v>-120</v>
      </c>
      <c r="N2473" s="19"/>
      <c r="O2473" s="280"/>
      <c r="P2473" s="364"/>
      <c r="Q2473" s="996"/>
      <c r="R2473" s="996"/>
      <c r="S2473" s="996"/>
      <c r="T2473" s="996"/>
      <c r="U2473" s="996"/>
      <c r="V2473" s="364"/>
      <c r="W2473" s="741">
        <f t="shared" si="79"/>
        <v>0</v>
      </c>
    </row>
    <row r="2474" spans="1:23" ht="15" customHeight="1">
      <c r="A2474" s="3">
        <v>39363</v>
      </c>
      <c r="B2474" s="4">
        <v>750</v>
      </c>
      <c r="D2474" s="5">
        <v>19600</v>
      </c>
      <c r="E2474" s="5">
        <f t="shared" si="75"/>
        <v>1850</v>
      </c>
      <c r="F2474" s="5">
        <v>22200</v>
      </c>
      <c r="K2474" s="24">
        <v>3740</v>
      </c>
      <c r="L2474" s="6">
        <v>3630</v>
      </c>
      <c r="M2474" s="270">
        <f t="shared" si="80"/>
        <v>-110</v>
      </c>
      <c r="N2474" s="19"/>
      <c r="O2474" s="280"/>
      <c r="P2474" s="345">
        <v>25800</v>
      </c>
      <c r="Q2474" s="28">
        <v>0.13320000000000001</v>
      </c>
      <c r="U2474" s="29">
        <v>0.1</v>
      </c>
      <c r="W2474" s="741">
        <f t="shared" si="79"/>
        <v>3780.2160000000008</v>
      </c>
    </row>
    <row r="2475" spans="1:23" ht="15" customHeight="1">
      <c r="A2475" s="3">
        <v>39364</v>
      </c>
      <c r="B2475" s="4">
        <v>700</v>
      </c>
      <c r="D2475" s="5">
        <v>19575</v>
      </c>
      <c r="E2475" s="5">
        <f t="shared" si="75"/>
        <v>1850</v>
      </c>
      <c r="F2475" s="5">
        <v>22125</v>
      </c>
      <c r="K2475" s="24">
        <v>3855</v>
      </c>
      <c r="L2475" s="6">
        <v>3751</v>
      </c>
      <c r="M2475" s="270">
        <f t="shared" si="80"/>
        <v>-104</v>
      </c>
      <c r="N2475" s="19"/>
      <c r="O2475" s="280"/>
      <c r="P2475" s="345">
        <v>25700</v>
      </c>
      <c r="Q2475" s="28">
        <v>0.1333</v>
      </c>
      <c r="U2475" s="29">
        <v>0.1</v>
      </c>
      <c r="W2475" s="741">
        <f t="shared" si="79"/>
        <v>3768.3910000000001</v>
      </c>
    </row>
    <row r="2476" spans="1:23" ht="15" customHeight="1">
      <c r="A2476" s="3">
        <v>39365</v>
      </c>
      <c r="B2476" s="4">
        <v>1050</v>
      </c>
      <c r="D2476" s="5">
        <v>19525</v>
      </c>
      <c r="E2476" s="5">
        <f t="shared" si="75"/>
        <v>1850</v>
      </c>
      <c r="F2476" s="5">
        <v>22425</v>
      </c>
      <c r="K2476" s="24">
        <v>3975</v>
      </c>
      <c r="L2476" s="6">
        <v>3860</v>
      </c>
      <c r="M2476" s="270">
        <f t="shared" si="80"/>
        <v>-115</v>
      </c>
      <c r="N2476" s="19"/>
      <c r="O2476" s="280"/>
      <c r="P2476" s="345">
        <v>26400</v>
      </c>
      <c r="Q2476" s="28">
        <v>0.13300000000000001</v>
      </c>
      <c r="U2476" s="29">
        <v>0.1</v>
      </c>
      <c r="W2476" s="741">
        <f t="shared" si="79"/>
        <v>3862.3200000000006</v>
      </c>
    </row>
    <row r="2477" spans="1:23" ht="15" customHeight="1">
      <c r="A2477" s="3">
        <v>39366</v>
      </c>
      <c r="B2477" s="4">
        <v>1050</v>
      </c>
      <c r="D2477" s="5">
        <v>19525</v>
      </c>
      <c r="E2477" s="5">
        <f t="shared" si="75"/>
        <v>1900</v>
      </c>
      <c r="F2477" s="5">
        <v>22475</v>
      </c>
      <c r="K2477" s="24">
        <v>3959</v>
      </c>
      <c r="L2477" s="6">
        <v>3855</v>
      </c>
      <c r="M2477" s="270">
        <f t="shared" si="80"/>
        <v>-104</v>
      </c>
      <c r="N2477" s="19"/>
      <c r="O2477" s="280"/>
      <c r="P2477" s="345">
        <v>26400</v>
      </c>
      <c r="Q2477" s="28">
        <v>0.1331</v>
      </c>
      <c r="U2477" s="29">
        <v>0.1</v>
      </c>
      <c r="W2477" s="741">
        <f t="shared" ref="W2477:W2540" si="81">(P2477*Q2477)*(1+U2477)</f>
        <v>3865.2240000000002</v>
      </c>
    </row>
    <row r="2478" spans="1:23" ht="15" customHeight="1">
      <c r="A2478" s="3">
        <v>39367</v>
      </c>
      <c r="B2478" s="4">
        <v>1050</v>
      </c>
      <c r="D2478" s="5">
        <v>19525</v>
      </c>
      <c r="E2478" s="5">
        <f t="shared" si="75"/>
        <v>1950</v>
      </c>
      <c r="F2478" s="5">
        <v>22525</v>
      </c>
      <c r="K2478" s="24">
        <v>3894.5</v>
      </c>
      <c r="L2478" s="6">
        <v>3791</v>
      </c>
      <c r="M2478" s="270">
        <f t="shared" si="80"/>
        <v>-103.5</v>
      </c>
      <c r="N2478" s="19"/>
      <c r="O2478" s="280"/>
      <c r="P2478" s="345">
        <v>26200</v>
      </c>
      <c r="Q2478" s="28">
        <v>0.13320000000000001</v>
      </c>
      <c r="U2478" s="29">
        <v>0.1</v>
      </c>
      <c r="W2478" s="741">
        <f t="shared" si="81"/>
        <v>3838.8240000000005</v>
      </c>
    </row>
    <row r="2479" spans="1:23" ht="15" customHeight="1">
      <c r="A2479" s="3">
        <v>39370</v>
      </c>
      <c r="B2479" s="4">
        <v>1050</v>
      </c>
      <c r="D2479" s="5">
        <v>19525</v>
      </c>
      <c r="E2479" s="5">
        <f t="shared" si="75"/>
        <v>1975</v>
      </c>
      <c r="F2479" s="5">
        <v>22550</v>
      </c>
      <c r="K2479" s="24">
        <v>3980</v>
      </c>
      <c r="L2479" s="6">
        <v>3880</v>
      </c>
      <c r="M2479" s="270">
        <f t="shared" si="80"/>
        <v>-100</v>
      </c>
      <c r="N2479" s="19"/>
      <c r="O2479" s="280"/>
      <c r="P2479" s="345">
        <v>26000</v>
      </c>
      <c r="Q2479" s="28">
        <v>0.1331</v>
      </c>
      <c r="U2479" s="29">
        <v>0.1</v>
      </c>
      <c r="W2479" s="741">
        <f t="shared" si="81"/>
        <v>3806.6600000000003</v>
      </c>
    </row>
    <row r="2480" spans="1:23" ht="15" customHeight="1">
      <c r="A2480" s="3">
        <v>39371</v>
      </c>
      <c r="B2480" s="4">
        <v>1400</v>
      </c>
      <c r="D2480" s="5">
        <v>19525</v>
      </c>
      <c r="E2480" s="5">
        <f t="shared" si="75"/>
        <v>5000</v>
      </c>
      <c r="F2480" s="5">
        <v>25925</v>
      </c>
      <c r="K2480" s="24">
        <v>3799</v>
      </c>
      <c r="L2480" s="6">
        <v>3718.5</v>
      </c>
      <c r="M2480" s="270">
        <f t="shared" si="80"/>
        <v>-80.5</v>
      </c>
      <c r="N2480" s="19"/>
      <c r="O2480" s="280"/>
      <c r="P2480" s="345">
        <v>25800</v>
      </c>
      <c r="Q2480" s="28">
        <v>0.1328</v>
      </c>
      <c r="U2480" s="29">
        <v>0.1</v>
      </c>
      <c r="W2480" s="741">
        <f t="shared" si="81"/>
        <v>3768.8640000000005</v>
      </c>
    </row>
    <row r="2481" spans="1:24" ht="15" customHeight="1">
      <c r="A2481" s="3">
        <v>39372</v>
      </c>
      <c r="B2481" s="4">
        <v>1600</v>
      </c>
      <c r="D2481" s="5">
        <v>19525</v>
      </c>
      <c r="E2481" s="5">
        <f t="shared" si="75"/>
        <v>8575</v>
      </c>
      <c r="F2481" s="5">
        <v>29700</v>
      </c>
      <c r="K2481" s="24">
        <v>3620</v>
      </c>
      <c r="L2481" s="6">
        <v>3560</v>
      </c>
      <c r="M2481" s="270">
        <f t="shared" si="80"/>
        <v>-60</v>
      </c>
      <c r="N2481" s="19"/>
      <c r="O2481" s="280"/>
      <c r="P2481" s="345">
        <v>25500</v>
      </c>
      <c r="Q2481" s="28">
        <v>0.13300000000000001</v>
      </c>
      <c r="U2481" s="29">
        <v>0.1</v>
      </c>
      <c r="W2481" s="741">
        <f t="shared" si="81"/>
        <v>3730.65</v>
      </c>
    </row>
    <row r="2482" spans="1:24" ht="15" customHeight="1">
      <c r="A2482" s="3">
        <v>39373</v>
      </c>
      <c r="B2482" s="4">
        <v>1600</v>
      </c>
      <c r="D2482" s="5">
        <v>19275</v>
      </c>
      <c r="E2482" s="5">
        <f t="shared" si="75"/>
        <v>10575</v>
      </c>
      <c r="F2482" s="5">
        <v>31450</v>
      </c>
      <c r="K2482" s="24">
        <v>3655</v>
      </c>
      <c r="L2482" s="6">
        <v>3605</v>
      </c>
      <c r="M2482" s="270">
        <f t="shared" si="80"/>
        <v>-50</v>
      </c>
      <c r="N2482" s="19"/>
      <c r="O2482" s="280"/>
      <c r="P2482" s="345">
        <v>25100</v>
      </c>
      <c r="Q2482" s="28">
        <v>0.1331</v>
      </c>
      <c r="U2482" s="29">
        <v>0.1</v>
      </c>
      <c r="W2482" s="741">
        <f t="shared" si="81"/>
        <v>3674.8910000000001</v>
      </c>
    </row>
    <row r="2483" spans="1:24" ht="15" customHeight="1">
      <c r="A2483" s="3">
        <v>39374</v>
      </c>
      <c r="B2483" s="4">
        <v>1600</v>
      </c>
      <c r="D2483" s="5">
        <v>19275</v>
      </c>
      <c r="E2483" s="5">
        <f t="shared" si="75"/>
        <v>12575</v>
      </c>
      <c r="F2483" s="5">
        <v>33450</v>
      </c>
      <c r="K2483" s="24">
        <v>3830</v>
      </c>
      <c r="L2483" s="6">
        <v>3755</v>
      </c>
      <c r="M2483" s="270">
        <f t="shared" si="80"/>
        <v>-75</v>
      </c>
      <c r="N2483" s="19"/>
      <c r="O2483" s="280"/>
      <c r="P2483" s="345">
        <v>25100</v>
      </c>
      <c r="Q2483" s="28">
        <v>0.1331</v>
      </c>
      <c r="U2483" s="29">
        <v>0.1</v>
      </c>
      <c r="W2483" s="741">
        <f t="shared" si="81"/>
        <v>3674.8910000000001</v>
      </c>
    </row>
    <row r="2484" spans="1:24" ht="15" customHeight="1">
      <c r="A2484" s="3">
        <v>39377</v>
      </c>
      <c r="B2484" s="4">
        <v>1600</v>
      </c>
      <c r="D2484" s="5">
        <v>19275</v>
      </c>
      <c r="E2484" s="5">
        <f t="shared" si="75"/>
        <v>15575</v>
      </c>
      <c r="F2484" s="5">
        <v>36450</v>
      </c>
      <c r="K2484" s="24">
        <v>3585</v>
      </c>
      <c r="L2484" s="6">
        <v>3535</v>
      </c>
      <c r="M2484" s="270">
        <f t="shared" si="80"/>
        <v>-50</v>
      </c>
      <c r="N2484" s="19"/>
      <c r="O2484" s="280"/>
      <c r="P2484" s="345">
        <v>25100</v>
      </c>
      <c r="Q2484" s="28">
        <v>0.13320000000000001</v>
      </c>
      <c r="U2484" s="29">
        <v>0.1</v>
      </c>
      <c r="W2484" s="741">
        <f t="shared" si="81"/>
        <v>3677.6520000000005</v>
      </c>
    </row>
    <row r="2485" spans="1:24" ht="15" customHeight="1">
      <c r="A2485" s="3">
        <v>39378</v>
      </c>
      <c r="B2485" s="4">
        <v>1600</v>
      </c>
      <c r="D2485" s="5">
        <v>19275</v>
      </c>
      <c r="E2485" s="5">
        <f t="shared" si="75"/>
        <v>16500</v>
      </c>
      <c r="F2485" s="5">
        <v>37375</v>
      </c>
      <c r="K2485" s="24">
        <v>3704.5</v>
      </c>
      <c r="L2485" s="6">
        <v>3655</v>
      </c>
      <c r="M2485" s="270">
        <f t="shared" si="80"/>
        <v>-49.5</v>
      </c>
      <c r="N2485" s="19"/>
      <c r="O2485" s="280"/>
      <c r="P2485" s="345">
        <v>24550</v>
      </c>
      <c r="Q2485" s="28">
        <v>0.13320000000000001</v>
      </c>
      <c r="U2485" s="29">
        <v>0.1</v>
      </c>
      <c r="W2485" s="741">
        <f t="shared" si="81"/>
        <v>3597.0660000000007</v>
      </c>
    </row>
    <row r="2486" spans="1:24" ht="15" customHeight="1">
      <c r="A2486" s="3">
        <v>39379</v>
      </c>
      <c r="B2486" s="4">
        <v>1600</v>
      </c>
      <c r="D2486" s="5">
        <v>19250</v>
      </c>
      <c r="E2486" s="5">
        <f t="shared" si="75"/>
        <v>17450</v>
      </c>
      <c r="F2486" s="5">
        <v>38300</v>
      </c>
      <c r="K2486" s="24">
        <v>3580</v>
      </c>
      <c r="L2486" s="6">
        <v>3542</v>
      </c>
      <c r="M2486" s="270">
        <f t="shared" si="80"/>
        <v>-38</v>
      </c>
      <c r="N2486" s="19"/>
      <c r="O2486" s="280"/>
      <c r="P2486" s="345">
        <v>24550</v>
      </c>
      <c r="Q2486" s="28">
        <v>0.1333</v>
      </c>
      <c r="U2486" s="29">
        <v>0.1</v>
      </c>
      <c r="W2486" s="741">
        <f t="shared" si="81"/>
        <v>3599.7665000000002</v>
      </c>
    </row>
    <row r="2487" spans="1:24" ht="15" customHeight="1">
      <c r="A2487" s="3">
        <v>39380</v>
      </c>
      <c r="B2487" s="4">
        <v>1800</v>
      </c>
      <c r="D2487" s="5">
        <v>19275</v>
      </c>
      <c r="E2487" s="5">
        <f t="shared" si="75"/>
        <v>17475</v>
      </c>
      <c r="F2487" s="5">
        <v>38550</v>
      </c>
      <c r="K2487" s="24">
        <v>3615</v>
      </c>
      <c r="L2487" s="6">
        <v>3590</v>
      </c>
      <c r="M2487" s="270">
        <f t="shared" si="80"/>
        <v>-25</v>
      </c>
      <c r="N2487" s="19"/>
      <c r="O2487" s="280"/>
      <c r="P2487" s="345">
        <v>24350</v>
      </c>
      <c r="Q2487" s="28">
        <v>0.13339999999999999</v>
      </c>
      <c r="U2487" s="29">
        <v>0.1</v>
      </c>
      <c r="W2487" s="741">
        <f t="shared" si="81"/>
        <v>3573.1190000000001</v>
      </c>
    </row>
    <row r="2488" spans="1:24" ht="15" customHeight="1">
      <c r="A2488" s="3">
        <v>39381</v>
      </c>
      <c r="B2488" s="4">
        <v>1800</v>
      </c>
      <c r="D2488" s="5">
        <v>19250</v>
      </c>
      <c r="E2488" s="5">
        <f t="shared" si="75"/>
        <v>17750</v>
      </c>
      <c r="F2488" s="5">
        <v>38800</v>
      </c>
      <c r="K2488" s="24">
        <v>3704.5</v>
      </c>
      <c r="L2488" s="6">
        <v>3674</v>
      </c>
      <c r="M2488" s="270">
        <f t="shared" si="80"/>
        <v>-30.5</v>
      </c>
      <c r="N2488" s="19"/>
      <c r="O2488" s="280"/>
      <c r="P2488" s="345">
        <v>24500</v>
      </c>
      <c r="Q2488" s="28">
        <v>0.13370000000000001</v>
      </c>
      <c r="U2488" s="29">
        <v>0.1</v>
      </c>
      <c r="W2488" s="741">
        <f t="shared" si="81"/>
        <v>3603.2150000000011</v>
      </c>
    </row>
    <row r="2489" spans="1:24" ht="15" customHeight="1">
      <c r="A2489" s="3">
        <v>39384</v>
      </c>
      <c r="B2489" s="4">
        <v>2225</v>
      </c>
      <c r="D2489" s="5">
        <v>19250</v>
      </c>
      <c r="E2489" s="5">
        <f t="shared" si="75"/>
        <v>17750</v>
      </c>
      <c r="F2489" s="5">
        <v>39225</v>
      </c>
      <c r="K2489" s="24">
        <v>3710</v>
      </c>
      <c r="L2489" s="6">
        <v>3670</v>
      </c>
      <c r="M2489" s="270">
        <f t="shared" si="80"/>
        <v>-40</v>
      </c>
      <c r="N2489" s="19"/>
      <c r="O2489" s="280"/>
      <c r="P2489" s="345">
        <v>24550</v>
      </c>
      <c r="Q2489" s="28">
        <v>0.1336</v>
      </c>
      <c r="U2489" s="29">
        <v>0.1</v>
      </c>
      <c r="W2489" s="741">
        <f t="shared" si="81"/>
        <v>3607.8680000000004</v>
      </c>
    </row>
    <row r="2490" spans="1:24" ht="15" customHeight="1">
      <c r="A2490" s="3">
        <v>39385</v>
      </c>
      <c r="B2490" s="4">
        <v>2200</v>
      </c>
      <c r="D2490" s="5">
        <v>19525</v>
      </c>
      <c r="E2490" s="5">
        <f t="shared" si="75"/>
        <v>17750</v>
      </c>
      <c r="F2490" s="5">
        <v>39475</v>
      </c>
      <c r="K2490" s="24">
        <v>3540</v>
      </c>
      <c r="L2490" s="6">
        <v>3525</v>
      </c>
      <c r="M2490" s="270">
        <f t="shared" si="80"/>
        <v>-15</v>
      </c>
      <c r="N2490" s="19"/>
      <c r="O2490" s="280"/>
      <c r="P2490" s="345">
        <v>24550</v>
      </c>
      <c r="Q2490" s="28">
        <v>0.1338</v>
      </c>
      <c r="U2490" s="29">
        <v>0.1</v>
      </c>
      <c r="W2490" s="741">
        <f t="shared" si="81"/>
        <v>3613.2690000000002</v>
      </c>
    </row>
    <row r="2491" spans="1:24" ht="15" customHeight="1" thickBot="1">
      <c r="A2491" s="12">
        <v>39386</v>
      </c>
      <c r="B2491" s="13">
        <v>2125</v>
      </c>
      <c r="C2491" s="13"/>
      <c r="D2491" s="14">
        <v>19525</v>
      </c>
      <c r="E2491" s="14">
        <f t="shared" si="75"/>
        <v>17750</v>
      </c>
      <c r="F2491" s="14">
        <v>39400</v>
      </c>
      <c r="G2491" s="14"/>
      <c r="H2491" s="14"/>
      <c r="I2491" s="14"/>
      <c r="J2491" s="264"/>
      <c r="K2491" s="25">
        <v>3691</v>
      </c>
      <c r="L2491" s="15">
        <v>3666</v>
      </c>
      <c r="M2491" s="271">
        <f t="shared" si="80"/>
        <v>-25</v>
      </c>
      <c r="N2491" s="20">
        <f>AVERAGE(K2469:K2491)</f>
        <v>3719.717391304348</v>
      </c>
      <c r="O2491" s="281">
        <f>AVERAGE(K2277:K2491)</f>
        <v>2518.7853773584907</v>
      </c>
      <c r="P2491" s="346">
        <v>24400</v>
      </c>
      <c r="Q2491" s="30">
        <v>0.1338</v>
      </c>
      <c r="R2491" s="30"/>
      <c r="S2491" s="30"/>
      <c r="T2491" s="30"/>
      <c r="U2491" s="31">
        <v>0.1</v>
      </c>
      <c r="V2491" s="46">
        <f>AVERAGE(P2469:P2491)</f>
        <v>25252.777777777777</v>
      </c>
      <c r="W2491" s="741">
        <f t="shared" si="81"/>
        <v>3591.1920000000005</v>
      </c>
    </row>
    <row r="2492" spans="1:24" ht="15" customHeight="1">
      <c r="A2492" s="3">
        <v>39387</v>
      </c>
      <c r="B2492" s="4">
        <v>2825</v>
      </c>
      <c r="D2492" s="5">
        <v>19525</v>
      </c>
      <c r="E2492" s="5">
        <f t="shared" si="75"/>
        <v>17750</v>
      </c>
      <c r="F2492" s="5">
        <v>40100</v>
      </c>
      <c r="K2492" s="24">
        <v>3626</v>
      </c>
      <c r="L2492" s="6">
        <v>3610.5</v>
      </c>
      <c r="M2492" s="270">
        <f t="shared" si="80"/>
        <v>-15.5</v>
      </c>
      <c r="N2492" s="21"/>
      <c r="O2492" s="283"/>
      <c r="P2492" s="345">
        <v>24500</v>
      </c>
      <c r="Q2492" s="28">
        <v>0.1338</v>
      </c>
      <c r="U2492" s="29">
        <v>0.1</v>
      </c>
      <c r="W2492" s="741">
        <f t="shared" si="81"/>
        <v>3605.9100000000003</v>
      </c>
    </row>
    <row r="2493" spans="1:24" ht="15" customHeight="1">
      <c r="A2493" s="3">
        <v>39388</v>
      </c>
      <c r="B2493" s="4">
        <v>2825</v>
      </c>
      <c r="D2493" s="5">
        <v>19725</v>
      </c>
      <c r="E2493" s="5">
        <f t="shared" si="75"/>
        <v>17750</v>
      </c>
      <c r="F2493" s="5">
        <v>40300</v>
      </c>
      <c r="K2493" s="24">
        <v>3765</v>
      </c>
      <c r="L2493" s="6">
        <v>3700</v>
      </c>
      <c r="M2493" s="270">
        <f t="shared" si="80"/>
        <v>-65</v>
      </c>
      <c r="N2493" s="19"/>
      <c r="O2493" s="280"/>
      <c r="P2493" s="345">
        <v>24400</v>
      </c>
      <c r="Q2493" s="28">
        <v>0.13400000000000001</v>
      </c>
      <c r="U2493" s="29">
        <v>0.1</v>
      </c>
      <c r="W2493" s="741">
        <f t="shared" si="81"/>
        <v>3596.5600000000009</v>
      </c>
    </row>
    <row r="2494" spans="1:24" ht="15" customHeight="1">
      <c r="A2494" s="3">
        <v>39389</v>
      </c>
      <c r="B2494" s="4">
        <v>2825</v>
      </c>
      <c r="D2494" s="5">
        <v>19725</v>
      </c>
      <c r="E2494" s="5">
        <f t="shared" si="75"/>
        <v>17975</v>
      </c>
      <c r="F2494" s="5">
        <v>40525</v>
      </c>
      <c r="K2494" s="24">
        <v>3762</v>
      </c>
      <c r="L2494" s="6">
        <v>3710.5</v>
      </c>
      <c r="M2494" s="270">
        <f t="shared" si="80"/>
        <v>-51.5</v>
      </c>
      <c r="N2494" s="19"/>
      <c r="O2494" s="280"/>
      <c r="P2494" s="345">
        <v>24600</v>
      </c>
      <c r="Q2494" s="28">
        <v>0.1341</v>
      </c>
      <c r="U2494" s="29">
        <v>0.1</v>
      </c>
      <c r="W2494" s="741">
        <f t="shared" si="81"/>
        <v>3628.7460000000005</v>
      </c>
    </row>
    <row r="2495" spans="1:24" ht="15" customHeight="1">
      <c r="A2495" s="3">
        <v>39392</v>
      </c>
      <c r="B2495" s="4">
        <v>2800</v>
      </c>
      <c r="D2495" s="5">
        <v>19725</v>
      </c>
      <c r="E2495" s="5">
        <f t="shared" si="75"/>
        <v>17975</v>
      </c>
      <c r="F2495" s="5">
        <v>40500</v>
      </c>
      <c r="K2495" s="24">
        <v>3790</v>
      </c>
      <c r="L2495" s="6">
        <v>3750</v>
      </c>
      <c r="M2495" s="270">
        <f t="shared" si="80"/>
        <v>-40</v>
      </c>
      <c r="N2495" s="19"/>
      <c r="O2495" s="280"/>
      <c r="P2495" s="345">
        <v>24400</v>
      </c>
      <c r="Q2495" s="28">
        <v>0.13420000000000001</v>
      </c>
      <c r="U2495" s="29">
        <v>0.1</v>
      </c>
      <c r="W2495" s="741">
        <f t="shared" si="81"/>
        <v>3601.9280000000008</v>
      </c>
    </row>
    <row r="2496" spans="1:24" ht="15" customHeight="1">
      <c r="A2496" s="3">
        <v>39393</v>
      </c>
      <c r="B2496" s="4">
        <v>3775</v>
      </c>
      <c r="D2496" s="5">
        <v>19675</v>
      </c>
      <c r="E2496" s="5">
        <f t="shared" si="75"/>
        <v>17050</v>
      </c>
      <c r="F2496" s="5">
        <v>40500</v>
      </c>
      <c r="K2496" s="24">
        <v>3680</v>
      </c>
      <c r="L2496" s="6">
        <v>3616</v>
      </c>
      <c r="M2496" s="270">
        <f t="shared" si="80"/>
        <v>-64</v>
      </c>
      <c r="N2496" s="19"/>
      <c r="O2496" s="280"/>
      <c r="P2496" s="345">
        <v>24500</v>
      </c>
      <c r="Q2496" s="28">
        <v>0.13420000000000001</v>
      </c>
      <c r="U2496" s="29">
        <v>0.1</v>
      </c>
      <c r="W2496" s="741">
        <f t="shared" si="81"/>
        <v>3616.690000000001</v>
      </c>
      <c r="X2496" s="35"/>
    </row>
    <row r="2497" spans="1:24" ht="15" customHeight="1">
      <c r="A2497" s="3">
        <v>39394</v>
      </c>
      <c r="B2497" s="4">
        <v>3775</v>
      </c>
      <c r="D2497" s="5">
        <v>19650</v>
      </c>
      <c r="E2497" s="5">
        <f t="shared" si="75"/>
        <v>17975</v>
      </c>
      <c r="F2497" s="5">
        <v>41400</v>
      </c>
      <c r="K2497" s="24">
        <v>3492</v>
      </c>
      <c r="L2497" s="6">
        <v>3476</v>
      </c>
      <c r="M2497" s="270">
        <f t="shared" si="80"/>
        <v>-16</v>
      </c>
      <c r="N2497" s="19"/>
      <c r="O2497" s="280"/>
      <c r="P2497" s="345">
        <v>24300</v>
      </c>
      <c r="Q2497" s="28">
        <v>0.13439999999999999</v>
      </c>
      <c r="U2497" s="29">
        <v>0.1</v>
      </c>
      <c r="W2497" s="741">
        <f t="shared" si="81"/>
        <v>3592.5119999999997</v>
      </c>
    </row>
    <row r="2498" spans="1:24" ht="15" customHeight="1">
      <c r="A2498" s="3">
        <v>39395</v>
      </c>
      <c r="B2498" s="4">
        <v>3775</v>
      </c>
      <c r="D2498" s="5">
        <v>19600</v>
      </c>
      <c r="E2498" s="5">
        <f t="shared" si="75"/>
        <v>18025</v>
      </c>
      <c r="F2498" s="5">
        <v>41400</v>
      </c>
      <c r="K2498" s="24">
        <v>3504.5</v>
      </c>
      <c r="L2498" s="6">
        <v>3466</v>
      </c>
      <c r="M2498" s="270">
        <f t="shared" si="80"/>
        <v>-38.5</v>
      </c>
      <c r="N2498" s="19"/>
      <c r="O2498" s="280"/>
      <c r="P2498" s="345">
        <v>24100</v>
      </c>
      <c r="Q2498" s="28">
        <v>0.1348</v>
      </c>
      <c r="U2498" s="29">
        <v>0.1</v>
      </c>
      <c r="W2498" s="741">
        <f t="shared" si="81"/>
        <v>3573.5480000000007</v>
      </c>
    </row>
    <row r="2499" spans="1:24" ht="15" customHeight="1">
      <c r="A2499" s="3">
        <v>39398</v>
      </c>
      <c r="B2499" s="4">
        <v>3775</v>
      </c>
      <c r="D2499" s="5">
        <v>19600</v>
      </c>
      <c r="E2499" s="5">
        <f t="shared" si="75"/>
        <v>17975</v>
      </c>
      <c r="F2499" s="5">
        <v>41350</v>
      </c>
      <c r="K2499" s="24">
        <v>3487</v>
      </c>
      <c r="L2499" s="6">
        <v>3455</v>
      </c>
      <c r="M2499" s="270">
        <f t="shared" si="80"/>
        <v>-32</v>
      </c>
      <c r="N2499" s="19"/>
      <c r="O2499" s="280"/>
      <c r="P2499" s="345">
        <v>24300</v>
      </c>
      <c r="Q2499" s="28">
        <v>0.13489999999999999</v>
      </c>
      <c r="U2499" s="29">
        <v>0.1</v>
      </c>
      <c r="W2499" s="741">
        <f t="shared" si="81"/>
        <v>3605.877</v>
      </c>
      <c r="X2499" s="35"/>
    </row>
    <row r="2500" spans="1:24" ht="15" customHeight="1">
      <c r="A2500" s="3">
        <v>39399</v>
      </c>
      <c r="B2500" s="4">
        <v>4300</v>
      </c>
      <c r="D2500" s="5">
        <v>19600</v>
      </c>
      <c r="E2500" s="5">
        <f t="shared" si="75"/>
        <v>17975</v>
      </c>
      <c r="F2500" s="5">
        <v>41875</v>
      </c>
      <c r="K2500" s="24">
        <v>3540</v>
      </c>
      <c r="L2500" s="6">
        <v>3501</v>
      </c>
      <c r="M2500" s="270">
        <f t="shared" si="80"/>
        <v>-39</v>
      </c>
      <c r="N2500" s="19"/>
      <c r="O2500" s="280"/>
      <c r="P2500" s="345">
        <v>24200</v>
      </c>
      <c r="Q2500" s="28">
        <v>0.13489999999999999</v>
      </c>
      <c r="U2500" s="29">
        <v>0.1</v>
      </c>
      <c r="W2500" s="741">
        <f t="shared" si="81"/>
        <v>3591.038</v>
      </c>
      <c r="X2500" s="35"/>
    </row>
    <row r="2501" spans="1:24" ht="15" customHeight="1">
      <c r="A2501" s="3">
        <v>39400</v>
      </c>
      <c r="B2501" s="4">
        <v>5225</v>
      </c>
      <c r="D2501" s="5">
        <v>19600</v>
      </c>
      <c r="E2501" s="5">
        <f t="shared" si="75"/>
        <v>17975</v>
      </c>
      <c r="F2501" s="5">
        <v>42800</v>
      </c>
      <c r="K2501" s="24">
        <v>3580</v>
      </c>
      <c r="L2501" s="6">
        <v>3535</v>
      </c>
      <c r="M2501" s="270">
        <f t="shared" si="80"/>
        <v>-45</v>
      </c>
      <c r="N2501" s="19"/>
      <c r="O2501" s="280"/>
      <c r="P2501" s="345">
        <v>24200</v>
      </c>
      <c r="Q2501" s="28">
        <v>0.13450000000000001</v>
      </c>
      <c r="U2501" s="29">
        <v>0.1</v>
      </c>
      <c r="W2501" s="741">
        <f t="shared" si="81"/>
        <v>3580.3900000000003</v>
      </c>
      <c r="X2501" s="35"/>
    </row>
    <row r="2502" spans="1:24" ht="15" customHeight="1">
      <c r="A2502" s="3">
        <v>39401</v>
      </c>
      <c r="B2502" s="4">
        <v>5225</v>
      </c>
      <c r="D2502" s="5">
        <v>19600</v>
      </c>
      <c r="E2502" s="5">
        <f t="shared" si="75"/>
        <v>17975</v>
      </c>
      <c r="F2502" s="5">
        <v>42800</v>
      </c>
      <c r="K2502" s="24">
        <v>3530</v>
      </c>
      <c r="L2502" s="6">
        <v>3495</v>
      </c>
      <c r="M2502" s="270">
        <f t="shared" si="80"/>
        <v>-35</v>
      </c>
      <c r="N2502" s="19"/>
      <c r="O2502" s="280"/>
      <c r="P2502" s="345">
        <v>24300</v>
      </c>
      <c r="Q2502" s="28">
        <v>0.13469999999999999</v>
      </c>
      <c r="U2502" s="29">
        <v>0.1</v>
      </c>
      <c r="W2502" s="741">
        <f t="shared" si="81"/>
        <v>3600.5309999999999</v>
      </c>
    </row>
    <row r="2503" spans="1:24" ht="15" customHeight="1">
      <c r="A2503" s="3">
        <v>39402</v>
      </c>
      <c r="B2503" s="4">
        <v>5225</v>
      </c>
      <c r="D2503" s="5">
        <v>19550</v>
      </c>
      <c r="E2503" s="5">
        <f t="shared" si="75"/>
        <v>17975</v>
      </c>
      <c r="F2503" s="5">
        <v>42750</v>
      </c>
      <c r="K2503" s="24">
        <v>3380</v>
      </c>
      <c r="L2503" s="6">
        <v>3340</v>
      </c>
      <c r="M2503" s="270">
        <f t="shared" si="80"/>
        <v>-40</v>
      </c>
      <c r="N2503" s="19"/>
      <c r="O2503" s="280"/>
      <c r="P2503" s="345">
        <v>24200</v>
      </c>
      <c r="Q2503" s="28">
        <v>0.13469999999999999</v>
      </c>
      <c r="U2503" s="29">
        <v>0.1</v>
      </c>
      <c r="W2503" s="741">
        <f t="shared" si="81"/>
        <v>3585.7139999999999</v>
      </c>
      <c r="X2503" s="35"/>
    </row>
    <row r="2504" spans="1:24" ht="15" customHeight="1">
      <c r="A2504" s="3">
        <v>39405</v>
      </c>
      <c r="B2504" s="4">
        <v>5500</v>
      </c>
      <c r="D2504" s="5">
        <v>19500</v>
      </c>
      <c r="E2504" s="5">
        <f t="shared" si="75"/>
        <v>17975</v>
      </c>
      <c r="F2504" s="5">
        <v>42975</v>
      </c>
      <c r="K2504" s="24">
        <v>3155</v>
      </c>
      <c r="L2504" s="6">
        <v>3150</v>
      </c>
      <c r="M2504" s="270">
        <f t="shared" si="80"/>
        <v>-5</v>
      </c>
      <c r="N2504" s="19"/>
      <c r="O2504" s="280"/>
      <c r="P2504" s="345">
        <v>23900</v>
      </c>
      <c r="Q2504" s="28">
        <v>0.13469999999999999</v>
      </c>
      <c r="U2504" s="29">
        <v>0.1</v>
      </c>
      <c r="W2504" s="741">
        <f t="shared" si="81"/>
        <v>3541.2629999999999</v>
      </c>
    </row>
    <row r="2505" spans="1:24" ht="15" customHeight="1">
      <c r="A2505" s="3">
        <v>39406</v>
      </c>
      <c r="B2505" s="4">
        <v>5425</v>
      </c>
      <c r="D2505" s="5">
        <v>19400</v>
      </c>
      <c r="E2505" s="5">
        <f t="shared" si="75"/>
        <v>17675</v>
      </c>
      <c r="F2505" s="5">
        <v>42500</v>
      </c>
      <c r="K2505" s="24">
        <v>3056</v>
      </c>
      <c r="L2505" s="6">
        <v>3032</v>
      </c>
      <c r="M2505" s="270">
        <f t="shared" si="80"/>
        <v>-24</v>
      </c>
      <c r="N2505" s="19"/>
      <c r="O2505" s="280"/>
      <c r="P2505" s="345">
        <v>22750</v>
      </c>
      <c r="Q2505" s="28">
        <v>0.13469999999999999</v>
      </c>
      <c r="U2505" s="29">
        <v>0.1</v>
      </c>
      <c r="W2505" s="741">
        <f t="shared" si="81"/>
        <v>3370.8674999999998</v>
      </c>
    </row>
    <row r="2506" spans="1:24" ht="15" customHeight="1">
      <c r="A2506" s="3">
        <v>39407</v>
      </c>
      <c r="B2506" s="4">
        <v>5725</v>
      </c>
      <c r="D2506" s="5">
        <v>19400</v>
      </c>
      <c r="E2506" s="5">
        <f t="shared" si="75"/>
        <v>17575</v>
      </c>
      <c r="F2506" s="5">
        <v>42700</v>
      </c>
      <c r="K2506" s="24">
        <v>2980</v>
      </c>
      <c r="L2506" s="6">
        <v>2985</v>
      </c>
      <c r="M2506" s="270">
        <f t="shared" si="80"/>
        <v>5</v>
      </c>
      <c r="N2506" s="19"/>
      <c r="O2506" s="280"/>
      <c r="P2506" s="345">
        <v>22500</v>
      </c>
      <c r="Q2506" s="28">
        <v>0.13469999999999999</v>
      </c>
      <c r="U2506" s="29">
        <v>0.1</v>
      </c>
      <c r="W2506" s="741">
        <f t="shared" si="81"/>
        <v>3333.8249999999998</v>
      </c>
    </row>
    <row r="2507" spans="1:24" ht="15" customHeight="1">
      <c r="A2507" s="3">
        <v>39408</v>
      </c>
      <c r="B2507" s="4">
        <v>6200</v>
      </c>
      <c r="D2507" s="5">
        <v>19625</v>
      </c>
      <c r="E2507" s="5">
        <f t="shared" si="75"/>
        <v>17450</v>
      </c>
      <c r="F2507" s="5">
        <v>43275</v>
      </c>
      <c r="K2507" s="24">
        <v>2876</v>
      </c>
      <c r="L2507" s="6">
        <v>2870</v>
      </c>
      <c r="M2507" s="270">
        <f t="shared" si="80"/>
        <v>-6</v>
      </c>
      <c r="N2507" s="19"/>
      <c r="O2507" s="280"/>
      <c r="P2507" s="345">
        <v>21600</v>
      </c>
      <c r="Q2507" s="28">
        <v>0.13489999999999999</v>
      </c>
      <c r="U2507" s="29">
        <v>0.1</v>
      </c>
      <c r="W2507" s="741">
        <f t="shared" si="81"/>
        <v>3205.2239999999997</v>
      </c>
    </row>
    <row r="2508" spans="1:24" ht="15" customHeight="1">
      <c r="A2508" s="3">
        <v>39409</v>
      </c>
      <c r="B2508" s="4">
        <v>6025</v>
      </c>
      <c r="D2508" s="5">
        <v>19600</v>
      </c>
      <c r="E2508" s="5">
        <f t="shared" si="75"/>
        <v>17400</v>
      </c>
      <c r="F2508" s="5">
        <v>43025</v>
      </c>
      <c r="K2508" s="24">
        <v>2911</v>
      </c>
      <c r="L2508" s="6">
        <v>2910</v>
      </c>
      <c r="M2508" s="270">
        <f t="shared" si="80"/>
        <v>-1</v>
      </c>
      <c r="N2508" s="19"/>
      <c r="O2508" s="280"/>
      <c r="P2508" s="345">
        <v>21300</v>
      </c>
      <c r="Q2508" s="28">
        <v>0.13489999999999999</v>
      </c>
      <c r="U2508" s="29">
        <v>0.1</v>
      </c>
      <c r="W2508" s="741">
        <f t="shared" si="81"/>
        <v>3160.7070000000003</v>
      </c>
    </row>
    <row r="2509" spans="1:24" ht="15" customHeight="1">
      <c r="A2509" s="3">
        <v>39412</v>
      </c>
      <c r="B2509" s="4">
        <v>6000</v>
      </c>
      <c r="D2509" s="5">
        <v>19600</v>
      </c>
      <c r="E2509" s="5">
        <f t="shared" si="75"/>
        <v>17025</v>
      </c>
      <c r="F2509" s="5">
        <v>42625</v>
      </c>
      <c r="K2509" s="24">
        <v>3046</v>
      </c>
      <c r="L2509" s="6">
        <v>3031</v>
      </c>
      <c r="M2509" s="270">
        <f t="shared" si="80"/>
        <v>-15</v>
      </c>
      <c r="N2509" s="19"/>
      <c r="O2509" s="280"/>
      <c r="P2509" s="345">
        <v>21500</v>
      </c>
      <c r="Q2509" s="28">
        <v>0.13519999999999999</v>
      </c>
      <c r="U2509" s="29">
        <v>0.1</v>
      </c>
      <c r="W2509" s="741">
        <f t="shared" si="81"/>
        <v>3197.48</v>
      </c>
    </row>
    <row r="2510" spans="1:24" ht="15" customHeight="1">
      <c r="A2510" s="3">
        <v>39413</v>
      </c>
      <c r="B2510" s="4">
        <v>7100</v>
      </c>
      <c r="D2510" s="5">
        <v>19600</v>
      </c>
      <c r="E2510" s="5">
        <f t="shared" si="75"/>
        <v>17025</v>
      </c>
      <c r="F2510" s="5">
        <v>43725</v>
      </c>
      <c r="K2510" s="24">
        <v>2990</v>
      </c>
      <c r="L2510" s="6">
        <v>2995</v>
      </c>
      <c r="M2510" s="270">
        <f t="shared" ref="M2510:M2528" si="82">L2510-K2510</f>
        <v>5</v>
      </c>
      <c r="N2510" s="19"/>
      <c r="O2510" s="280"/>
      <c r="P2510" s="345">
        <v>21600</v>
      </c>
      <c r="Q2510" s="28">
        <v>0.13519999999999999</v>
      </c>
      <c r="U2510" s="29">
        <v>0.1</v>
      </c>
      <c r="W2510" s="741">
        <f t="shared" si="81"/>
        <v>3212.3519999999999</v>
      </c>
    </row>
    <row r="2511" spans="1:24" ht="15" customHeight="1">
      <c r="A2511" s="3">
        <v>39414</v>
      </c>
      <c r="B2511" s="4">
        <v>7500</v>
      </c>
      <c r="D2511" s="5">
        <v>19550</v>
      </c>
      <c r="E2511" s="5">
        <f t="shared" si="75"/>
        <v>16975</v>
      </c>
      <c r="F2511" s="5">
        <v>44025</v>
      </c>
      <c r="K2511" s="24">
        <v>2960</v>
      </c>
      <c r="L2511" s="6">
        <v>2956</v>
      </c>
      <c r="M2511" s="270">
        <f t="shared" si="82"/>
        <v>-4</v>
      </c>
      <c r="N2511" s="19"/>
      <c r="O2511" s="280"/>
      <c r="P2511" s="345">
        <v>21700</v>
      </c>
      <c r="Q2511" s="28">
        <v>0.13539999999999999</v>
      </c>
      <c r="U2511" s="29">
        <v>0.1</v>
      </c>
      <c r="W2511" s="741">
        <f t="shared" si="81"/>
        <v>3231.998</v>
      </c>
    </row>
    <row r="2512" spans="1:24" ht="15" customHeight="1">
      <c r="A2512" s="3">
        <v>39415</v>
      </c>
      <c r="B2512" s="4">
        <v>7700</v>
      </c>
      <c r="D2512" s="5">
        <v>19475</v>
      </c>
      <c r="E2512" s="5">
        <f t="shared" si="75"/>
        <v>16725</v>
      </c>
      <c r="F2512" s="5">
        <v>43900</v>
      </c>
      <c r="K2512" s="24">
        <v>3059.5</v>
      </c>
      <c r="L2512" s="6">
        <v>3057</v>
      </c>
      <c r="M2512" s="270">
        <f t="shared" si="82"/>
        <v>-2.5</v>
      </c>
      <c r="N2512" s="19"/>
      <c r="O2512" s="280"/>
      <c r="P2512" s="345">
        <v>21950</v>
      </c>
      <c r="Q2512" s="28">
        <v>0.13519999999999999</v>
      </c>
      <c r="U2512" s="29">
        <v>0.1</v>
      </c>
      <c r="W2512" s="741">
        <f t="shared" si="81"/>
        <v>3264.404</v>
      </c>
    </row>
    <row r="2513" spans="1:23" ht="15" customHeight="1" thickBot="1">
      <c r="A2513" s="12">
        <v>39416</v>
      </c>
      <c r="B2513" s="13">
        <v>8075</v>
      </c>
      <c r="C2513" s="13"/>
      <c r="D2513" s="14">
        <v>19475</v>
      </c>
      <c r="E2513" s="14">
        <f t="shared" si="75"/>
        <v>16475</v>
      </c>
      <c r="F2513" s="14">
        <v>44025</v>
      </c>
      <c r="G2513" s="14"/>
      <c r="H2513" s="14"/>
      <c r="I2513" s="14"/>
      <c r="J2513" s="264"/>
      <c r="K2513" s="25">
        <v>3050</v>
      </c>
      <c r="L2513" s="15">
        <v>3025</v>
      </c>
      <c r="M2513" s="271">
        <f t="shared" si="82"/>
        <v>-25</v>
      </c>
      <c r="N2513" s="20">
        <f>AVERAGE(K2492:K2513)</f>
        <v>3328.181818181818</v>
      </c>
      <c r="O2513" s="281">
        <f>AVERAGE(K2277:K2513)</f>
        <v>2594.8824786324785</v>
      </c>
      <c r="P2513" s="346">
        <v>22025</v>
      </c>
      <c r="Q2513" s="30">
        <v>0.13550000000000001</v>
      </c>
      <c r="R2513" s="30"/>
      <c r="S2513" s="30"/>
      <c r="T2513" s="30"/>
      <c r="U2513" s="31">
        <v>0.1</v>
      </c>
      <c r="V2513" s="46">
        <f>AVERAGE(P2492:P2513)</f>
        <v>23310.227272727272</v>
      </c>
      <c r="W2513" s="741">
        <f t="shared" si="81"/>
        <v>3282.8262500000005</v>
      </c>
    </row>
    <row r="2514" spans="1:23" ht="15" customHeight="1">
      <c r="A2514" s="3">
        <v>39419</v>
      </c>
      <c r="B2514" s="4">
        <v>8375</v>
      </c>
      <c r="D2514" s="5">
        <v>19500</v>
      </c>
      <c r="E2514" s="5">
        <f t="shared" si="75"/>
        <v>16475</v>
      </c>
      <c r="F2514" s="5">
        <v>44350</v>
      </c>
      <c r="K2514" s="24">
        <v>2991</v>
      </c>
      <c r="L2514" s="6">
        <v>2971</v>
      </c>
      <c r="M2514" s="270">
        <f t="shared" si="82"/>
        <v>-20</v>
      </c>
      <c r="N2514" s="21"/>
      <c r="O2514" s="283"/>
      <c r="P2514" s="345">
        <v>22025</v>
      </c>
      <c r="Q2514" s="28">
        <v>0.13519999999999999</v>
      </c>
      <c r="U2514" s="29">
        <v>0.1</v>
      </c>
      <c r="W2514" s="741">
        <f t="shared" si="81"/>
        <v>3275.558</v>
      </c>
    </row>
    <row r="2515" spans="1:23" ht="15" customHeight="1">
      <c r="A2515" s="3">
        <v>39420</v>
      </c>
      <c r="B2515" s="4">
        <v>8300</v>
      </c>
      <c r="D2515" s="5">
        <v>19500</v>
      </c>
      <c r="E2515" s="5">
        <f t="shared" si="75"/>
        <v>15975</v>
      </c>
      <c r="F2515" s="5">
        <v>43775</v>
      </c>
      <c r="K2515" s="24">
        <v>2825</v>
      </c>
      <c r="L2515" s="6">
        <v>2826</v>
      </c>
      <c r="M2515" s="270">
        <f t="shared" si="82"/>
        <v>1</v>
      </c>
      <c r="N2515" s="19"/>
      <c r="O2515" s="280"/>
      <c r="P2515" s="345">
        <v>21700</v>
      </c>
      <c r="Q2515" s="28">
        <v>0.1351</v>
      </c>
      <c r="U2515" s="29">
        <v>0.1</v>
      </c>
      <c r="W2515" s="741">
        <f t="shared" si="81"/>
        <v>3224.8370000000004</v>
      </c>
    </row>
    <row r="2516" spans="1:23" ht="15" customHeight="1">
      <c r="A2516" s="3">
        <v>39421</v>
      </c>
      <c r="B2516" s="4">
        <v>8225</v>
      </c>
      <c r="D2516" s="5">
        <v>19750</v>
      </c>
      <c r="E2516" s="5">
        <f t="shared" si="75"/>
        <v>16025</v>
      </c>
      <c r="F2516" s="5">
        <v>44000</v>
      </c>
      <c r="K2516" s="24">
        <v>2804</v>
      </c>
      <c r="L2516" s="6">
        <v>2806</v>
      </c>
      <c r="M2516" s="270">
        <f t="shared" si="82"/>
        <v>2</v>
      </c>
      <c r="N2516" s="19"/>
      <c r="O2516" s="280"/>
      <c r="P2516" s="345">
        <v>21500</v>
      </c>
      <c r="Q2516" s="28">
        <v>0.13519999999999999</v>
      </c>
      <c r="U2516" s="29">
        <v>0.1</v>
      </c>
      <c r="W2516" s="741">
        <f t="shared" si="81"/>
        <v>3197.48</v>
      </c>
    </row>
    <row r="2517" spans="1:23" ht="15" customHeight="1">
      <c r="A2517" s="3">
        <v>39422</v>
      </c>
      <c r="B2517" s="4">
        <v>8675</v>
      </c>
      <c r="D2517" s="5">
        <v>19875</v>
      </c>
      <c r="E2517" s="5">
        <f t="shared" si="75"/>
        <v>16050</v>
      </c>
      <c r="F2517" s="5">
        <v>44600</v>
      </c>
      <c r="K2517" s="24">
        <v>2605.5</v>
      </c>
      <c r="L2517" s="6">
        <v>2625</v>
      </c>
      <c r="M2517" s="270">
        <f t="shared" si="82"/>
        <v>19.5</v>
      </c>
      <c r="N2517" s="19"/>
      <c r="O2517" s="280"/>
      <c r="P2517" s="345">
        <v>21300</v>
      </c>
      <c r="Q2517" s="28">
        <v>0.1353</v>
      </c>
      <c r="U2517" s="29">
        <v>0.1</v>
      </c>
      <c r="W2517" s="741">
        <f t="shared" si="81"/>
        <v>3170.0790000000002</v>
      </c>
    </row>
    <row r="2518" spans="1:23" ht="15" customHeight="1">
      <c r="A2518" s="3">
        <v>39423</v>
      </c>
      <c r="B2518" s="4">
        <v>8250</v>
      </c>
      <c r="D2518" s="5">
        <v>19875</v>
      </c>
      <c r="E2518" s="5">
        <f t="shared" si="75"/>
        <v>16025</v>
      </c>
      <c r="F2518" s="5">
        <v>44150</v>
      </c>
      <c r="K2518" s="24">
        <v>2675</v>
      </c>
      <c r="L2518" s="6">
        <v>2665</v>
      </c>
      <c r="M2518" s="270">
        <f t="shared" si="82"/>
        <v>-10</v>
      </c>
      <c r="N2518" s="19"/>
      <c r="O2518" s="280"/>
      <c r="P2518" s="345">
        <v>20900</v>
      </c>
      <c r="Q2518" s="28">
        <v>0.13489999999999999</v>
      </c>
      <c r="U2518" s="29">
        <v>0.1</v>
      </c>
      <c r="W2518" s="741">
        <f t="shared" si="81"/>
        <v>3101.3510000000001</v>
      </c>
    </row>
    <row r="2519" spans="1:23" ht="15" customHeight="1">
      <c r="A2519" s="3">
        <v>39426</v>
      </c>
      <c r="B2519" s="4">
        <v>7725</v>
      </c>
      <c r="D2519" s="5">
        <v>19775</v>
      </c>
      <c r="E2519" s="5">
        <f t="shared" si="75"/>
        <v>15700</v>
      </c>
      <c r="F2519" s="5">
        <v>43200</v>
      </c>
      <c r="K2519" s="24">
        <v>2520.5</v>
      </c>
      <c r="L2519" s="6">
        <v>2545</v>
      </c>
      <c r="M2519" s="270">
        <f t="shared" si="82"/>
        <v>24.5</v>
      </c>
      <c r="N2519" s="19"/>
      <c r="O2519" s="280"/>
      <c r="P2519" s="345">
        <v>20500</v>
      </c>
      <c r="Q2519" s="28">
        <v>0.1351</v>
      </c>
      <c r="U2519" s="29">
        <v>0.1</v>
      </c>
      <c r="W2519" s="741">
        <f t="shared" si="81"/>
        <v>3046.5050000000006</v>
      </c>
    </row>
    <row r="2520" spans="1:23" ht="15" customHeight="1">
      <c r="A2520" s="3">
        <v>39427</v>
      </c>
      <c r="B2520" s="4">
        <v>8275</v>
      </c>
      <c r="D2520" s="5">
        <v>19650</v>
      </c>
      <c r="E2520" s="5">
        <f t="shared" si="75"/>
        <v>15700</v>
      </c>
      <c r="F2520" s="5">
        <v>43625</v>
      </c>
      <c r="K2520" s="24">
        <v>2420</v>
      </c>
      <c r="L2520" s="6">
        <v>2416</v>
      </c>
      <c r="M2520" s="270">
        <f t="shared" si="82"/>
        <v>-4</v>
      </c>
      <c r="N2520" s="19"/>
      <c r="O2520" s="280"/>
      <c r="P2520" s="345">
        <v>19700</v>
      </c>
      <c r="Q2520" s="28">
        <v>0.13519999999999999</v>
      </c>
      <c r="U2520" s="29">
        <v>0.1</v>
      </c>
      <c r="W2520" s="741">
        <f t="shared" si="81"/>
        <v>2929.7839999999997</v>
      </c>
    </row>
    <row r="2521" spans="1:23" ht="15" customHeight="1">
      <c r="A2521" s="3">
        <v>39428</v>
      </c>
      <c r="B2521" s="4">
        <v>7725</v>
      </c>
      <c r="D2521" s="5">
        <v>19550</v>
      </c>
      <c r="E2521" s="5">
        <f t="shared" si="75"/>
        <v>15700</v>
      </c>
      <c r="F2521" s="5">
        <v>42975</v>
      </c>
      <c r="K2521" s="24">
        <v>2530.5</v>
      </c>
      <c r="L2521" s="6">
        <v>2525</v>
      </c>
      <c r="M2521" s="270">
        <f t="shared" si="82"/>
        <v>-5.5</v>
      </c>
      <c r="N2521" s="19"/>
      <c r="O2521" s="280"/>
      <c r="P2521" s="345">
        <v>19500</v>
      </c>
      <c r="Q2521" s="28">
        <v>0.13550000000000001</v>
      </c>
      <c r="U2521" s="29">
        <v>0.1</v>
      </c>
      <c r="W2521" s="741">
        <f t="shared" si="81"/>
        <v>2906.4750000000004</v>
      </c>
    </row>
    <row r="2522" spans="1:23" ht="15" customHeight="1">
      <c r="A2522" s="3">
        <v>39429</v>
      </c>
      <c r="B2522" s="4">
        <v>7025</v>
      </c>
      <c r="D2522" s="5">
        <v>19425</v>
      </c>
      <c r="E2522" s="5">
        <f t="shared" si="75"/>
        <v>15825</v>
      </c>
      <c r="F2522" s="5">
        <v>42275</v>
      </c>
      <c r="K2522" s="24">
        <v>2535</v>
      </c>
      <c r="L2522" s="6">
        <v>2510.5</v>
      </c>
      <c r="M2522" s="270">
        <f t="shared" si="82"/>
        <v>-24.5</v>
      </c>
      <c r="N2522" s="19"/>
      <c r="O2522" s="280"/>
      <c r="P2522" s="345">
        <v>19400</v>
      </c>
      <c r="Q2522" s="28">
        <v>0.1356</v>
      </c>
      <c r="U2522" s="29">
        <v>0.1</v>
      </c>
      <c r="W2522" s="741">
        <f t="shared" si="81"/>
        <v>2893.7040000000002</v>
      </c>
    </row>
    <row r="2523" spans="1:23" ht="15" customHeight="1">
      <c r="A2523" s="3">
        <v>39430</v>
      </c>
      <c r="B2523" s="4">
        <v>6625</v>
      </c>
      <c r="D2523" s="5">
        <v>19200</v>
      </c>
      <c r="E2523" s="5">
        <f t="shared" si="75"/>
        <v>15825</v>
      </c>
      <c r="F2523" s="5">
        <v>41650</v>
      </c>
      <c r="K2523" s="24">
        <v>2461</v>
      </c>
      <c r="L2523" s="6">
        <v>2450.5</v>
      </c>
      <c r="M2523" s="270">
        <f t="shared" si="82"/>
        <v>-10.5</v>
      </c>
      <c r="N2523" s="19"/>
      <c r="O2523" s="280"/>
      <c r="P2523" s="345">
        <v>18900</v>
      </c>
      <c r="Q2523" s="28">
        <v>0.13569999999999999</v>
      </c>
      <c r="U2523" s="29">
        <v>0.1</v>
      </c>
      <c r="W2523" s="741">
        <f t="shared" si="81"/>
        <v>2821.203</v>
      </c>
    </row>
    <row r="2524" spans="1:23" ht="15" customHeight="1">
      <c r="A2524" s="3">
        <v>39433</v>
      </c>
      <c r="B2524" s="4">
        <v>6850</v>
      </c>
      <c r="D2524" s="5">
        <v>19200</v>
      </c>
      <c r="E2524" s="5">
        <f t="shared" si="75"/>
        <v>15725</v>
      </c>
      <c r="F2524" s="5">
        <v>41775</v>
      </c>
      <c r="K2524" s="24">
        <v>2412</v>
      </c>
      <c r="L2524" s="6">
        <v>2382</v>
      </c>
      <c r="M2524" s="270">
        <f t="shared" si="82"/>
        <v>-30</v>
      </c>
      <c r="N2524" s="19"/>
      <c r="O2524" s="280"/>
      <c r="P2524" s="345">
        <v>18700</v>
      </c>
      <c r="Q2524" s="28">
        <v>0.13569999999999999</v>
      </c>
      <c r="U2524" s="29">
        <v>0.1</v>
      </c>
      <c r="W2524" s="741">
        <f t="shared" si="81"/>
        <v>2791.3489999999997</v>
      </c>
    </row>
    <row r="2525" spans="1:23" ht="15" customHeight="1">
      <c r="A2525" s="3">
        <v>39434</v>
      </c>
      <c r="B2525" s="4">
        <v>5850</v>
      </c>
      <c r="D2525" s="5">
        <v>18875</v>
      </c>
      <c r="E2525" s="5">
        <f t="shared" si="75"/>
        <v>18700</v>
      </c>
      <c r="F2525" s="5">
        <v>43425</v>
      </c>
      <c r="K2525" s="24">
        <v>2432</v>
      </c>
      <c r="L2525" s="6">
        <v>2430</v>
      </c>
      <c r="M2525" s="270">
        <f t="shared" si="82"/>
        <v>-2</v>
      </c>
      <c r="N2525" s="19"/>
      <c r="O2525" s="280"/>
      <c r="P2525" s="345">
        <v>18550</v>
      </c>
      <c r="Q2525" s="28">
        <v>0.13550000000000001</v>
      </c>
      <c r="U2525" s="29">
        <v>0.1</v>
      </c>
      <c r="W2525" s="741">
        <f t="shared" si="81"/>
        <v>2764.8775000000005</v>
      </c>
    </row>
    <row r="2526" spans="1:23" ht="15" customHeight="1">
      <c r="A2526" s="3">
        <v>39435</v>
      </c>
      <c r="B2526" s="4">
        <v>6175</v>
      </c>
      <c r="D2526" s="5">
        <v>18725</v>
      </c>
      <c r="E2526" s="5">
        <f t="shared" si="75"/>
        <v>18700</v>
      </c>
      <c r="F2526" s="5">
        <v>43600</v>
      </c>
      <c r="K2526" s="24">
        <v>2471</v>
      </c>
      <c r="L2526" s="6">
        <v>2485.5</v>
      </c>
      <c r="M2526" s="270">
        <f t="shared" si="82"/>
        <v>14.5</v>
      </c>
      <c r="N2526" s="19"/>
      <c r="O2526" s="280"/>
      <c r="P2526" s="345">
        <v>18400</v>
      </c>
      <c r="Q2526" s="28">
        <v>0.13550000000000001</v>
      </c>
      <c r="U2526" s="29">
        <v>0.1</v>
      </c>
      <c r="W2526" s="741">
        <f t="shared" si="81"/>
        <v>2742.5200000000004</v>
      </c>
    </row>
    <row r="2527" spans="1:23" ht="15" customHeight="1">
      <c r="A2527" s="3">
        <v>39436</v>
      </c>
      <c r="B2527" s="4">
        <v>6150</v>
      </c>
      <c r="D2527" s="5">
        <v>18600</v>
      </c>
      <c r="E2527" s="5">
        <f t="shared" si="75"/>
        <v>18675</v>
      </c>
      <c r="F2527" s="5">
        <v>43425</v>
      </c>
      <c r="K2527" s="24">
        <v>2648</v>
      </c>
      <c r="L2527" s="6">
        <v>2640</v>
      </c>
      <c r="M2527" s="270">
        <f t="shared" si="82"/>
        <v>-8</v>
      </c>
      <c r="N2527" s="19"/>
      <c r="O2527" s="280"/>
      <c r="P2527" s="345">
        <v>18500</v>
      </c>
      <c r="Q2527" s="28">
        <v>0.1356</v>
      </c>
      <c r="U2527" s="29">
        <v>0.1</v>
      </c>
      <c r="W2527" s="741">
        <f t="shared" si="81"/>
        <v>2759.46</v>
      </c>
    </row>
    <row r="2528" spans="1:23" ht="15" customHeight="1">
      <c r="A2528" s="3">
        <v>39437</v>
      </c>
      <c r="B2528" s="4">
        <v>6150</v>
      </c>
      <c r="D2528" s="5">
        <v>18575</v>
      </c>
      <c r="E2528" s="5">
        <f t="shared" si="75"/>
        <v>18600</v>
      </c>
      <c r="F2528" s="5">
        <v>43325</v>
      </c>
      <c r="K2528" s="24">
        <v>2655</v>
      </c>
      <c r="L2528" s="6">
        <v>2626</v>
      </c>
      <c r="M2528" s="270">
        <f t="shared" si="82"/>
        <v>-29</v>
      </c>
      <c r="N2528" s="19"/>
      <c r="O2528" s="280"/>
      <c r="P2528" s="345">
        <v>18900</v>
      </c>
      <c r="Q2528" s="28">
        <v>0.13569999999999999</v>
      </c>
      <c r="U2528" s="29">
        <v>0.1</v>
      </c>
      <c r="W2528" s="741">
        <f t="shared" si="81"/>
        <v>2821.203</v>
      </c>
    </row>
    <row r="2529" spans="1:24" ht="15" customHeight="1">
      <c r="B2529" s="366"/>
      <c r="C2529" s="366"/>
      <c r="D2529" s="366"/>
      <c r="E2529" s="366"/>
      <c r="F2529" s="366"/>
      <c r="G2529" s="1029" t="s">
        <v>18</v>
      </c>
      <c r="H2529" s="1029"/>
      <c r="I2529" s="1029"/>
      <c r="J2529" s="1029"/>
      <c r="K2529" s="366"/>
      <c r="L2529" s="366"/>
      <c r="M2529" s="366"/>
      <c r="N2529" s="366"/>
      <c r="O2529" s="378"/>
      <c r="P2529" s="345">
        <v>19150</v>
      </c>
      <c r="Q2529" s="28">
        <v>0.1358</v>
      </c>
      <c r="U2529" s="29">
        <v>0.1</v>
      </c>
      <c r="W2529" s="741">
        <f t="shared" si="81"/>
        <v>2860.6270000000004</v>
      </c>
    </row>
    <row r="2530" spans="1:24" ht="15" customHeight="1">
      <c r="A2530" s="366"/>
      <c r="B2530" s="366"/>
      <c r="C2530" s="366"/>
      <c r="D2530" s="366"/>
      <c r="E2530" s="366"/>
      <c r="F2530" s="366"/>
      <c r="G2530" s="1029"/>
      <c r="H2530" s="1029"/>
      <c r="I2530" s="1029"/>
      <c r="J2530" s="1029"/>
      <c r="K2530" s="366"/>
      <c r="L2530" s="366"/>
      <c r="M2530" s="366"/>
      <c r="N2530" s="366"/>
      <c r="O2530" s="378"/>
      <c r="P2530" s="345">
        <v>19500</v>
      </c>
      <c r="Q2530" s="28">
        <v>0.13639999999999999</v>
      </c>
      <c r="U2530" s="29">
        <v>0.1</v>
      </c>
      <c r="W2530" s="741">
        <f t="shared" si="81"/>
        <v>2925.7799999999997</v>
      </c>
    </row>
    <row r="2531" spans="1:24" ht="15" customHeight="1">
      <c r="A2531" s="366"/>
      <c r="B2531" s="366"/>
      <c r="C2531" s="366"/>
      <c r="D2531" s="366"/>
      <c r="E2531" s="366"/>
      <c r="F2531" s="366"/>
      <c r="G2531" s="1029"/>
      <c r="H2531" s="1029"/>
      <c r="I2531" s="1029"/>
      <c r="J2531" s="1029"/>
      <c r="K2531" s="366"/>
      <c r="L2531" s="366"/>
      <c r="M2531" s="366"/>
      <c r="N2531" s="366"/>
      <c r="O2531" s="378"/>
      <c r="P2531" s="345">
        <v>19500</v>
      </c>
      <c r="Q2531" s="28">
        <v>0.1358</v>
      </c>
      <c r="U2531" s="29">
        <v>0.1</v>
      </c>
      <c r="W2531" s="741">
        <f t="shared" si="81"/>
        <v>2912.9100000000003</v>
      </c>
    </row>
    <row r="2532" spans="1:24" ht="15" customHeight="1">
      <c r="A2532" s="3">
        <v>39443</v>
      </c>
      <c r="B2532" s="4">
        <v>6150</v>
      </c>
      <c r="D2532" s="5">
        <v>18550</v>
      </c>
      <c r="E2532" s="5">
        <f t="shared" si="75"/>
        <v>18550</v>
      </c>
      <c r="F2532" s="5">
        <v>43250</v>
      </c>
      <c r="G2532" s="366"/>
      <c r="H2532" s="366"/>
      <c r="I2532" s="366"/>
      <c r="J2532" s="366"/>
      <c r="K2532" s="24">
        <v>2650</v>
      </c>
      <c r="L2532" s="6">
        <v>2635</v>
      </c>
      <c r="M2532" s="270">
        <f t="shared" ref="M2532:M2591" si="83">L2532-K2532</f>
        <v>-15</v>
      </c>
      <c r="N2532" s="19"/>
      <c r="O2532" s="280"/>
      <c r="P2532" s="345">
        <v>19500</v>
      </c>
      <c r="Q2532" s="28">
        <v>0.1358</v>
      </c>
      <c r="U2532" s="29">
        <v>0.1</v>
      </c>
      <c r="W2532" s="741">
        <f t="shared" si="81"/>
        <v>2912.9100000000003</v>
      </c>
    </row>
    <row r="2533" spans="1:24" ht="15" customHeight="1">
      <c r="A2533" s="3">
        <v>39444</v>
      </c>
      <c r="B2533" s="4">
        <v>8450</v>
      </c>
      <c r="D2533" s="5">
        <v>18825</v>
      </c>
      <c r="E2533" s="5">
        <f t="shared" si="75"/>
        <v>18225</v>
      </c>
      <c r="F2533" s="5">
        <v>45500</v>
      </c>
      <c r="K2533" s="24">
        <v>2561</v>
      </c>
      <c r="L2533" s="6">
        <v>2557</v>
      </c>
      <c r="M2533" s="270">
        <f t="shared" si="83"/>
        <v>-4</v>
      </c>
      <c r="N2533" s="19"/>
      <c r="O2533" s="280"/>
      <c r="P2533" s="345">
        <v>19500</v>
      </c>
      <c r="Q2533" s="28">
        <v>0.1366</v>
      </c>
      <c r="U2533" s="29">
        <v>0.1</v>
      </c>
      <c r="W2533" s="741">
        <f t="shared" si="81"/>
        <v>2930.07</v>
      </c>
    </row>
    <row r="2534" spans="1:24" ht="15" customHeight="1" thickBot="1">
      <c r="A2534" s="12">
        <v>39447</v>
      </c>
      <c r="B2534" s="13">
        <v>8650</v>
      </c>
      <c r="C2534" s="13"/>
      <c r="D2534" s="14">
        <v>18975</v>
      </c>
      <c r="E2534" s="14">
        <f t="shared" si="75"/>
        <v>17850</v>
      </c>
      <c r="F2534" s="14">
        <v>45475</v>
      </c>
      <c r="G2534" s="14"/>
      <c r="H2534" s="14"/>
      <c r="I2534" s="14"/>
      <c r="J2534" s="264"/>
      <c r="K2534" s="25">
        <v>2532</v>
      </c>
      <c r="L2534" s="15">
        <v>2532</v>
      </c>
      <c r="M2534" s="271">
        <f t="shared" si="83"/>
        <v>0</v>
      </c>
      <c r="N2534" s="20">
        <f>AVERAGE(K2514:K2534)</f>
        <v>2596.0277777777778</v>
      </c>
      <c r="O2534" s="286">
        <f>AVERAGE(K2277:K2534)</f>
        <v>2594.9642857142858</v>
      </c>
      <c r="P2534" s="372"/>
      <c r="Q2534" s="1040" t="s">
        <v>10</v>
      </c>
      <c r="R2534" s="1041"/>
      <c r="S2534" s="1041"/>
      <c r="T2534" s="1041"/>
      <c r="U2534" s="1041"/>
      <c r="V2534" s="46">
        <f>AVERAGE(P2514:P2533)</f>
        <v>19781.25</v>
      </c>
      <c r="W2534" s="741" t="e">
        <f t="shared" si="81"/>
        <v>#VALUE!</v>
      </c>
      <c r="X2534" s="47"/>
    </row>
    <row r="2535" spans="1:24" ht="15" customHeight="1">
      <c r="A2535" s="3">
        <v>39449</v>
      </c>
      <c r="B2535" s="4">
        <v>8600</v>
      </c>
      <c r="D2535" s="5">
        <v>18975</v>
      </c>
      <c r="E2535" s="5">
        <f t="shared" si="75"/>
        <v>17775</v>
      </c>
      <c r="F2535" s="5">
        <v>45350</v>
      </c>
      <c r="K2535" s="24">
        <v>2580</v>
      </c>
      <c r="L2535" s="6">
        <v>2580</v>
      </c>
      <c r="M2535" s="270">
        <f t="shared" si="83"/>
        <v>0</v>
      </c>
      <c r="N2535" s="21"/>
      <c r="O2535" s="284">
        <f>AVERAGE(K2535:K2795)</f>
        <v>2084.7637795275591</v>
      </c>
      <c r="P2535" s="345">
        <v>19300</v>
      </c>
      <c r="Q2535" s="28">
        <v>0.13689999999999999</v>
      </c>
      <c r="U2535" s="29">
        <v>0.1</v>
      </c>
      <c r="W2535" s="741">
        <f t="shared" si="81"/>
        <v>2906.3870000000002</v>
      </c>
    </row>
    <row r="2536" spans="1:24" ht="15" customHeight="1">
      <c r="A2536" s="3">
        <v>39450</v>
      </c>
      <c r="B2536" s="4">
        <v>10000</v>
      </c>
      <c r="D2536" s="5">
        <v>18975</v>
      </c>
      <c r="E2536" s="5">
        <f t="shared" si="75"/>
        <v>17775</v>
      </c>
      <c r="F2536" s="5">
        <v>46750</v>
      </c>
      <c r="K2536" s="24">
        <v>2593</v>
      </c>
      <c r="L2536" s="6">
        <v>2601</v>
      </c>
      <c r="M2536" s="270">
        <f t="shared" si="83"/>
        <v>8</v>
      </c>
      <c r="N2536" s="19"/>
      <c r="O2536" s="280"/>
      <c r="P2536" s="345">
        <v>19200</v>
      </c>
      <c r="Q2536" s="28">
        <v>0.13689999999999999</v>
      </c>
      <c r="U2536" s="29">
        <v>0.1</v>
      </c>
      <c r="W2536" s="741">
        <f t="shared" si="81"/>
        <v>2891.3280000000004</v>
      </c>
    </row>
    <row r="2537" spans="1:24" ht="15" customHeight="1">
      <c r="A2537" s="3">
        <v>39451</v>
      </c>
      <c r="B2537" s="4">
        <v>10175</v>
      </c>
      <c r="D2537" s="5">
        <v>18900</v>
      </c>
      <c r="E2537" s="5">
        <f t="shared" si="75"/>
        <v>17775</v>
      </c>
      <c r="F2537" s="5">
        <v>46850</v>
      </c>
      <c r="K2537" s="24">
        <v>2665</v>
      </c>
      <c r="L2537" s="6">
        <v>2670</v>
      </c>
      <c r="M2537" s="270">
        <f t="shared" si="83"/>
        <v>5</v>
      </c>
      <c r="N2537" s="19"/>
      <c r="O2537" s="280"/>
      <c r="P2537" s="345">
        <v>19400</v>
      </c>
      <c r="Q2537" s="28">
        <v>0.13750000000000001</v>
      </c>
      <c r="U2537" s="29">
        <v>0.1</v>
      </c>
      <c r="W2537" s="741">
        <f t="shared" si="81"/>
        <v>2934.2500000000005</v>
      </c>
    </row>
    <row r="2538" spans="1:24" ht="15" customHeight="1">
      <c r="A2538" s="3">
        <v>39454</v>
      </c>
      <c r="B2538" s="4">
        <v>10125</v>
      </c>
      <c r="D2538" s="5">
        <v>19325</v>
      </c>
      <c r="E2538" s="5">
        <f t="shared" si="75"/>
        <v>19450</v>
      </c>
      <c r="F2538" s="5">
        <v>48900</v>
      </c>
      <c r="K2538" s="24">
        <v>2601</v>
      </c>
      <c r="L2538" s="6">
        <v>2611</v>
      </c>
      <c r="M2538" s="270">
        <f t="shared" si="83"/>
        <v>10</v>
      </c>
      <c r="N2538" s="19"/>
      <c r="O2538" s="280"/>
      <c r="P2538" s="345">
        <v>19300</v>
      </c>
      <c r="Q2538" s="28">
        <v>0.13750000000000001</v>
      </c>
      <c r="U2538" s="29">
        <v>0.1</v>
      </c>
      <c r="W2538" s="741">
        <f t="shared" si="81"/>
        <v>2919.1250000000005</v>
      </c>
    </row>
    <row r="2539" spans="1:24" ht="15" customHeight="1">
      <c r="A2539" s="3">
        <v>39455</v>
      </c>
      <c r="B2539" s="4">
        <v>10625</v>
      </c>
      <c r="D2539" s="5">
        <v>19150</v>
      </c>
      <c r="E2539" s="5">
        <f t="shared" si="75"/>
        <v>19425</v>
      </c>
      <c r="F2539" s="5">
        <v>49200</v>
      </c>
      <c r="K2539" s="24">
        <v>2580.5</v>
      </c>
      <c r="L2539" s="6">
        <v>2600</v>
      </c>
      <c r="M2539" s="270">
        <f t="shared" si="83"/>
        <v>19.5</v>
      </c>
      <c r="N2539" s="19"/>
      <c r="O2539" s="280"/>
      <c r="P2539" s="345">
        <v>19450</v>
      </c>
      <c r="Q2539" s="28">
        <v>0.1376</v>
      </c>
      <c r="U2539" s="29">
        <v>0.1</v>
      </c>
      <c r="W2539" s="741">
        <f t="shared" si="81"/>
        <v>2943.9520000000002</v>
      </c>
    </row>
    <row r="2540" spans="1:24" ht="15" customHeight="1">
      <c r="A2540" s="3">
        <v>39456</v>
      </c>
      <c r="B2540" s="4">
        <v>10625</v>
      </c>
      <c r="D2540" s="5">
        <v>19275</v>
      </c>
      <c r="E2540" s="5">
        <f t="shared" si="75"/>
        <v>19400</v>
      </c>
      <c r="F2540" s="5">
        <v>49300</v>
      </c>
      <c r="K2540" s="24">
        <v>2630</v>
      </c>
      <c r="L2540" s="6">
        <v>2620.5</v>
      </c>
      <c r="M2540" s="270">
        <f t="shared" si="83"/>
        <v>-9.5</v>
      </c>
      <c r="N2540" s="19"/>
      <c r="O2540" s="280"/>
      <c r="P2540" s="345">
        <v>19500</v>
      </c>
      <c r="Q2540" s="28">
        <v>0.1376</v>
      </c>
      <c r="U2540" s="29">
        <v>0.1</v>
      </c>
      <c r="W2540" s="741">
        <f t="shared" si="81"/>
        <v>2951.52</v>
      </c>
    </row>
    <row r="2541" spans="1:24" ht="15" customHeight="1">
      <c r="A2541" s="3">
        <v>39457</v>
      </c>
      <c r="B2541" s="4">
        <v>10600</v>
      </c>
      <c r="D2541" s="5">
        <v>19325</v>
      </c>
      <c r="E2541" s="5">
        <f t="shared" si="75"/>
        <v>19400</v>
      </c>
      <c r="F2541" s="5">
        <v>49325</v>
      </c>
      <c r="K2541" s="24">
        <v>2525.5</v>
      </c>
      <c r="L2541" s="6">
        <v>2535.5</v>
      </c>
      <c r="M2541" s="270">
        <f t="shared" si="83"/>
        <v>10</v>
      </c>
      <c r="N2541" s="19"/>
      <c r="O2541" s="280"/>
      <c r="P2541" s="345">
        <v>19450</v>
      </c>
      <c r="Q2541" s="28">
        <v>0.13769999999999999</v>
      </c>
      <c r="U2541" s="29">
        <v>0.1</v>
      </c>
      <c r="W2541" s="741">
        <f t="shared" ref="W2541:W2604" si="84">(P2541*Q2541)*(1+U2541)</f>
        <v>2946.0915</v>
      </c>
    </row>
    <row r="2542" spans="1:24" ht="15" customHeight="1">
      <c r="A2542" s="3">
        <v>39458</v>
      </c>
      <c r="B2542" s="4">
        <v>10700</v>
      </c>
      <c r="D2542" s="5">
        <v>19150</v>
      </c>
      <c r="E2542" s="5">
        <f t="shared" si="75"/>
        <v>19400</v>
      </c>
      <c r="F2542" s="5">
        <v>49250</v>
      </c>
      <c r="K2542" s="24">
        <v>2551</v>
      </c>
      <c r="L2542" s="6">
        <v>2565</v>
      </c>
      <c r="M2542" s="270">
        <f t="shared" si="83"/>
        <v>14</v>
      </c>
      <c r="N2542" s="19"/>
      <c r="O2542" s="280"/>
      <c r="P2542" s="345">
        <v>19400</v>
      </c>
      <c r="Q2542" s="28">
        <v>0.13750000000000001</v>
      </c>
      <c r="U2542" s="29">
        <v>0.1</v>
      </c>
      <c r="W2542" s="741">
        <f t="shared" si="84"/>
        <v>2934.2500000000005</v>
      </c>
    </row>
    <row r="2543" spans="1:24" ht="15" customHeight="1">
      <c r="A2543" s="3">
        <v>39461</v>
      </c>
      <c r="B2543" s="4">
        <v>10675</v>
      </c>
      <c r="D2543" s="5">
        <v>18875</v>
      </c>
      <c r="E2543" s="5">
        <f t="shared" si="75"/>
        <v>19400</v>
      </c>
      <c r="F2543" s="5">
        <v>48950</v>
      </c>
      <c r="K2543" s="24">
        <v>2640</v>
      </c>
      <c r="L2543" s="6">
        <v>2661</v>
      </c>
      <c r="M2543" s="270">
        <f t="shared" si="83"/>
        <v>21</v>
      </c>
      <c r="N2543" s="19"/>
      <c r="O2543" s="280"/>
      <c r="P2543" s="345">
        <v>19500</v>
      </c>
      <c r="Q2543" s="28">
        <v>0.13769999999999999</v>
      </c>
      <c r="U2543" s="29">
        <v>0.1</v>
      </c>
      <c r="W2543" s="741">
        <f t="shared" si="84"/>
        <v>2953.665</v>
      </c>
    </row>
    <row r="2544" spans="1:24" ht="15" customHeight="1">
      <c r="A2544" s="3">
        <v>39462</v>
      </c>
      <c r="B2544" s="4">
        <v>11375</v>
      </c>
      <c r="D2544" s="5">
        <v>18500</v>
      </c>
      <c r="E2544" s="5">
        <f t="shared" si="75"/>
        <v>19450</v>
      </c>
      <c r="F2544" s="5">
        <v>49325</v>
      </c>
      <c r="K2544" s="24">
        <v>2680</v>
      </c>
      <c r="L2544" s="6">
        <v>2685.5</v>
      </c>
      <c r="M2544" s="270">
        <f t="shared" si="83"/>
        <v>5.5</v>
      </c>
      <c r="N2544" s="19"/>
      <c r="O2544" s="280"/>
      <c r="P2544" s="345">
        <v>19700</v>
      </c>
      <c r="Q2544" s="28">
        <v>0.13789999999999999</v>
      </c>
      <c r="U2544" s="29">
        <v>0.1</v>
      </c>
      <c r="W2544" s="741">
        <f t="shared" si="84"/>
        <v>2988.2930000000006</v>
      </c>
    </row>
    <row r="2545" spans="1:23" ht="15" customHeight="1">
      <c r="A2545" s="3">
        <v>39463</v>
      </c>
      <c r="B2545" s="4">
        <v>11375</v>
      </c>
      <c r="D2545" s="5">
        <v>18575</v>
      </c>
      <c r="E2545" s="5">
        <f t="shared" si="75"/>
        <v>19350</v>
      </c>
      <c r="F2545" s="5">
        <v>49300</v>
      </c>
      <c r="K2545" s="24">
        <v>2610</v>
      </c>
      <c r="L2545" s="6">
        <v>2611</v>
      </c>
      <c r="M2545" s="270">
        <f t="shared" si="83"/>
        <v>1</v>
      </c>
      <c r="N2545" s="19"/>
      <c r="O2545" s="280"/>
      <c r="P2545" s="345">
        <v>19800</v>
      </c>
      <c r="Q2545" s="28">
        <v>0.1381</v>
      </c>
      <c r="U2545" s="29">
        <v>0.1</v>
      </c>
      <c r="W2545" s="741">
        <f t="shared" si="84"/>
        <v>3007.8180000000002</v>
      </c>
    </row>
    <row r="2546" spans="1:23" ht="15" customHeight="1">
      <c r="A2546" s="3">
        <v>39464</v>
      </c>
      <c r="B2546" s="4">
        <v>11175</v>
      </c>
      <c r="D2546" s="5">
        <v>18175</v>
      </c>
      <c r="E2546" s="5">
        <f t="shared" si="75"/>
        <v>19300</v>
      </c>
      <c r="F2546" s="5">
        <v>48650</v>
      </c>
      <c r="K2546" s="24">
        <v>2610</v>
      </c>
      <c r="L2546" s="6">
        <v>2619.5</v>
      </c>
      <c r="M2546" s="270">
        <f t="shared" si="83"/>
        <v>9.5</v>
      </c>
      <c r="N2546" s="19"/>
      <c r="O2546" s="280"/>
      <c r="P2546" s="345">
        <v>19700</v>
      </c>
      <c r="Q2546" s="28">
        <v>0.13830000000000001</v>
      </c>
      <c r="U2546" s="29">
        <v>0.1</v>
      </c>
      <c r="W2546" s="741">
        <f t="shared" si="84"/>
        <v>2996.9610000000007</v>
      </c>
    </row>
    <row r="2547" spans="1:23" ht="15" customHeight="1">
      <c r="A2547" s="3">
        <v>39465</v>
      </c>
      <c r="B2547" s="4">
        <v>10850</v>
      </c>
      <c r="D2547" s="5">
        <v>17825</v>
      </c>
      <c r="E2547" s="5">
        <f t="shared" si="75"/>
        <v>19375</v>
      </c>
      <c r="F2547" s="5">
        <v>48050</v>
      </c>
      <c r="K2547" s="24">
        <v>2550</v>
      </c>
      <c r="L2547" s="6">
        <v>2540</v>
      </c>
      <c r="M2547" s="270">
        <f t="shared" si="83"/>
        <v>-10</v>
      </c>
      <c r="N2547" s="19"/>
      <c r="O2547" s="280"/>
      <c r="P2547" s="345">
        <v>19700</v>
      </c>
      <c r="Q2547" s="28">
        <v>0.13800000000000001</v>
      </c>
      <c r="U2547" s="29">
        <v>0.1</v>
      </c>
      <c r="W2547" s="741">
        <f t="shared" si="84"/>
        <v>2990.4600000000005</v>
      </c>
    </row>
    <row r="2548" spans="1:23" ht="15" customHeight="1">
      <c r="A2548" s="3">
        <v>39468</v>
      </c>
      <c r="B2548" s="4">
        <v>10850</v>
      </c>
      <c r="D2548" s="5">
        <v>17700</v>
      </c>
      <c r="E2548" s="5">
        <f t="shared" si="75"/>
        <v>19375</v>
      </c>
      <c r="F2548" s="5">
        <v>47925</v>
      </c>
      <c r="K2548" s="24">
        <v>2513.5</v>
      </c>
      <c r="L2548" s="6">
        <v>2516.5</v>
      </c>
      <c r="M2548" s="270">
        <f t="shared" si="83"/>
        <v>3</v>
      </c>
      <c r="N2548" s="19"/>
      <c r="O2548" s="280"/>
      <c r="P2548" s="345">
        <v>19900</v>
      </c>
      <c r="Q2548" s="28">
        <v>0.1381</v>
      </c>
      <c r="U2548" s="29">
        <v>0.1</v>
      </c>
      <c r="W2548" s="741">
        <f t="shared" si="84"/>
        <v>3023.0090000000005</v>
      </c>
    </row>
    <row r="2549" spans="1:23" ht="15" customHeight="1">
      <c r="A2549" s="3">
        <v>39469</v>
      </c>
      <c r="B2549" s="4">
        <v>11150</v>
      </c>
      <c r="D2549" s="5">
        <v>17520</v>
      </c>
      <c r="E2549" s="5">
        <f t="shared" si="75"/>
        <v>19430</v>
      </c>
      <c r="F2549" s="5">
        <v>48100</v>
      </c>
      <c r="K2549" s="24">
        <v>2480</v>
      </c>
      <c r="L2549" s="6">
        <v>2482</v>
      </c>
      <c r="M2549" s="270">
        <f t="shared" si="83"/>
        <v>2</v>
      </c>
      <c r="N2549" s="19"/>
      <c r="O2549" s="280"/>
      <c r="P2549" s="345">
        <v>20300</v>
      </c>
      <c r="Q2549" s="28">
        <v>0.1381</v>
      </c>
      <c r="U2549" s="29">
        <v>0.1</v>
      </c>
      <c r="W2549" s="741">
        <f t="shared" si="84"/>
        <v>3083.7730000000001</v>
      </c>
    </row>
    <row r="2550" spans="1:23" ht="15" customHeight="1">
      <c r="A2550" s="3">
        <v>39470</v>
      </c>
      <c r="B2550" s="4">
        <v>11150</v>
      </c>
      <c r="D2550" s="5">
        <v>17525</v>
      </c>
      <c r="E2550" s="5">
        <f t="shared" si="75"/>
        <v>19400</v>
      </c>
      <c r="F2550" s="5">
        <v>48075</v>
      </c>
      <c r="K2550" s="24">
        <v>2540.5</v>
      </c>
      <c r="L2550" s="6">
        <v>2555</v>
      </c>
      <c r="M2550" s="270">
        <f t="shared" si="83"/>
        <v>14.5</v>
      </c>
      <c r="N2550" s="19"/>
      <c r="O2550" s="280"/>
      <c r="P2550" s="345">
        <v>20600</v>
      </c>
      <c r="Q2550" s="28">
        <v>0.1381</v>
      </c>
      <c r="U2550" s="29">
        <v>0.1</v>
      </c>
      <c r="W2550" s="741">
        <f t="shared" si="84"/>
        <v>3129.3460000000005</v>
      </c>
    </row>
    <row r="2551" spans="1:23" ht="15" customHeight="1">
      <c r="A2551" s="3">
        <v>39471</v>
      </c>
      <c r="B2551" s="4">
        <v>11150</v>
      </c>
      <c r="D2551" s="5">
        <v>17275</v>
      </c>
      <c r="E2551" s="5">
        <f t="shared" si="75"/>
        <v>19475</v>
      </c>
      <c r="F2551" s="5">
        <v>47900</v>
      </c>
      <c r="K2551" s="24">
        <v>2579.5</v>
      </c>
      <c r="L2551" s="6">
        <v>2590</v>
      </c>
      <c r="M2551" s="270">
        <f t="shared" si="83"/>
        <v>10.5</v>
      </c>
      <c r="N2551" s="19"/>
      <c r="O2551" s="280"/>
      <c r="P2551" s="345">
        <v>20600</v>
      </c>
      <c r="Q2551" s="28">
        <v>0.13830000000000001</v>
      </c>
      <c r="U2551" s="29">
        <v>0.1</v>
      </c>
      <c r="W2551" s="741">
        <f t="shared" si="84"/>
        <v>3133.8780000000002</v>
      </c>
    </row>
    <row r="2552" spans="1:23" ht="15" customHeight="1">
      <c r="A2552" s="3">
        <v>39472</v>
      </c>
      <c r="B2552" s="4">
        <v>11150</v>
      </c>
      <c r="D2552" s="5">
        <v>17100</v>
      </c>
      <c r="E2552" s="5">
        <f t="shared" si="75"/>
        <v>19550</v>
      </c>
      <c r="F2552" s="5">
        <v>47800</v>
      </c>
      <c r="K2552" s="24">
        <v>2650.5</v>
      </c>
      <c r="L2552" s="6">
        <v>2670</v>
      </c>
      <c r="M2552" s="270">
        <f t="shared" si="83"/>
        <v>19.5</v>
      </c>
      <c r="N2552" s="19"/>
      <c r="O2552" s="280"/>
      <c r="P2552" s="345">
        <v>20750</v>
      </c>
      <c r="Q2552" s="28">
        <v>0.1384</v>
      </c>
      <c r="U2552" s="29">
        <v>0.1</v>
      </c>
      <c r="W2552" s="741">
        <f t="shared" si="84"/>
        <v>3158.98</v>
      </c>
    </row>
    <row r="2553" spans="1:23" ht="15" customHeight="1">
      <c r="A2553" s="3">
        <v>39475</v>
      </c>
      <c r="B2553" s="4">
        <v>10625</v>
      </c>
      <c r="D2553" s="5">
        <v>16975</v>
      </c>
      <c r="E2553" s="5">
        <f t="shared" si="75"/>
        <v>19475</v>
      </c>
      <c r="F2553" s="5">
        <v>47075</v>
      </c>
      <c r="K2553" s="24">
        <v>2586.5</v>
      </c>
      <c r="L2553" s="6">
        <v>2605</v>
      </c>
      <c r="M2553" s="270">
        <f t="shared" si="83"/>
        <v>18.5</v>
      </c>
      <c r="N2553" s="19"/>
      <c r="O2553" s="280"/>
      <c r="P2553" s="345">
        <v>20750</v>
      </c>
      <c r="Q2553" s="28">
        <v>0.13869999999999999</v>
      </c>
      <c r="U2553" s="29">
        <v>0.1</v>
      </c>
      <c r="W2553" s="741">
        <f t="shared" si="84"/>
        <v>3165.8274999999999</v>
      </c>
    </row>
    <row r="2554" spans="1:23" ht="15" customHeight="1">
      <c r="A2554" s="3">
        <v>39476</v>
      </c>
      <c r="B2554" s="4">
        <v>10575</v>
      </c>
      <c r="D2554" s="5">
        <v>16775</v>
      </c>
      <c r="E2554" s="5">
        <f t="shared" si="75"/>
        <v>21550</v>
      </c>
      <c r="F2554" s="5">
        <v>48900</v>
      </c>
      <c r="K2554" s="24">
        <v>2730</v>
      </c>
      <c r="L2554" s="6">
        <v>2740</v>
      </c>
      <c r="M2554" s="270">
        <f t="shared" si="83"/>
        <v>10</v>
      </c>
      <c r="N2554" s="19"/>
      <c r="O2554" s="280"/>
      <c r="P2554" s="345">
        <v>20950</v>
      </c>
      <c r="Q2554" s="28">
        <v>0.13900000000000001</v>
      </c>
      <c r="U2554" s="29">
        <v>0.1</v>
      </c>
      <c r="W2554" s="741">
        <f t="shared" si="84"/>
        <v>3203.2550000000006</v>
      </c>
    </row>
    <row r="2555" spans="1:23" ht="15" customHeight="1">
      <c r="A2555" s="3">
        <v>39477</v>
      </c>
      <c r="B2555" s="4">
        <v>10925</v>
      </c>
      <c r="D2555" s="5">
        <v>16575</v>
      </c>
      <c r="E2555" s="5">
        <f t="shared" si="75"/>
        <v>21600</v>
      </c>
      <c r="F2555" s="5">
        <v>49100</v>
      </c>
      <c r="K2555" s="24">
        <v>2741</v>
      </c>
      <c r="L2555" s="6">
        <v>2755</v>
      </c>
      <c r="M2555" s="270">
        <f t="shared" si="83"/>
        <v>14</v>
      </c>
      <c r="N2555" s="19"/>
      <c r="O2555" s="280"/>
      <c r="P2555" s="345">
        <v>21200</v>
      </c>
      <c r="Q2555" s="28">
        <v>0.13900000000000001</v>
      </c>
      <c r="U2555" s="29">
        <v>0.1</v>
      </c>
      <c r="W2555" s="741">
        <f t="shared" si="84"/>
        <v>3241.4800000000005</v>
      </c>
    </row>
    <row r="2556" spans="1:23" ht="15" customHeight="1" thickBot="1">
      <c r="A2556" s="12">
        <v>39478</v>
      </c>
      <c r="B2556" s="13">
        <v>10900</v>
      </c>
      <c r="C2556" s="13"/>
      <c r="D2556" s="14">
        <v>16225</v>
      </c>
      <c r="E2556" s="14">
        <f t="shared" si="75"/>
        <v>21575</v>
      </c>
      <c r="F2556" s="14">
        <v>48700</v>
      </c>
      <c r="G2556" s="14"/>
      <c r="H2556" s="14"/>
      <c r="I2556" s="14"/>
      <c r="J2556" s="264"/>
      <c r="K2556" s="25">
        <v>2741.5</v>
      </c>
      <c r="L2556" s="15">
        <v>2751</v>
      </c>
      <c r="M2556" s="271">
        <f t="shared" si="83"/>
        <v>9.5</v>
      </c>
      <c r="N2556" s="20">
        <f>AVERAGE(K2535:K2556)</f>
        <v>2608.1363636363635</v>
      </c>
      <c r="O2556" s="281">
        <f>AVERAGE(K2535:K2556)</f>
        <v>2608.1363636363635</v>
      </c>
      <c r="P2556" s="346">
        <v>21600</v>
      </c>
      <c r="Q2556" s="30">
        <v>0.1391</v>
      </c>
      <c r="R2556" s="30"/>
      <c r="S2556" s="30"/>
      <c r="T2556" s="30"/>
      <c r="U2556" s="31">
        <v>0.1</v>
      </c>
      <c r="V2556" s="46">
        <f>AVERAGE(P2535:P2556)</f>
        <v>20002.272727272728</v>
      </c>
      <c r="W2556" s="741">
        <f t="shared" si="84"/>
        <v>3305.0160000000001</v>
      </c>
    </row>
    <row r="2557" spans="1:23" ht="15" customHeight="1">
      <c r="A2557" s="3">
        <v>39479</v>
      </c>
      <c r="B2557" s="4">
        <v>10900</v>
      </c>
      <c r="D2557" s="5">
        <v>16100</v>
      </c>
      <c r="E2557" s="5">
        <f t="shared" si="75"/>
        <v>21525</v>
      </c>
      <c r="F2557" s="5">
        <v>48525</v>
      </c>
      <c r="K2557" s="24">
        <v>2845</v>
      </c>
      <c r="L2557" s="6">
        <v>2855</v>
      </c>
      <c r="M2557" s="270">
        <f t="shared" si="83"/>
        <v>10</v>
      </c>
      <c r="N2557" s="21"/>
      <c r="O2557" s="283"/>
      <c r="P2557" s="348">
        <v>21900</v>
      </c>
      <c r="Q2557" s="41">
        <v>0.13919999999999999</v>
      </c>
      <c r="U2557" s="29">
        <v>0.1</v>
      </c>
      <c r="W2557" s="741">
        <f t="shared" si="84"/>
        <v>3353.328</v>
      </c>
    </row>
    <row r="2558" spans="1:23" ht="15" customHeight="1">
      <c r="A2558" s="3">
        <v>39482</v>
      </c>
      <c r="B2558" s="4">
        <v>10900</v>
      </c>
      <c r="D2558" s="5">
        <v>16275</v>
      </c>
      <c r="E2558" s="5">
        <f t="shared" si="75"/>
        <v>21525</v>
      </c>
      <c r="F2558" s="5">
        <v>48700</v>
      </c>
      <c r="K2558" s="24">
        <v>2865</v>
      </c>
      <c r="L2558" s="6">
        <v>2851</v>
      </c>
      <c r="M2558" s="270">
        <f t="shared" si="83"/>
        <v>-14</v>
      </c>
      <c r="N2558" s="19"/>
      <c r="O2558" s="280"/>
      <c r="P2558" s="345">
        <v>22200</v>
      </c>
      <c r="Q2558" s="28">
        <v>0.13919999999999999</v>
      </c>
      <c r="U2558" s="29">
        <v>0.1</v>
      </c>
      <c r="W2558" s="741">
        <f t="shared" si="84"/>
        <v>3399.2640000000001</v>
      </c>
    </row>
    <row r="2559" spans="1:23" ht="15" customHeight="1">
      <c r="A2559" s="3">
        <v>39483</v>
      </c>
      <c r="B2559" s="4">
        <v>11200</v>
      </c>
      <c r="D2559" s="5">
        <v>16350</v>
      </c>
      <c r="E2559" s="5">
        <f t="shared" si="75"/>
        <v>21525</v>
      </c>
      <c r="F2559" s="5">
        <v>49075</v>
      </c>
      <c r="K2559" s="24">
        <v>2770</v>
      </c>
      <c r="L2559" s="6">
        <v>2770</v>
      </c>
      <c r="M2559" s="270">
        <f t="shared" si="83"/>
        <v>0</v>
      </c>
      <c r="N2559" s="19"/>
      <c r="O2559" s="280"/>
      <c r="P2559" s="364"/>
      <c r="Q2559" s="996" t="s">
        <v>10</v>
      </c>
      <c r="R2559" s="996"/>
      <c r="S2559" s="996"/>
      <c r="T2559" s="996"/>
      <c r="U2559" s="996"/>
      <c r="V2559" s="364"/>
      <c r="W2559" s="741" t="e">
        <f t="shared" si="84"/>
        <v>#VALUE!</v>
      </c>
    </row>
    <row r="2560" spans="1:23" ht="15" customHeight="1">
      <c r="A2560" s="3">
        <v>39484</v>
      </c>
      <c r="B2560" s="4">
        <v>11200</v>
      </c>
      <c r="D2560" s="5">
        <v>16275</v>
      </c>
      <c r="E2560" s="5">
        <f t="shared" si="75"/>
        <v>21525</v>
      </c>
      <c r="F2560" s="5">
        <v>49000</v>
      </c>
      <c r="K2560" s="24">
        <v>2800</v>
      </c>
      <c r="L2560" s="6">
        <v>2796</v>
      </c>
      <c r="M2560" s="270">
        <f t="shared" si="83"/>
        <v>-4</v>
      </c>
      <c r="N2560" s="19"/>
      <c r="O2560" s="280"/>
      <c r="P2560" s="364"/>
      <c r="Q2560" s="996"/>
      <c r="R2560" s="996"/>
      <c r="S2560" s="996"/>
      <c r="T2560" s="996"/>
      <c r="U2560" s="996"/>
      <c r="V2560" s="364"/>
      <c r="W2560" s="741">
        <f t="shared" si="84"/>
        <v>0</v>
      </c>
    </row>
    <row r="2561" spans="1:23" ht="15" customHeight="1">
      <c r="A2561" s="3">
        <v>39485</v>
      </c>
      <c r="B2561" s="4">
        <v>11200</v>
      </c>
      <c r="D2561" s="5">
        <v>16275</v>
      </c>
      <c r="E2561" s="5">
        <f t="shared" si="75"/>
        <v>21525</v>
      </c>
      <c r="F2561" s="5">
        <v>49000</v>
      </c>
      <c r="K2561" s="24">
        <v>2786</v>
      </c>
      <c r="L2561" s="6">
        <v>2775.5</v>
      </c>
      <c r="M2561" s="270">
        <f t="shared" si="83"/>
        <v>-10.5</v>
      </c>
      <c r="N2561" s="19"/>
      <c r="O2561" s="280"/>
      <c r="P2561" s="364"/>
      <c r="Q2561" s="996"/>
      <c r="R2561" s="996"/>
      <c r="S2561" s="996"/>
      <c r="T2561" s="996"/>
      <c r="U2561" s="996"/>
      <c r="V2561" s="364"/>
      <c r="W2561" s="741">
        <f t="shared" si="84"/>
        <v>0</v>
      </c>
    </row>
    <row r="2562" spans="1:23" ht="15" customHeight="1">
      <c r="A2562" s="3">
        <v>39486</v>
      </c>
      <c r="B2562" s="4">
        <v>11200</v>
      </c>
      <c r="D2562" s="5">
        <v>16275</v>
      </c>
      <c r="E2562" s="5">
        <f t="shared" si="75"/>
        <v>21525</v>
      </c>
      <c r="F2562" s="5">
        <v>49000</v>
      </c>
      <c r="K2562" s="24">
        <v>2880</v>
      </c>
      <c r="L2562" s="6">
        <v>2885</v>
      </c>
      <c r="M2562" s="270">
        <f t="shared" si="83"/>
        <v>5</v>
      </c>
      <c r="N2562" s="19"/>
      <c r="O2562" s="280"/>
      <c r="P2562" s="364"/>
      <c r="Q2562" s="996"/>
      <c r="R2562" s="996"/>
      <c r="S2562" s="996"/>
      <c r="T2562" s="996"/>
      <c r="U2562" s="996"/>
      <c r="V2562" s="364"/>
      <c r="W2562" s="741">
        <f t="shared" si="84"/>
        <v>0</v>
      </c>
    </row>
    <row r="2563" spans="1:23" ht="15" customHeight="1">
      <c r="A2563" s="3">
        <v>39489</v>
      </c>
      <c r="B2563" s="4">
        <v>11200</v>
      </c>
      <c r="D2563" s="5">
        <v>16225</v>
      </c>
      <c r="E2563" s="5">
        <f t="shared" si="75"/>
        <v>21625</v>
      </c>
      <c r="F2563" s="5">
        <v>49050</v>
      </c>
      <c r="K2563" s="24">
        <v>3012</v>
      </c>
      <c r="L2563" s="6">
        <v>3005</v>
      </c>
      <c r="M2563" s="270">
        <f t="shared" si="83"/>
        <v>-7</v>
      </c>
      <c r="N2563" s="19"/>
      <c r="O2563" s="280"/>
      <c r="P2563" s="364"/>
      <c r="Q2563" s="996"/>
      <c r="R2563" s="996"/>
      <c r="S2563" s="996"/>
      <c r="T2563" s="996"/>
      <c r="U2563" s="996"/>
      <c r="V2563" s="364"/>
      <c r="W2563" s="741">
        <f t="shared" si="84"/>
        <v>0</v>
      </c>
    </row>
    <row r="2564" spans="1:23" ht="15" customHeight="1">
      <c r="A2564" s="3">
        <v>39490</v>
      </c>
      <c r="B2564" s="4">
        <v>10975</v>
      </c>
      <c r="D2564" s="5">
        <v>16050</v>
      </c>
      <c r="E2564" s="5">
        <f t="shared" si="75"/>
        <v>21625</v>
      </c>
      <c r="F2564" s="5">
        <v>48650</v>
      </c>
      <c r="K2564" s="24">
        <v>3032</v>
      </c>
      <c r="L2564" s="6">
        <v>3021.5</v>
      </c>
      <c r="M2564" s="270">
        <f t="shared" si="83"/>
        <v>-10.5</v>
      </c>
      <c r="N2564" s="19"/>
      <c r="O2564" s="280"/>
      <c r="P2564" s="364"/>
      <c r="Q2564" s="996"/>
      <c r="R2564" s="996"/>
      <c r="S2564" s="996"/>
      <c r="T2564" s="996"/>
      <c r="U2564" s="996"/>
      <c r="V2564" s="364"/>
      <c r="W2564" s="741">
        <f t="shared" si="84"/>
        <v>0</v>
      </c>
    </row>
    <row r="2565" spans="1:23" ht="15" customHeight="1">
      <c r="A2565" s="3">
        <v>39491</v>
      </c>
      <c r="B2565" s="4">
        <v>10475</v>
      </c>
      <c r="D2565" s="5">
        <v>15625</v>
      </c>
      <c r="E2565" s="5">
        <f t="shared" si="75"/>
        <v>21700</v>
      </c>
      <c r="F2565" s="5">
        <v>47800</v>
      </c>
      <c r="K2565" s="24">
        <v>3020</v>
      </c>
      <c r="L2565" s="6">
        <v>3020</v>
      </c>
      <c r="M2565" s="270">
        <f t="shared" si="83"/>
        <v>0</v>
      </c>
      <c r="N2565" s="19"/>
      <c r="O2565" s="280"/>
      <c r="P2565" s="345">
        <v>22900</v>
      </c>
      <c r="Q2565" s="28">
        <v>0.1391</v>
      </c>
      <c r="U2565" s="29">
        <v>0.1</v>
      </c>
      <c r="W2565" s="741">
        <f t="shared" si="84"/>
        <v>3503.9290000000001</v>
      </c>
    </row>
    <row r="2566" spans="1:23" ht="15" customHeight="1">
      <c r="A2566" s="3">
        <v>39492</v>
      </c>
      <c r="B2566" s="4">
        <v>10450</v>
      </c>
      <c r="D2566" s="5">
        <v>15375</v>
      </c>
      <c r="E2566" s="5">
        <f t="shared" si="75"/>
        <v>21850</v>
      </c>
      <c r="F2566" s="5">
        <v>47675</v>
      </c>
      <c r="K2566" s="24">
        <v>3071</v>
      </c>
      <c r="L2566" s="6">
        <v>3061</v>
      </c>
      <c r="M2566" s="270">
        <f t="shared" si="83"/>
        <v>-10</v>
      </c>
      <c r="N2566" s="19"/>
      <c r="O2566" s="280"/>
      <c r="P2566" s="345">
        <v>23100</v>
      </c>
      <c r="Q2566" s="28">
        <v>0.1389</v>
      </c>
      <c r="U2566" s="29">
        <v>0.1</v>
      </c>
      <c r="W2566" s="741">
        <f t="shared" si="84"/>
        <v>3529.4490000000001</v>
      </c>
    </row>
    <row r="2567" spans="1:23" ht="15" customHeight="1">
      <c r="A2567" s="3">
        <v>39493</v>
      </c>
      <c r="B2567" s="4">
        <v>9950</v>
      </c>
      <c r="D2567" s="5">
        <v>15250</v>
      </c>
      <c r="E2567" s="5">
        <f t="shared" si="75"/>
        <v>21925</v>
      </c>
      <c r="F2567" s="5">
        <v>47125</v>
      </c>
      <c r="K2567" s="24">
        <v>3045</v>
      </c>
      <c r="L2567" s="6">
        <v>3032</v>
      </c>
      <c r="M2567" s="270">
        <f t="shared" si="83"/>
        <v>-13</v>
      </c>
      <c r="N2567" s="19"/>
      <c r="O2567" s="280"/>
      <c r="P2567" s="345">
        <v>23000</v>
      </c>
      <c r="Q2567" s="28">
        <v>0.1391</v>
      </c>
      <c r="U2567" s="29">
        <v>0.1</v>
      </c>
      <c r="W2567" s="741">
        <f t="shared" si="84"/>
        <v>3519.2300000000005</v>
      </c>
    </row>
    <row r="2568" spans="1:23" ht="15" customHeight="1">
      <c r="A2568" s="3">
        <v>39496</v>
      </c>
      <c r="B2568" s="4">
        <v>9950</v>
      </c>
      <c r="D2568" s="5">
        <v>14925</v>
      </c>
      <c r="E2568" s="5">
        <f t="shared" si="75"/>
        <v>21975</v>
      </c>
      <c r="F2568" s="5">
        <v>46850</v>
      </c>
      <c r="K2568" s="24">
        <v>3020</v>
      </c>
      <c r="L2568" s="6">
        <v>3010.5</v>
      </c>
      <c r="M2568" s="270">
        <f t="shared" si="83"/>
        <v>-9.5</v>
      </c>
      <c r="N2568" s="19"/>
      <c r="O2568" s="280"/>
      <c r="P2568" s="345">
        <v>22900</v>
      </c>
      <c r="Q2568" s="28">
        <v>0.13930000000000001</v>
      </c>
      <c r="U2568" s="29">
        <v>0.1</v>
      </c>
      <c r="W2568" s="741">
        <f t="shared" si="84"/>
        <v>3508.9670000000006</v>
      </c>
    </row>
    <row r="2569" spans="1:23" ht="15" customHeight="1">
      <c r="A2569" s="3">
        <v>39497</v>
      </c>
      <c r="B2569" s="4">
        <v>9625</v>
      </c>
      <c r="D2569" s="5">
        <v>14650</v>
      </c>
      <c r="E2569" s="5">
        <f t="shared" si="75"/>
        <v>22050</v>
      </c>
      <c r="F2569" s="5">
        <v>46325</v>
      </c>
      <c r="K2569" s="24">
        <v>3110</v>
      </c>
      <c r="L2569" s="6">
        <v>3091</v>
      </c>
      <c r="M2569" s="270">
        <f t="shared" si="83"/>
        <v>-19</v>
      </c>
      <c r="N2569" s="19"/>
      <c r="O2569" s="280"/>
      <c r="P2569" s="345">
        <v>22900</v>
      </c>
      <c r="Q2569" s="28">
        <v>0.1396</v>
      </c>
      <c r="U2569" s="29">
        <v>0.1</v>
      </c>
      <c r="W2569" s="741">
        <f t="shared" si="84"/>
        <v>3516.5240000000003</v>
      </c>
    </row>
    <row r="2570" spans="1:23" ht="15" customHeight="1">
      <c r="A2570" s="3">
        <v>39498</v>
      </c>
      <c r="B2570" s="4">
        <v>9625</v>
      </c>
      <c r="D2570" s="5">
        <v>14650</v>
      </c>
      <c r="E2570" s="5">
        <f t="shared" si="75"/>
        <v>22100</v>
      </c>
      <c r="F2570" s="5">
        <v>46375</v>
      </c>
      <c r="K2570" s="24">
        <v>3170</v>
      </c>
      <c r="L2570" s="6">
        <v>3141</v>
      </c>
      <c r="M2570" s="270">
        <f t="shared" si="83"/>
        <v>-29</v>
      </c>
      <c r="N2570" s="19"/>
      <c r="O2570" s="280"/>
      <c r="P2570" s="345">
        <v>22700</v>
      </c>
      <c r="Q2570" s="28">
        <v>0.1399</v>
      </c>
      <c r="U2570" s="29">
        <v>0.1</v>
      </c>
      <c r="W2570" s="741">
        <f t="shared" si="84"/>
        <v>3493.3030000000003</v>
      </c>
    </row>
    <row r="2571" spans="1:23" ht="15" customHeight="1">
      <c r="A2571" s="3">
        <v>39499</v>
      </c>
      <c r="B2571" s="4">
        <v>9075</v>
      </c>
      <c r="D2571" s="5">
        <v>14450</v>
      </c>
      <c r="E2571" s="5">
        <f t="shared" si="75"/>
        <v>22300</v>
      </c>
      <c r="F2571" s="5">
        <v>45825</v>
      </c>
      <c r="K2571" s="24">
        <v>3315</v>
      </c>
      <c r="L2571" s="6">
        <v>3286</v>
      </c>
      <c r="M2571" s="270">
        <f t="shared" si="83"/>
        <v>-29</v>
      </c>
      <c r="N2571" s="19"/>
      <c r="O2571" s="280"/>
      <c r="P2571" s="345">
        <v>22800</v>
      </c>
      <c r="Q2571" s="28">
        <v>0.14000000000000001</v>
      </c>
      <c r="U2571" s="29">
        <v>0.1</v>
      </c>
      <c r="W2571" s="741">
        <f t="shared" si="84"/>
        <v>3511.2000000000007</v>
      </c>
    </row>
    <row r="2572" spans="1:23" ht="15" customHeight="1">
      <c r="A2572" s="3">
        <v>39500</v>
      </c>
      <c r="B2572" s="4">
        <v>7975</v>
      </c>
      <c r="D2572" s="5">
        <v>14450</v>
      </c>
      <c r="E2572" s="5">
        <f t="shared" si="75"/>
        <v>22450</v>
      </c>
      <c r="F2572" s="5">
        <v>44875</v>
      </c>
      <c r="K2572" s="24">
        <v>3284</v>
      </c>
      <c r="L2572" s="6">
        <v>3265</v>
      </c>
      <c r="M2572" s="270">
        <f t="shared" si="83"/>
        <v>-19</v>
      </c>
      <c r="N2572" s="19"/>
      <c r="O2572" s="280"/>
      <c r="P2572" s="345">
        <v>23000</v>
      </c>
      <c r="Q2572" s="28">
        <v>0.14000000000000001</v>
      </c>
      <c r="U2572" s="29">
        <v>0.1</v>
      </c>
      <c r="W2572" s="741">
        <f t="shared" si="84"/>
        <v>3542.0000000000009</v>
      </c>
    </row>
    <row r="2573" spans="1:23" ht="15" customHeight="1">
      <c r="A2573" s="3">
        <v>39503</v>
      </c>
      <c r="B2573" s="4">
        <v>7825</v>
      </c>
      <c r="D2573" s="5">
        <v>14625</v>
      </c>
      <c r="E2573" s="5">
        <f t="shared" si="75"/>
        <v>22500</v>
      </c>
      <c r="F2573" s="5">
        <v>44950</v>
      </c>
      <c r="K2573" s="24">
        <v>3266</v>
      </c>
      <c r="L2573" s="6">
        <v>3260</v>
      </c>
      <c r="M2573" s="270">
        <f t="shared" si="83"/>
        <v>-6</v>
      </c>
      <c r="N2573" s="19"/>
      <c r="O2573" s="280"/>
      <c r="P2573" s="345">
        <v>23000</v>
      </c>
      <c r="Q2573" s="28">
        <v>0.14000000000000001</v>
      </c>
      <c r="U2573" s="29">
        <v>0.1</v>
      </c>
      <c r="W2573" s="741">
        <f t="shared" si="84"/>
        <v>3542.0000000000009</v>
      </c>
    </row>
    <row r="2574" spans="1:23" ht="15" customHeight="1">
      <c r="A2574" s="3">
        <v>39504</v>
      </c>
      <c r="B2574" s="4">
        <v>7825</v>
      </c>
      <c r="D2574" s="5">
        <v>14875</v>
      </c>
      <c r="E2574" s="5">
        <f t="shared" si="75"/>
        <v>22500</v>
      </c>
      <c r="F2574" s="5">
        <v>45200</v>
      </c>
      <c r="K2574" s="24">
        <v>3253.5</v>
      </c>
      <c r="L2574" s="6">
        <v>3241</v>
      </c>
      <c r="M2574" s="270">
        <f t="shared" si="83"/>
        <v>-12.5</v>
      </c>
      <c r="N2574" s="19"/>
      <c r="O2574" s="280"/>
      <c r="P2574" s="345">
        <v>22950</v>
      </c>
      <c r="Q2574" s="28">
        <v>0.13980000000000001</v>
      </c>
      <c r="U2574" s="29">
        <v>0.1</v>
      </c>
      <c r="W2574" s="741">
        <f t="shared" si="84"/>
        <v>3529.2510000000007</v>
      </c>
    </row>
    <row r="2575" spans="1:23" ht="15" customHeight="1">
      <c r="A2575" s="3">
        <v>39505</v>
      </c>
      <c r="B2575" s="4">
        <v>7825</v>
      </c>
      <c r="D2575" s="5">
        <v>14900</v>
      </c>
      <c r="E2575" s="5">
        <f t="shared" si="75"/>
        <v>22650</v>
      </c>
      <c r="F2575" s="5">
        <v>45375</v>
      </c>
      <c r="K2575" s="24">
        <v>3400</v>
      </c>
      <c r="L2575" s="6">
        <v>3379</v>
      </c>
      <c r="M2575" s="270">
        <f t="shared" si="83"/>
        <v>-21</v>
      </c>
      <c r="N2575" s="19"/>
      <c r="O2575" s="280"/>
      <c r="P2575" s="345">
        <v>22850</v>
      </c>
      <c r="Q2575" s="28">
        <v>0.13969999999999999</v>
      </c>
      <c r="U2575" s="29">
        <v>0.1</v>
      </c>
      <c r="W2575" s="741">
        <f t="shared" si="84"/>
        <v>3511.3595000000005</v>
      </c>
    </row>
    <row r="2576" spans="1:23" ht="15" customHeight="1">
      <c r="A2576" s="3">
        <v>39506</v>
      </c>
      <c r="B2576" s="4">
        <v>7825</v>
      </c>
      <c r="D2576" s="5">
        <v>14925</v>
      </c>
      <c r="E2576" s="5">
        <f t="shared" si="75"/>
        <v>22850</v>
      </c>
      <c r="F2576" s="5">
        <v>45600</v>
      </c>
      <c r="K2576" s="24">
        <v>3339</v>
      </c>
      <c r="L2576" s="6">
        <v>3325</v>
      </c>
      <c r="M2576" s="270">
        <f t="shared" si="83"/>
        <v>-14</v>
      </c>
      <c r="N2576" s="19"/>
      <c r="O2576" s="280"/>
      <c r="P2576" s="345">
        <v>22950</v>
      </c>
      <c r="Q2576" s="28">
        <v>0.14000000000000001</v>
      </c>
      <c r="U2576" s="29">
        <v>0.1</v>
      </c>
      <c r="W2576" s="741">
        <f t="shared" si="84"/>
        <v>3534.3000000000006</v>
      </c>
    </row>
    <row r="2577" spans="1:23" ht="15" customHeight="1" thickBot="1">
      <c r="A2577" s="12">
        <v>39507</v>
      </c>
      <c r="B2577" s="13">
        <v>7825</v>
      </c>
      <c r="C2577" s="13"/>
      <c r="D2577" s="14">
        <v>14925</v>
      </c>
      <c r="E2577" s="14">
        <f t="shared" si="75"/>
        <v>23000</v>
      </c>
      <c r="F2577" s="14">
        <v>45750</v>
      </c>
      <c r="G2577" s="14"/>
      <c r="H2577" s="14"/>
      <c r="I2577" s="14"/>
      <c r="J2577" s="264"/>
      <c r="K2577" s="25">
        <v>3394</v>
      </c>
      <c r="L2577" s="15">
        <v>3381</v>
      </c>
      <c r="M2577" s="271">
        <f t="shared" si="83"/>
        <v>-13</v>
      </c>
      <c r="N2577" s="20">
        <f>AVERAGE(K2557:K2577)</f>
        <v>3079.8809523809523</v>
      </c>
      <c r="O2577" s="281">
        <f>AVERAGE(K2535:K2577)</f>
        <v>2838.5232558139537</v>
      </c>
      <c r="P2577" s="346">
        <v>22950</v>
      </c>
      <c r="Q2577" s="30">
        <v>0.1406</v>
      </c>
      <c r="R2577" s="30"/>
      <c r="S2577" s="30"/>
      <c r="T2577" s="30"/>
      <c r="U2577" s="31">
        <v>0.1</v>
      </c>
      <c r="V2577" s="46">
        <f>AVERAGE(P2557:P2577)</f>
        <v>22806.666666666668</v>
      </c>
      <c r="W2577" s="741">
        <f t="shared" si="84"/>
        <v>3549.4470000000001</v>
      </c>
    </row>
    <row r="2578" spans="1:23" ht="15" customHeight="1">
      <c r="A2578" s="3">
        <v>39510</v>
      </c>
      <c r="B2578" s="37">
        <v>7825</v>
      </c>
      <c r="C2578" s="37"/>
      <c r="D2578" s="38">
        <v>15000</v>
      </c>
      <c r="E2578" s="38">
        <f t="shared" si="75"/>
        <v>23000</v>
      </c>
      <c r="F2578" s="38">
        <v>45825</v>
      </c>
      <c r="G2578" s="38"/>
      <c r="H2578" s="38"/>
      <c r="I2578" s="38"/>
      <c r="J2578" s="268"/>
      <c r="K2578" s="39">
        <v>3390</v>
      </c>
      <c r="L2578" s="40">
        <v>3381</v>
      </c>
      <c r="M2578" s="270">
        <f t="shared" si="83"/>
        <v>-9</v>
      </c>
      <c r="N2578" s="21"/>
      <c r="O2578" s="283"/>
      <c r="P2578" s="345">
        <v>22800</v>
      </c>
      <c r="Q2578" s="28">
        <v>0.1406</v>
      </c>
      <c r="U2578" s="29">
        <v>0.1</v>
      </c>
      <c r="W2578" s="741">
        <f t="shared" si="84"/>
        <v>3526.248</v>
      </c>
    </row>
    <row r="2579" spans="1:23" ht="15" customHeight="1">
      <c r="A2579" s="3">
        <v>39511</v>
      </c>
      <c r="B2579" s="4">
        <v>7825</v>
      </c>
      <c r="D2579" s="5">
        <v>15250</v>
      </c>
      <c r="E2579" s="5">
        <f t="shared" si="75"/>
        <v>23000</v>
      </c>
      <c r="F2579" s="5">
        <v>46075</v>
      </c>
      <c r="K2579" s="24">
        <v>3460</v>
      </c>
      <c r="L2579" s="6">
        <v>3461</v>
      </c>
      <c r="M2579" s="270">
        <f t="shared" si="83"/>
        <v>1</v>
      </c>
      <c r="N2579" s="19"/>
      <c r="O2579" s="280"/>
      <c r="P2579" s="345">
        <v>22800</v>
      </c>
      <c r="Q2579" s="28">
        <v>0.14607000000000001</v>
      </c>
      <c r="U2579" s="29">
        <v>0.1</v>
      </c>
      <c r="W2579" s="741">
        <f t="shared" si="84"/>
        <v>3663.4356000000007</v>
      </c>
    </row>
    <row r="2580" spans="1:23" ht="15" customHeight="1">
      <c r="A2580" s="3">
        <v>39512</v>
      </c>
      <c r="B2580" s="4">
        <v>7825</v>
      </c>
      <c r="D2580" s="5">
        <v>15250</v>
      </c>
      <c r="E2580" s="5">
        <f t="shared" si="75"/>
        <v>23100</v>
      </c>
      <c r="F2580" s="5">
        <v>46175</v>
      </c>
      <c r="K2580" s="24">
        <v>3200</v>
      </c>
      <c r="L2580" s="6">
        <v>3195</v>
      </c>
      <c r="M2580" s="270">
        <f t="shared" si="83"/>
        <v>-5</v>
      </c>
      <c r="N2580" s="19"/>
      <c r="O2580" s="280"/>
      <c r="P2580" s="345">
        <v>22600</v>
      </c>
      <c r="Q2580" s="28">
        <v>0.13059999999999999</v>
      </c>
      <c r="U2580" s="29">
        <v>0.1</v>
      </c>
      <c r="W2580" s="741">
        <f t="shared" si="84"/>
        <v>3246.7160000000003</v>
      </c>
    </row>
    <row r="2581" spans="1:23" ht="15" customHeight="1">
      <c r="A2581" s="3">
        <v>39513</v>
      </c>
      <c r="B2581" s="4">
        <v>7800</v>
      </c>
      <c r="D2581" s="5">
        <v>15000</v>
      </c>
      <c r="E2581" s="5">
        <f t="shared" si="75"/>
        <v>23100</v>
      </c>
      <c r="F2581" s="5">
        <v>45900</v>
      </c>
      <c r="K2581" s="24">
        <v>3380</v>
      </c>
      <c r="L2581" s="6">
        <v>3373</v>
      </c>
      <c r="M2581" s="270">
        <f t="shared" si="83"/>
        <v>-7</v>
      </c>
      <c r="N2581" s="19"/>
      <c r="O2581" s="280"/>
      <c r="P2581" s="345">
        <v>22600</v>
      </c>
      <c r="Q2581" s="28">
        <v>0.1406</v>
      </c>
      <c r="U2581" s="29">
        <v>0.1</v>
      </c>
      <c r="W2581" s="741">
        <f t="shared" si="84"/>
        <v>3495.3160000000003</v>
      </c>
    </row>
    <row r="2582" spans="1:23" ht="15" customHeight="1">
      <c r="A2582" s="3">
        <v>39514</v>
      </c>
      <c r="B2582" s="4">
        <v>7800</v>
      </c>
      <c r="D2582" s="5">
        <v>14950</v>
      </c>
      <c r="E2582" s="5">
        <f t="shared" si="75"/>
        <v>23300</v>
      </c>
      <c r="F2582" s="5">
        <v>46050</v>
      </c>
      <c r="K2582" s="24">
        <v>3160</v>
      </c>
      <c r="L2582" s="6">
        <v>3140</v>
      </c>
      <c r="M2582" s="270">
        <f t="shared" si="83"/>
        <v>-20</v>
      </c>
      <c r="N2582" s="19"/>
      <c r="O2582" s="280"/>
      <c r="P2582" s="345">
        <v>22300</v>
      </c>
      <c r="Q2582" s="28">
        <v>0.14069999999999999</v>
      </c>
      <c r="U2582" s="29">
        <v>0.1</v>
      </c>
      <c r="W2582" s="741">
        <f t="shared" si="84"/>
        <v>3451.3710000000001</v>
      </c>
    </row>
    <row r="2583" spans="1:23" ht="15" customHeight="1">
      <c r="A2583" s="3">
        <v>39517</v>
      </c>
      <c r="B2583" s="4">
        <v>7775</v>
      </c>
      <c r="D2583" s="5">
        <v>14975</v>
      </c>
      <c r="E2583" s="5">
        <f t="shared" si="75"/>
        <v>23300</v>
      </c>
      <c r="F2583" s="5">
        <v>46050</v>
      </c>
      <c r="K2583" s="24">
        <v>3035</v>
      </c>
      <c r="L2583" s="6">
        <v>3015</v>
      </c>
      <c r="M2583" s="270">
        <f t="shared" si="83"/>
        <v>-20</v>
      </c>
      <c r="N2583" s="19"/>
      <c r="O2583" s="280"/>
      <c r="P2583" s="345">
        <v>22000</v>
      </c>
      <c r="Q2583" s="28">
        <v>0.1406</v>
      </c>
      <c r="U2583" s="29">
        <v>0.1</v>
      </c>
      <c r="W2583" s="741">
        <f t="shared" si="84"/>
        <v>3402.5200000000004</v>
      </c>
    </row>
    <row r="2584" spans="1:23" ht="15" customHeight="1">
      <c r="A2584" s="3">
        <v>39518</v>
      </c>
      <c r="B2584" s="4">
        <v>7775</v>
      </c>
      <c r="D2584" s="5">
        <v>15075</v>
      </c>
      <c r="E2584" s="5">
        <f t="shared" si="75"/>
        <v>23300</v>
      </c>
      <c r="F2584" s="5">
        <v>46150</v>
      </c>
      <c r="K2584" s="24">
        <v>3050</v>
      </c>
      <c r="L2584" s="6">
        <v>3050</v>
      </c>
      <c r="M2584" s="270">
        <f t="shared" si="83"/>
        <v>0</v>
      </c>
      <c r="N2584" s="19"/>
      <c r="O2584" s="280"/>
      <c r="P2584" s="345">
        <v>21700</v>
      </c>
      <c r="Q2584" s="28">
        <v>0.14069999999999999</v>
      </c>
      <c r="U2584" s="29">
        <v>0.1</v>
      </c>
      <c r="W2584" s="741">
        <f t="shared" si="84"/>
        <v>3358.509</v>
      </c>
    </row>
    <row r="2585" spans="1:23" ht="15" customHeight="1">
      <c r="A2585" s="3">
        <v>39519</v>
      </c>
      <c r="B2585" s="4">
        <v>7775</v>
      </c>
      <c r="D2585" s="5">
        <v>15075</v>
      </c>
      <c r="E2585" s="5">
        <f t="shared" si="75"/>
        <v>23300</v>
      </c>
      <c r="F2585" s="5">
        <v>46150</v>
      </c>
      <c r="K2585" s="24">
        <v>3015</v>
      </c>
      <c r="L2585" s="6">
        <v>3001</v>
      </c>
      <c r="M2585" s="270">
        <f t="shared" si="83"/>
        <v>-14</v>
      </c>
      <c r="N2585" s="19"/>
      <c r="O2585" s="280"/>
      <c r="P2585" s="345">
        <v>21700</v>
      </c>
      <c r="Q2585" s="28">
        <v>0.1406</v>
      </c>
      <c r="U2585" s="29">
        <v>0.1</v>
      </c>
      <c r="W2585" s="741">
        <f t="shared" si="84"/>
        <v>3356.1220000000003</v>
      </c>
    </row>
    <row r="2586" spans="1:23" ht="15" customHeight="1">
      <c r="A2586" s="3">
        <v>39520</v>
      </c>
      <c r="B2586" s="4">
        <v>7750</v>
      </c>
      <c r="D2586" s="5">
        <v>15075</v>
      </c>
      <c r="E2586" s="5">
        <f t="shared" si="75"/>
        <v>23300</v>
      </c>
      <c r="F2586" s="5">
        <v>46125</v>
      </c>
      <c r="K2586" s="24">
        <v>3142</v>
      </c>
      <c r="L2586" s="6">
        <v>3145</v>
      </c>
      <c r="M2586" s="270">
        <f t="shared" si="83"/>
        <v>3</v>
      </c>
      <c r="N2586" s="19"/>
      <c r="O2586" s="280"/>
      <c r="P2586" s="345">
        <v>21700</v>
      </c>
      <c r="Q2586" s="28">
        <v>0.14080000000000001</v>
      </c>
      <c r="U2586" s="29">
        <v>0.1</v>
      </c>
      <c r="W2586" s="741">
        <f t="shared" si="84"/>
        <v>3360.8960000000002</v>
      </c>
    </row>
    <row r="2587" spans="1:23" ht="15" customHeight="1">
      <c r="A2587" s="3">
        <v>39521</v>
      </c>
      <c r="B2587" s="4">
        <v>7750</v>
      </c>
      <c r="D2587" s="5">
        <v>15075</v>
      </c>
      <c r="E2587" s="5">
        <f t="shared" si="75"/>
        <v>23550</v>
      </c>
      <c r="F2587" s="5">
        <v>46375</v>
      </c>
      <c r="K2587" s="24">
        <v>3111</v>
      </c>
      <c r="L2587" s="6">
        <v>3102</v>
      </c>
      <c r="M2587" s="270">
        <f t="shared" si="83"/>
        <v>-9</v>
      </c>
      <c r="N2587" s="19"/>
      <c r="O2587" s="280"/>
      <c r="P2587" s="345">
        <v>21700</v>
      </c>
      <c r="Q2587" s="28">
        <v>0.14099999999999999</v>
      </c>
      <c r="U2587" s="29">
        <v>0.1</v>
      </c>
      <c r="W2587" s="741">
        <f t="shared" si="84"/>
        <v>3365.67</v>
      </c>
    </row>
    <row r="2588" spans="1:23" ht="15" customHeight="1">
      <c r="A2588" s="3">
        <v>39524</v>
      </c>
      <c r="B2588" s="4">
        <v>7750</v>
      </c>
      <c r="D2588" s="5">
        <v>15075</v>
      </c>
      <c r="E2588" s="5">
        <f t="shared" si="75"/>
        <v>23750</v>
      </c>
      <c r="F2588" s="5">
        <v>46575</v>
      </c>
      <c r="K2588" s="24">
        <v>2921</v>
      </c>
      <c r="L2588" s="6">
        <v>2910</v>
      </c>
      <c r="M2588" s="270">
        <f t="shared" si="83"/>
        <v>-11</v>
      </c>
      <c r="N2588" s="19"/>
      <c r="O2588" s="280"/>
      <c r="P2588" s="345">
        <v>21600</v>
      </c>
      <c r="Q2588" s="28">
        <v>0.14099999999999999</v>
      </c>
      <c r="U2588" s="29">
        <v>0.1</v>
      </c>
      <c r="W2588" s="741">
        <f t="shared" si="84"/>
        <v>3350.1600000000003</v>
      </c>
    </row>
    <row r="2589" spans="1:23" ht="15" customHeight="1">
      <c r="A2589" s="3">
        <v>39525</v>
      </c>
      <c r="B2589" s="4">
        <v>7750</v>
      </c>
      <c r="D2589" s="5">
        <v>15050</v>
      </c>
      <c r="E2589" s="5">
        <f t="shared" si="75"/>
        <v>23850</v>
      </c>
      <c r="F2589" s="5">
        <v>46650</v>
      </c>
      <c r="K2589" s="24">
        <v>2871</v>
      </c>
      <c r="L2589" s="6">
        <v>2862</v>
      </c>
      <c r="M2589" s="270">
        <f t="shared" si="83"/>
        <v>-9</v>
      </c>
      <c r="N2589" s="19"/>
      <c r="O2589" s="280"/>
      <c r="P2589" s="345">
        <v>21300</v>
      </c>
      <c r="Q2589" s="28">
        <v>0.14119999999999999</v>
      </c>
      <c r="U2589" s="29">
        <v>0.1</v>
      </c>
      <c r="W2589" s="741">
        <f t="shared" si="84"/>
        <v>3308.3160000000003</v>
      </c>
    </row>
    <row r="2590" spans="1:23" ht="15" customHeight="1">
      <c r="A2590" s="3">
        <v>39526</v>
      </c>
      <c r="B2590" s="4">
        <v>7750</v>
      </c>
      <c r="D2590" s="5">
        <v>15100</v>
      </c>
      <c r="E2590" s="5">
        <f t="shared" si="75"/>
        <v>23850</v>
      </c>
      <c r="F2590" s="5">
        <v>46700</v>
      </c>
      <c r="K2590" s="24">
        <v>2820</v>
      </c>
      <c r="L2590" s="6">
        <v>2828</v>
      </c>
      <c r="M2590" s="270">
        <f t="shared" si="83"/>
        <v>8</v>
      </c>
      <c r="N2590" s="19"/>
      <c r="O2590" s="280"/>
      <c r="P2590" s="345">
        <v>21200</v>
      </c>
      <c r="Q2590" s="28">
        <v>0.14119999999999999</v>
      </c>
      <c r="U2590" s="29">
        <v>0.1</v>
      </c>
      <c r="W2590" s="741">
        <f t="shared" si="84"/>
        <v>3292.7840000000001</v>
      </c>
    </row>
    <row r="2591" spans="1:23" ht="15" customHeight="1">
      <c r="A2591" s="3">
        <v>39527</v>
      </c>
      <c r="B2591" s="4">
        <v>7750</v>
      </c>
      <c r="D2591" s="5">
        <v>15125</v>
      </c>
      <c r="E2591" s="5">
        <f t="shared" si="75"/>
        <v>23850</v>
      </c>
      <c r="F2591" s="5">
        <v>46725</v>
      </c>
      <c r="K2591" s="24">
        <v>2650</v>
      </c>
      <c r="L2591" s="6">
        <v>2664</v>
      </c>
      <c r="M2591" s="270">
        <f t="shared" si="83"/>
        <v>14</v>
      </c>
      <c r="N2591" s="19"/>
      <c r="O2591" s="280"/>
      <c r="P2591" s="345">
        <v>21100</v>
      </c>
      <c r="Q2591" s="28">
        <v>0.14149999999999999</v>
      </c>
      <c r="U2591" s="29">
        <v>0.1</v>
      </c>
      <c r="W2591" s="741">
        <f t="shared" si="84"/>
        <v>3284.2149999999997</v>
      </c>
    </row>
    <row r="2592" spans="1:23" ht="15" customHeight="1">
      <c r="A2592" s="3">
        <v>39528</v>
      </c>
      <c r="D2592" s="26"/>
      <c r="E2592" s="26"/>
      <c r="F2592" s="26"/>
      <c r="G2592" s="1007" t="s">
        <v>44</v>
      </c>
      <c r="H2592" s="1007"/>
      <c r="I2592" s="1007"/>
      <c r="J2592" s="1007"/>
      <c r="K2592" s="26"/>
      <c r="L2592" s="26"/>
      <c r="M2592" s="26"/>
      <c r="N2592" s="26"/>
      <c r="O2592" s="369"/>
      <c r="P2592" s="345">
        <v>21000</v>
      </c>
      <c r="Q2592" s="28">
        <v>0.14180000000000001</v>
      </c>
      <c r="U2592" s="29">
        <v>0.1</v>
      </c>
      <c r="W2592" s="741">
        <f t="shared" si="84"/>
        <v>3275.5800000000004</v>
      </c>
    </row>
    <row r="2593" spans="1:23" ht="15" customHeight="1">
      <c r="A2593" s="3">
        <v>39531</v>
      </c>
      <c r="B2593" s="26"/>
      <c r="C2593" s="26"/>
      <c r="D2593" s="26"/>
      <c r="E2593" s="26"/>
      <c r="F2593" s="26"/>
      <c r="G2593" s="1007"/>
      <c r="H2593" s="1007"/>
      <c r="I2593" s="1007"/>
      <c r="J2593" s="1007"/>
      <c r="K2593" s="26"/>
      <c r="L2593" s="26"/>
      <c r="M2593" s="26"/>
      <c r="N2593" s="26"/>
      <c r="O2593" s="369"/>
      <c r="P2593" s="345">
        <v>21000</v>
      </c>
      <c r="Q2593" s="28">
        <v>0.14180000000000001</v>
      </c>
      <c r="U2593" s="29">
        <v>0.1</v>
      </c>
      <c r="W2593" s="741">
        <f t="shared" si="84"/>
        <v>3275.5800000000004</v>
      </c>
    </row>
    <row r="2594" spans="1:23" ht="15" customHeight="1">
      <c r="A2594" s="3">
        <v>39532</v>
      </c>
      <c r="B2594" s="4">
        <v>7750</v>
      </c>
      <c r="D2594" s="5">
        <v>15350</v>
      </c>
      <c r="E2594" s="5">
        <f t="shared" ref="E2594:E2790" si="85">F2594-(B2594+D2594)</f>
        <v>23850</v>
      </c>
      <c r="F2594" s="5">
        <v>46950</v>
      </c>
      <c r="K2594" s="24">
        <v>2815</v>
      </c>
      <c r="L2594" s="6">
        <v>2810</v>
      </c>
      <c r="M2594" s="270">
        <f t="shared" ref="M2594:M2657" si="86">L2594-K2594</f>
        <v>-5</v>
      </c>
      <c r="N2594" s="19"/>
      <c r="O2594" s="280"/>
      <c r="P2594" s="345">
        <v>21000</v>
      </c>
      <c r="Q2594" s="28">
        <v>0.14169999999999999</v>
      </c>
      <c r="U2594" s="29">
        <v>0.1</v>
      </c>
      <c r="W2594" s="741">
        <f t="shared" si="84"/>
        <v>3273.27</v>
      </c>
    </row>
    <row r="2595" spans="1:23" ht="15" customHeight="1">
      <c r="A2595" s="3">
        <v>39533</v>
      </c>
      <c r="B2595" s="4">
        <v>7525</v>
      </c>
      <c r="D2595" s="5">
        <v>15825</v>
      </c>
      <c r="E2595" s="5">
        <f t="shared" si="85"/>
        <v>23850</v>
      </c>
      <c r="F2595" s="5">
        <v>47200</v>
      </c>
      <c r="K2595" s="24">
        <v>2725</v>
      </c>
      <c r="L2595" s="6">
        <v>2770</v>
      </c>
      <c r="M2595" s="270">
        <f t="shared" si="86"/>
        <v>45</v>
      </c>
      <c r="N2595" s="19"/>
      <c r="O2595" s="280"/>
      <c r="P2595" s="345">
        <v>21100</v>
      </c>
      <c r="Q2595" s="28">
        <v>0.14180000000000001</v>
      </c>
      <c r="U2595" s="29">
        <v>0.1</v>
      </c>
      <c r="W2595" s="741">
        <f t="shared" si="84"/>
        <v>3291.1780000000003</v>
      </c>
    </row>
    <row r="2596" spans="1:23" ht="15" customHeight="1">
      <c r="A2596" s="3">
        <v>39534</v>
      </c>
      <c r="B2596" s="4">
        <v>7500</v>
      </c>
      <c r="D2596" s="5">
        <v>16175</v>
      </c>
      <c r="E2596" s="5">
        <f t="shared" si="85"/>
        <v>24100</v>
      </c>
      <c r="F2596" s="5">
        <v>47775</v>
      </c>
      <c r="K2596" s="24">
        <v>2752.5</v>
      </c>
      <c r="L2596" s="6">
        <v>2761</v>
      </c>
      <c r="M2596" s="270">
        <f t="shared" si="86"/>
        <v>8.5</v>
      </c>
      <c r="N2596" s="19"/>
      <c r="O2596" s="280"/>
      <c r="P2596" s="345">
        <v>21100</v>
      </c>
      <c r="Q2596" s="28">
        <v>0.14230000000000001</v>
      </c>
      <c r="U2596" s="29">
        <v>0.1</v>
      </c>
      <c r="W2596" s="741">
        <f t="shared" si="84"/>
        <v>3302.7830000000004</v>
      </c>
    </row>
    <row r="2597" spans="1:23" ht="15" customHeight="1">
      <c r="A2597" s="3">
        <v>39535</v>
      </c>
      <c r="B2597" s="4">
        <v>7500</v>
      </c>
      <c r="D2597" s="5">
        <v>16675</v>
      </c>
      <c r="E2597" s="5">
        <f t="shared" si="85"/>
        <v>24100</v>
      </c>
      <c r="F2597" s="5">
        <v>48275</v>
      </c>
      <c r="K2597" s="24">
        <v>2872.5</v>
      </c>
      <c r="L2597" s="6">
        <v>2886</v>
      </c>
      <c r="M2597" s="270">
        <f t="shared" si="86"/>
        <v>13.5</v>
      </c>
      <c r="N2597" s="19"/>
      <c r="O2597" s="280"/>
      <c r="P2597" s="345">
        <v>21200</v>
      </c>
      <c r="Q2597" s="28">
        <v>0.1426</v>
      </c>
      <c r="U2597" s="29">
        <v>0.1</v>
      </c>
      <c r="W2597" s="741">
        <f t="shared" si="84"/>
        <v>3325.4320000000002</v>
      </c>
    </row>
    <row r="2598" spans="1:23" ht="15" customHeight="1" thickBot="1">
      <c r="A2598" s="12">
        <v>39538</v>
      </c>
      <c r="B2598" s="13">
        <v>7500</v>
      </c>
      <c r="C2598" s="13"/>
      <c r="D2598" s="14">
        <v>17350</v>
      </c>
      <c r="E2598" s="14">
        <f t="shared" si="85"/>
        <v>24200</v>
      </c>
      <c r="F2598" s="14">
        <v>49050</v>
      </c>
      <c r="G2598" s="14"/>
      <c r="H2598" s="14"/>
      <c r="I2598" s="14"/>
      <c r="J2598" s="264"/>
      <c r="K2598" s="25">
        <v>2793</v>
      </c>
      <c r="L2598" s="15">
        <v>2805</v>
      </c>
      <c r="M2598" s="271">
        <f t="shared" si="86"/>
        <v>12</v>
      </c>
      <c r="N2598" s="20">
        <f>AVERAGE(K2578:K2598)</f>
        <v>3008.5789473684213</v>
      </c>
      <c r="O2598" s="281">
        <f>AVERAGE(K2535:K2598)</f>
        <v>2890.6370967741937</v>
      </c>
      <c r="P2598" s="346">
        <v>21100</v>
      </c>
      <c r="Q2598" s="30">
        <v>0.1426</v>
      </c>
      <c r="R2598" s="30"/>
      <c r="S2598" s="30"/>
      <c r="T2598" s="30"/>
      <c r="U2598" s="31">
        <v>0.1</v>
      </c>
      <c r="V2598" s="46">
        <f>AVERAGE(P2578:P2598)</f>
        <v>21647.619047619046</v>
      </c>
      <c r="W2598" s="741">
        <f t="shared" si="84"/>
        <v>3309.7460000000005</v>
      </c>
    </row>
    <row r="2599" spans="1:23" ht="15" customHeight="1">
      <c r="A2599" s="3">
        <v>39539</v>
      </c>
      <c r="B2599" s="4">
        <v>7500</v>
      </c>
      <c r="D2599" s="5">
        <v>17625</v>
      </c>
      <c r="E2599" s="5">
        <f t="shared" si="85"/>
        <v>24200</v>
      </c>
      <c r="F2599" s="5">
        <v>49325</v>
      </c>
      <c r="K2599" s="24">
        <v>2747</v>
      </c>
      <c r="L2599" s="6">
        <v>2771</v>
      </c>
      <c r="M2599" s="270">
        <f t="shared" si="86"/>
        <v>24</v>
      </c>
      <c r="N2599" s="21"/>
      <c r="O2599" s="283"/>
      <c r="P2599" s="348">
        <v>21000</v>
      </c>
      <c r="Q2599" s="41">
        <v>0.1426</v>
      </c>
      <c r="U2599" s="29">
        <v>0.1</v>
      </c>
      <c r="W2599" s="741">
        <f t="shared" si="84"/>
        <v>3294.06</v>
      </c>
    </row>
    <row r="2600" spans="1:23" ht="15" customHeight="1">
      <c r="A2600" s="3">
        <v>39540</v>
      </c>
      <c r="B2600" s="4">
        <v>7175</v>
      </c>
      <c r="D2600" s="5">
        <v>18025</v>
      </c>
      <c r="E2600" s="5">
        <f t="shared" si="85"/>
        <v>24200</v>
      </c>
      <c r="F2600" s="5">
        <v>49400</v>
      </c>
      <c r="K2600" s="24">
        <v>2783</v>
      </c>
      <c r="L2600" s="6">
        <v>2791</v>
      </c>
      <c r="M2600" s="270">
        <f t="shared" si="86"/>
        <v>8</v>
      </c>
      <c r="N2600" s="19"/>
      <c r="O2600" s="280"/>
      <c r="P2600" s="345">
        <v>21000</v>
      </c>
      <c r="Q2600" s="28">
        <v>0.1426</v>
      </c>
      <c r="U2600" s="29">
        <v>0.1</v>
      </c>
      <c r="W2600" s="741">
        <f t="shared" si="84"/>
        <v>3294.06</v>
      </c>
    </row>
    <row r="2601" spans="1:23" ht="15" customHeight="1">
      <c r="A2601" s="3">
        <v>39541</v>
      </c>
      <c r="B2601" s="4">
        <v>7175</v>
      </c>
      <c r="D2601" s="5">
        <v>18700</v>
      </c>
      <c r="E2601" s="5">
        <f t="shared" si="85"/>
        <v>24150</v>
      </c>
      <c r="F2601" s="5">
        <v>50025</v>
      </c>
      <c r="K2601" s="24">
        <v>2811</v>
      </c>
      <c r="L2601" s="6">
        <v>2830.5</v>
      </c>
      <c r="M2601" s="270">
        <f t="shared" si="86"/>
        <v>19.5</v>
      </c>
      <c r="N2601" s="19"/>
      <c r="O2601" s="280"/>
      <c r="P2601" s="345">
        <v>21000</v>
      </c>
      <c r="Q2601" s="28">
        <v>0.14249999999999999</v>
      </c>
      <c r="U2601" s="29">
        <v>0.1</v>
      </c>
      <c r="W2601" s="741">
        <f t="shared" si="84"/>
        <v>3291.7499999999995</v>
      </c>
    </row>
    <row r="2602" spans="1:23" ht="15" customHeight="1">
      <c r="A2602" s="3">
        <v>39542</v>
      </c>
      <c r="B2602" s="4">
        <v>7175</v>
      </c>
      <c r="D2602" s="5">
        <v>18850</v>
      </c>
      <c r="E2602" s="5">
        <f t="shared" si="85"/>
        <v>24125</v>
      </c>
      <c r="F2602" s="5">
        <v>50150</v>
      </c>
      <c r="K2602" s="24">
        <v>2906</v>
      </c>
      <c r="L2602" s="6">
        <v>2916</v>
      </c>
      <c r="M2602" s="270">
        <f t="shared" si="86"/>
        <v>10</v>
      </c>
      <c r="N2602" s="19"/>
      <c r="O2602" s="280"/>
      <c r="P2602" s="370"/>
      <c r="Q2602" s="996" t="s">
        <v>119</v>
      </c>
      <c r="R2602" s="996"/>
      <c r="S2602" s="996"/>
      <c r="T2602" s="996"/>
      <c r="U2602" s="996"/>
      <c r="W2602" s="741" t="e">
        <f t="shared" si="84"/>
        <v>#VALUE!</v>
      </c>
    </row>
    <row r="2603" spans="1:23" ht="15" customHeight="1">
      <c r="A2603" s="3">
        <v>39545</v>
      </c>
      <c r="B2603" s="4">
        <v>7075</v>
      </c>
      <c r="D2603" s="5">
        <v>19275</v>
      </c>
      <c r="E2603" s="5">
        <f t="shared" si="85"/>
        <v>24125</v>
      </c>
      <c r="F2603" s="5">
        <v>50475</v>
      </c>
      <c r="K2603" s="24">
        <v>2955</v>
      </c>
      <c r="L2603" s="6">
        <v>2960</v>
      </c>
      <c r="M2603" s="270">
        <f t="shared" si="86"/>
        <v>5</v>
      </c>
      <c r="N2603" s="19"/>
      <c r="O2603" s="280"/>
      <c r="P2603" s="345">
        <v>21100</v>
      </c>
      <c r="Q2603" s="28">
        <v>0.14249999999999999</v>
      </c>
      <c r="U2603" s="29">
        <v>0.1</v>
      </c>
      <c r="W2603" s="741">
        <f t="shared" si="84"/>
        <v>3307.4249999999997</v>
      </c>
    </row>
    <row r="2604" spans="1:23" ht="15" customHeight="1">
      <c r="A2604" s="3">
        <v>39546</v>
      </c>
      <c r="B2604" s="4">
        <v>7075</v>
      </c>
      <c r="D2604" s="5">
        <v>19250</v>
      </c>
      <c r="E2604" s="5">
        <f t="shared" si="85"/>
        <v>24100</v>
      </c>
      <c r="F2604" s="5">
        <v>50425</v>
      </c>
      <c r="K2604" s="24">
        <v>2866</v>
      </c>
      <c r="L2604" s="6">
        <v>2895.5</v>
      </c>
      <c r="M2604" s="270">
        <f t="shared" si="86"/>
        <v>29.5</v>
      </c>
      <c r="N2604" s="19"/>
      <c r="O2604" s="280"/>
      <c r="P2604" s="345">
        <v>21100</v>
      </c>
      <c r="Q2604" s="28">
        <v>0.14280000000000001</v>
      </c>
      <c r="U2604" s="29">
        <v>0.1</v>
      </c>
      <c r="W2604" s="741">
        <f t="shared" si="84"/>
        <v>3314.3880000000008</v>
      </c>
    </row>
    <row r="2605" spans="1:23" ht="15" customHeight="1">
      <c r="A2605" s="3">
        <v>39547</v>
      </c>
      <c r="B2605" s="4">
        <v>6875</v>
      </c>
      <c r="D2605" s="5">
        <v>19450</v>
      </c>
      <c r="E2605" s="5">
        <f t="shared" si="85"/>
        <v>24400</v>
      </c>
      <c r="F2605" s="5">
        <v>50725</v>
      </c>
      <c r="K2605" s="24">
        <v>2895</v>
      </c>
      <c r="L2605" s="6">
        <v>2891</v>
      </c>
      <c r="M2605" s="270">
        <f t="shared" si="86"/>
        <v>-4</v>
      </c>
      <c r="N2605" s="19"/>
      <c r="O2605" s="280"/>
      <c r="P2605" s="345">
        <v>20900</v>
      </c>
      <c r="Q2605" s="28">
        <v>0.14280000000000001</v>
      </c>
      <c r="U2605" s="29">
        <v>0.1</v>
      </c>
      <c r="W2605" s="741">
        <f t="shared" ref="W2605:W2668" si="87">(P2605*Q2605)*(1+U2605)</f>
        <v>3282.9720000000007</v>
      </c>
    </row>
    <row r="2606" spans="1:23" ht="15" customHeight="1">
      <c r="A2606" s="3">
        <v>39548</v>
      </c>
      <c r="B2606" s="4">
        <v>6875</v>
      </c>
      <c r="D2606" s="5">
        <v>19450</v>
      </c>
      <c r="E2606" s="5">
        <f t="shared" si="85"/>
        <v>24400</v>
      </c>
      <c r="F2606" s="5">
        <v>50725</v>
      </c>
      <c r="K2606" s="24">
        <v>2931</v>
      </c>
      <c r="L2606" s="6">
        <v>2940.5</v>
      </c>
      <c r="M2606" s="270">
        <f t="shared" si="86"/>
        <v>9.5</v>
      </c>
      <c r="N2606" s="19"/>
      <c r="O2606" s="280"/>
      <c r="P2606" s="345">
        <v>20900</v>
      </c>
      <c r="Q2606" s="28">
        <v>0.14280000000000001</v>
      </c>
      <c r="U2606" s="29">
        <v>0.1</v>
      </c>
      <c r="W2606" s="741">
        <f t="shared" si="87"/>
        <v>3282.9720000000007</v>
      </c>
    </row>
    <row r="2607" spans="1:23" ht="15" customHeight="1">
      <c r="A2607" s="3">
        <v>39549</v>
      </c>
      <c r="B2607" s="4">
        <v>6875</v>
      </c>
      <c r="D2607" s="5">
        <v>19450</v>
      </c>
      <c r="E2607" s="5">
        <f t="shared" si="85"/>
        <v>24400</v>
      </c>
      <c r="F2607" s="5">
        <v>50725</v>
      </c>
      <c r="K2607" s="24">
        <v>2948</v>
      </c>
      <c r="L2607" s="6">
        <v>2945</v>
      </c>
      <c r="M2607" s="270">
        <f t="shared" si="86"/>
        <v>-3</v>
      </c>
      <c r="N2607" s="19"/>
      <c r="O2607" s="280"/>
      <c r="P2607" s="345">
        <v>20800</v>
      </c>
      <c r="Q2607" s="28">
        <v>0.14269999999999999</v>
      </c>
      <c r="U2607" s="29">
        <v>0.1</v>
      </c>
      <c r="W2607" s="741">
        <f t="shared" si="87"/>
        <v>3264.9760000000001</v>
      </c>
    </row>
    <row r="2608" spans="1:23" ht="15" customHeight="1">
      <c r="A2608" s="3">
        <v>39552</v>
      </c>
      <c r="B2608" s="4">
        <v>6875</v>
      </c>
      <c r="D2608" s="5">
        <v>19450</v>
      </c>
      <c r="E2608" s="5">
        <f t="shared" si="85"/>
        <v>24550</v>
      </c>
      <c r="F2608" s="5">
        <v>50875</v>
      </c>
      <c r="K2608" s="24">
        <v>2900</v>
      </c>
      <c r="L2608" s="6">
        <v>2910.5</v>
      </c>
      <c r="M2608" s="270">
        <f t="shared" si="86"/>
        <v>10.5</v>
      </c>
      <c r="N2608" s="19"/>
      <c r="O2608" s="280"/>
      <c r="P2608" s="345">
        <v>20800</v>
      </c>
      <c r="Q2608" s="28">
        <v>0.14269999999999999</v>
      </c>
      <c r="U2608" s="29">
        <v>0.1</v>
      </c>
      <c r="W2608" s="741">
        <f t="shared" si="87"/>
        <v>3264.9760000000001</v>
      </c>
    </row>
    <row r="2609" spans="1:23" ht="15" customHeight="1">
      <c r="A2609" s="3">
        <v>39553</v>
      </c>
      <c r="B2609" s="4">
        <v>6800</v>
      </c>
      <c r="D2609" s="5">
        <v>19600</v>
      </c>
      <c r="E2609" s="5">
        <f t="shared" si="85"/>
        <v>24750</v>
      </c>
      <c r="F2609" s="5">
        <v>51150</v>
      </c>
      <c r="K2609" s="24">
        <v>2891</v>
      </c>
      <c r="L2609" s="6">
        <v>2895</v>
      </c>
      <c r="M2609" s="270">
        <f t="shared" si="86"/>
        <v>4</v>
      </c>
      <c r="N2609" s="19"/>
      <c r="O2609" s="280"/>
      <c r="P2609" s="345">
        <v>20600</v>
      </c>
      <c r="Q2609" s="28">
        <v>0.1429</v>
      </c>
      <c r="U2609" s="29">
        <v>0.1</v>
      </c>
      <c r="W2609" s="741">
        <f t="shared" si="87"/>
        <v>3238.114</v>
      </c>
    </row>
    <row r="2610" spans="1:23" ht="15" customHeight="1">
      <c r="A2610" s="3">
        <v>39554</v>
      </c>
      <c r="B2610" s="4">
        <v>8075</v>
      </c>
      <c r="D2610" s="5">
        <v>19700</v>
      </c>
      <c r="E2610" s="5">
        <f t="shared" si="85"/>
        <v>24750</v>
      </c>
      <c r="F2610" s="5">
        <v>52525</v>
      </c>
      <c r="K2610" s="24">
        <v>2825</v>
      </c>
      <c r="L2610" s="6">
        <v>2831</v>
      </c>
      <c r="M2610" s="270">
        <f t="shared" si="86"/>
        <v>6</v>
      </c>
      <c r="N2610" s="19"/>
      <c r="O2610" s="280"/>
      <c r="P2610" s="345">
        <v>20500</v>
      </c>
      <c r="Q2610" s="28">
        <v>0.14299999999999999</v>
      </c>
      <c r="U2610" s="29">
        <v>0.1</v>
      </c>
      <c r="W2610" s="741">
        <f t="shared" si="87"/>
        <v>3224.6499999999996</v>
      </c>
    </row>
    <row r="2611" spans="1:23" ht="15" customHeight="1">
      <c r="A2611" s="3">
        <v>39555</v>
      </c>
      <c r="B2611" s="4">
        <v>8450</v>
      </c>
      <c r="D2611" s="5">
        <v>19700</v>
      </c>
      <c r="E2611" s="5">
        <f t="shared" si="85"/>
        <v>25050</v>
      </c>
      <c r="F2611" s="5">
        <v>53200</v>
      </c>
      <c r="K2611" s="24">
        <v>2841</v>
      </c>
      <c r="L2611" s="6">
        <v>2856</v>
      </c>
      <c r="M2611" s="270">
        <f t="shared" si="86"/>
        <v>15</v>
      </c>
      <c r="N2611" s="19"/>
      <c r="O2611" s="280"/>
      <c r="P2611" s="345">
        <v>20500</v>
      </c>
      <c r="Q2611" s="28">
        <v>0.14319999999999999</v>
      </c>
      <c r="U2611" s="29">
        <v>0.1</v>
      </c>
      <c r="W2611" s="741">
        <f t="shared" si="87"/>
        <v>3229.1600000000003</v>
      </c>
    </row>
    <row r="2612" spans="1:23" ht="15" customHeight="1">
      <c r="A2612" s="3">
        <v>39556</v>
      </c>
      <c r="B2612" s="4">
        <v>8250</v>
      </c>
      <c r="D2612" s="5">
        <v>19700</v>
      </c>
      <c r="E2612" s="5">
        <f t="shared" si="85"/>
        <v>25050</v>
      </c>
      <c r="F2612" s="5">
        <v>53000</v>
      </c>
      <c r="K2612" s="24">
        <v>2814.5</v>
      </c>
      <c r="L2612" s="6">
        <v>2811</v>
      </c>
      <c r="M2612" s="270">
        <f t="shared" si="86"/>
        <v>-3.5</v>
      </c>
      <c r="N2612" s="19"/>
      <c r="O2612" s="280"/>
      <c r="P2612" s="345">
        <v>20400</v>
      </c>
      <c r="Q2612" s="28">
        <v>0.14319999999999999</v>
      </c>
      <c r="U2612" s="29">
        <v>0.1</v>
      </c>
      <c r="W2612" s="741">
        <f t="shared" si="87"/>
        <v>3213.4079999999999</v>
      </c>
    </row>
    <row r="2613" spans="1:23" ht="15" customHeight="1">
      <c r="A2613" s="3">
        <v>39559</v>
      </c>
      <c r="B2613" s="4">
        <v>8150</v>
      </c>
      <c r="D2613" s="5">
        <v>19925</v>
      </c>
      <c r="E2613" s="5">
        <f t="shared" si="85"/>
        <v>25050</v>
      </c>
      <c r="F2613" s="5">
        <v>53125</v>
      </c>
      <c r="K2613" s="24">
        <v>2805</v>
      </c>
      <c r="L2613" s="6">
        <v>2816</v>
      </c>
      <c r="M2613" s="270">
        <f t="shared" si="86"/>
        <v>11</v>
      </c>
      <c r="N2613" s="19"/>
      <c r="O2613" s="280"/>
      <c r="P2613" s="345">
        <v>20400</v>
      </c>
      <c r="Q2613" s="28">
        <v>0.14299999999999999</v>
      </c>
      <c r="U2613" s="29">
        <v>0.1</v>
      </c>
      <c r="W2613" s="741">
        <f t="shared" si="87"/>
        <v>3208.92</v>
      </c>
    </row>
    <row r="2614" spans="1:23" ht="15" customHeight="1">
      <c r="A2614" s="3">
        <v>39560</v>
      </c>
      <c r="B2614" s="4">
        <v>7850</v>
      </c>
      <c r="D2614" s="5">
        <v>20025</v>
      </c>
      <c r="E2614" s="5">
        <f t="shared" si="85"/>
        <v>25050</v>
      </c>
      <c r="F2614" s="5">
        <v>52925</v>
      </c>
      <c r="K2614" s="24">
        <v>2801</v>
      </c>
      <c r="L2614" s="6">
        <v>2811</v>
      </c>
      <c r="M2614" s="270">
        <f t="shared" si="86"/>
        <v>10</v>
      </c>
      <c r="N2614" s="19"/>
      <c r="O2614" s="280"/>
      <c r="P2614" s="345">
        <v>20300</v>
      </c>
      <c r="Q2614" s="28">
        <v>0.1429</v>
      </c>
      <c r="U2614" s="29">
        <v>0.1</v>
      </c>
      <c r="W2614" s="741">
        <f t="shared" si="87"/>
        <v>3190.9570000000003</v>
      </c>
    </row>
    <row r="2615" spans="1:23" ht="15" customHeight="1">
      <c r="A2615" s="3">
        <v>39561</v>
      </c>
      <c r="B2615" s="4">
        <v>7850</v>
      </c>
      <c r="D2615" s="5">
        <v>20350</v>
      </c>
      <c r="E2615" s="5">
        <f t="shared" si="85"/>
        <v>25450</v>
      </c>
      <c r="F2615" s="5">
        <v>53650</v>
      </c>
      <c r="K2615" s="24">
        <v>2760</v>
      </c>
      <c r="L2615" s="6">
        <v>2776</v>
      </c>
      <c r="M2615" s="270">
        <f t="shared" si="86"/>
        <v>16</v>
      </c>
      <c r="N2615" s="19"/>
      <c r="O2615" s="280"/>
      <c r="P2615" s="345">
        <v>20300</v>
      </c>
      <c r="Q2615" s="28">
        <v>0.1431</v>
      </c>
      <c r="U2615" s="29">
        <v>0.1</v>
      </c>
      <c r="W2615" s="741">
        <f t="shared" si="87"/>
        <v>3195.4230000000007</v>
      </c>
    </row>
    <row r="2616" spans="1:23" ht="15" customHeight="1">
      <c r="A2616" s="3">
        <v>39562</v>
      </c>
      <c r="B2616" s="4">
        <v>8125</v>
      </c>
      <c r="D2616" s="5">
        <v>20600</v>
      </c>
      <c r="E2616" s="5">
        <f t="shared" si="85"/>
        <v>26025</v>
      </c>
      <c r="F2616" s="5">
        <v>54750</v>
      </c>
      <c r="K2616" s="24">
        <v>2740.5</v>
      </c>
      <c r="L2616" s="6">
        <v>2761</v>
      </c>
      <c r="M2616" s="270">
        <f t="shared" si="86"/>
        <v>20.5</v>
      </c>
      <c r="N2616" s="19"/>
      <c r="O2616" s="280"/>
      <c r="P2616" s="345">
        <v>20100</v>
      </c>
      <c r="Q2616" s="28">
        <v>0.14319999999999999</v>
      </c>
      <c r="U2616" s="29">
        <v>0.1</v>
      </c>
      <c r="W2616" s="741">
        <f t="shared" si="87"/>
        <v>3166.152</v>
      </c>
    </row>
    <row r="2617" spans="1:23" ht="15" customHeight="1">
      <c r="A2617" s="3">
        <v>39563</v>
      </c>
      <c r="B2617" s="4">
        <v>8125</v>
      </c>
      <c r="D2617" s="5">
        <v>20700</v>
      </c>
      <c r="E2617" s="5">
        <f t="shared" si="85"/>
        <v>26025</v>
      </c>
      <c r="F2617" s="5">
        <v>54850</v>
      </c>
      <c r="K2617" s="24">
        <v>2725</v>
      </c>
      <c r="L2617" s="6">
        <v>2740</v>
      </c>
      <c r="M2617" s="270">
        <f t="shared" si="86"/>
        <v>15</v>
      </c>
      <c r="N2617" s="19"/>
      <c r="O2617" s="280"/>
      <c r="P2617" s="345">
        <v>19900</v>
      </c>
      <c r="Q2617" s="28">
        <v>0.1431</v>
      </c>
      <c r="U2617" s="29">
        <v>0.1</v>
      </c>
      <c r="W2617" s="741">
        <f t="shared" si="87"/>
        <v>3132.4590000000003</v>
      </c>
    </row>
    <row r="2618" spans="1:23" ht="15" customHeight="1">
      <c r="A2618" s="3">
        <v>39566</v>
      </c>
      <c r="B2618" s="4">
        <v>8800</v>
      </c>
      <c r="D2618" s="5">
        <v>20725</v>
      </c>
      <c r="E2618" s="5">
        <f t="shared" si="85"/>
        <v>26325</v>
      </c>
      <c r="F2618" s="5">
        <v>55850</v>
      </c>
      <c r="K2618" s="24">
        <v>2755</v>
      </c>
      <c r="L2618" s="6">
        <v>2765.5</v>
      </c>
      <c r="M2618" s="270">
        <f t="shared" si="86"/>
        <v>10.5</v>
      </c>
      <c r="N2618" s="19"/>
      <c r="O2618" s="280"/>
      <c r="P2618" s="345">
        <v>19900</v>
      </c>
      <c r="Q2618" s="28">
        <v>0.14269999999999999</v>
      </c>
      <c r="U2618" s="29">
        <v>0.1</v>
      </c>
      <c r="W2618" s="741">
        <f t="shared" si="87"/>
        <v>3123.7030000000004</v>
      </c>
    </row>
    <row r="2619" spans="1:23" ht="15" customHeight="1">
      <c r="A2619" s="3">
        <v>39567</v>
      </c>
      <c r="B2619" s="4">
        <v>8775</v>
      </c>
      <c r="D2619" s="5">
        <v>21000</v>
      </c>
      <c r="E2619" s="5">
        <f t="shared" si="85"/>
        <v>26375</v>
      </c>
      <c r="F2619" s="5">
        <v>56150</v>
      </c>
      <c r="K2619" s="24">
        <v>2720</v>
      </c>
      <c r="L2619" s="6">
        <v>2735</v>
      </c>
      <c r="M2619" s="270">
        <f t="shared" si="86"/>
        <v>15</v>
      </c>
      <c r="N2619" s="19"/>
      <c r="O2619" s="280"/>
      <c r="P2619" s="345">
        <v>19600</v>
      </c>
      <c r="Q2619" s="28">
        <v>0.14319999999999999</v>
      </c>
      <c r="U2619" s="29">
        <v>0.1</v>
      </c>
      <c r="W2619" s="741">
        <f t="shared" si="87"/>
        <v>3087.3919999999998</v>
      </c>
    </row>
    <row r="2620" spans="1:23" ht="15" customHeight="1" thickBot="1">
      <c r="A2620" s="12">
        <v>39568</v>
      </c>
      <c r="B2620" s="13"/>
      <c r="C2620" s="13"/>
      <c r="D2620" s="14"/>
      <c r="E2620" s="14">
        <f t="shared" si="85"/>
        <v>0</v>
      </c>
      <c r="F2620" s="14"/>
      <c r="G2620" s="14"/>
      <c r="H2620" s="14"/>
      <c r="I2620" s="14"/>
      <c r="J2620" s="264"/>
      <c r="K2620" s="25">
        <v>2680.5</v>
      </c>
      <c r="L2620" s="15">
        <v>2700</v>
      </c>
      <c r="M2620" s="271">
        <f t="shared" si="86"/>
        <v>19.5</v>
      </c>
      <c r="N2620" s="20">
        <f>AVERAGE(K2599:K2620)</f>
        <v>2822.75</v>
      </c>
      <c r="O2620" s="281">
        <f>AVERAGE(K2535:K2620)</f>
        <v>2872.8571428571427</v>
      </c>
      <c r="P2620" s="346">
        <v>19250</v>
      </c>
      <c r="Q2620" s="30">
        <v>0.14319999999999999</v>
      </c>
      <c r="U2620" s="29">
        <v>0.1</v>
      </c>
      <c r="V2620" s="46">
        <f>AVERAGE(P2599:P2620)</f>
        <v>20492.857142857141</v>
      </c>
      <c r="W2620" s="741">
        <f t="shared" si="87"/>
        <v>3032.26</v>
      </c>
    </row>
    <row r="2621" spans="1:23" ht="15" customHeight="1">
      <c r="A2621" s="3">
        <v>39569</v>
      </c>
      <c r="B2621" s="4">
        <v>8425</v>
      </c>
      <c r="D2621" s="5">
        <v>21850</v>
      </c>
      <c r="E2621" s="5">
        <f t="shared" si="85"/>
        <v>26575</v>
      </c>
      <c r="F2621" s="5">
        <v>56850</v>
      </c>
      <c r="K2621" s="24">
        <v>2650.5</v>
      </c>
      <c r="L2621" s="6">
        <v>2670</v>
      </c>
      <c r="M2621" s="270">
        <f t="shared" si="86"/>
        <v>19.5</v>
      </c>
      <c r="N2621" s="21"/>
      <c r="O2621" s="283"/>
      <c r="P2621" s="362"/>
      <c r="Q2621" s="1010" t="s">
        <v>10</v>
      </c>
      <c r="R2621" s="1010"/>
      <c r="S2621" s="1010"/>
      <c r="T2621" s="1010"/>
      <c r="U2621" s="1010"/>
      <c r="V2621" s="362"/>
      <c r="W2621" s="741" t="e">
        <f t="shared" si="87"/>
        <v>#VALUE!</v>
      </c>
    </row>
    <row r="2622" spans="1:23" ht="15" customHeight="1">
      <c r="A2622" s="3">
        <v>39570</v>
      </c>
      <c r="B2622" s="4">
        <v>8425</v>
      </c>
      <c r="D2622" s="5">
        <v>22575</v>
      </c>
      <c r="E2622" s="5">
        <f t="shared" si="85"/>
        <v>26575</v>
      </c>
      <c r="F2622" s="5">
        <v>57575</v>
      </c>
      <c r="K2622" s="24">
        <v>2530</v>
      </c>
      <c r="L2622" s="6">
        <v>2559.5</v>
      </c>
      <c r="M2622" s="270">
        <f t="shared" si="86"/>
        <v>29.5</v>
      </c>
      <c r="N2622" s="7"/>
      <c r="O2622" s="277"/>
      <c r="P2622" s="364"/>
      <c r="Q2622" s="996"/>
      <c r="R2622" s="996"/>
      <c r="S2622" s="996"/>
      <c r="T2622" s="996"/>
      <c r="U2622" s="996"/>
      <c r="V2622" s="364"/>
      <c r="W2622" s="741">
        <f t="shared" si="87"/>
        <v>0</v>
      </c>
    </row>
    <row r="2623" spans="1:23" ht="15" customHeight="1">
      <c r="A2623" s="3">
        <v>39573</v>
      </c>
      <c r="C2623" s="368"/>
      <c r="D2623" s="368"/>
      <c r="E2623" s="368"/>
      <c r="F2623" s="368"/>
      <c r="G2623" s="1007" t="s">
        <v>10</v>
      </c>
      <c r="H2623" s="1007"/>
      <c r="I2623" s="1007"/>
      <c r="J2623" s="1007"/>
      <c r="K2623" s="368"/>
      <c r="L2623" s="368"/>
      <c r="M2623" s="368"/>
      <c r="N2623" s="19"/>
      <c r="O2623" s="280"/>
      <c r="P2623" s="345">
        <v>19100</v>
      </c>
      <c r="Q2623" s="28">
        <v>0.1431</v>
      </c>
      <c r="U2623" s="29">
        <v>0.1</v>
      </c>
      <c r="W2623" s="741">
        <f t="shared" si="87"/>
        <v>3006.5310000000004</v>
      </c>
    </row>
    <row r="2624" spans="1:23" ht="15" customHeight="1">
      <c r="A2624" s="3">
        <v>39574</v>
      </c>
      <c r="B2624" s="4">
        <v>8425</v>
      </c>
      <c r="D2624" s="5">
        <v>23200</v>
      </c>
      <c r="E2624" s="5">
        <f t="shared" si="85"/>
        <v>26575</v>
      </c>
      <c r="F2624" s="5">
        <v>58200</v>
      </c>
      <c r="K2624" s="24">
        <v>2581</v>
      </c>
      <c r="L2624" s="6">
        <v>2591</v>
      </c>
      <c r="M2624" s="270">
        <f t="shared" si="86"/>
        <v>10</v>
      </c>
      <c r="N2624" s="19"/>
      <c r="O2624" s="280"/>
      <c r="P2624" s="345">
        <v>18700</v>
      </c>
      <c r="Q2624" s="28">
        <v>0.1431</v>
      </c>
      <c r="U2624" s="29">
        <v>0.1</v>
      </c>
      <c r="W2624" s="741">
        <f t="shared" si="87"/>
        <v>2943.5670000000005</v>
      </c>
    </row>
    <row r="2625" spans="1:23" ht="15" customHeight="1">
      <c r="A2625" s="3">
        <v>39575</v>
      </c>
      <c r="B2625" s="4">
        <v>8225</v>
      </c>
      <c r="D2625" s="5">
        <v>23825</v>
      </c>
      <c r="E2625" s="5">
        <f t="shared" si="85"/>
        <v>26775</v>
      </c>
      <c r="F2625" s="5">
        <v>58825</v>
      </c>
      <c r="K2625" s="24">
        <v>2481</v>
      </c>
      <c r="L2625" s="6">
        <v>2497</v>
      </c>
      <c r="M2625" s="270">
        <f t="shared" si="86"/>
        <v>16</v>
      </c>
      <c r="N2625" s="19"/>
      <c r="O2625" s="280"/>
      <c r="P2625" s="345">
        <v>18600</v>
      </c>
      <c r="Q2625" s="28">
        <v>0.1431</v>
      </c>
      <c r="U2625" s="29">
        <v>0.1</v>
      </c>
      <c r="W2625" s="741">
        <f t="shared" si="87"/>
        <v>2927.8260000000005</v>
      </c>
    </row>
    <row r="2626" spans="1:23" ht="15" customHeight="1">
      <c r="A2626" s="3">
        <v>39576</v>
      </c>
      <c r="B2626" s="4">
        <v>7350</v>
      </c>
      <c r="D2626" s="5">
        <v>24200</v>
      </c>
      <c r="E2626" s="5">
        <f t="shared" si="85"/>
        <v>26875</v>
      </c>
      <c r="F2626" s="5">
        <v>58425</v>
      </c>
      <c r="K2626" s="24">
        <v>2410.5</v>
      </c>
      <c r="L2626" s="6">
        <v>2421</v>
      </c>
      <c r="M2626" s="270">
        <f t="shared" si="86"/>
        <v>10.5</v>
      </c>
      <c r="N2626" s="19"/>
      <c r="O2626" s="280"/>
      <c r="P2626" s="345">
        <v>17800</v>
      </c>
      <c r="Q2626" s="28">
        <v>0.1431</v>
      </c>
      <c r="U2626" s="29">
        <v>0.1</v>
      </c>
      <c r="W2626" s="741">
        <f t="shared" si="87"/>
        <v>2801.8980000000006</v>
      </c>
    </row>
    <row r="2627" spans="1:23" ht="15" customHeight="1">
      <c r="A2627" s="3">
        <v>39577</v>
      </c>
      <c r="B2627" s="4">
        <v>7300</v>
      </c>
      <c r="D2627" s="5">
        <v>24325</v>
      </c>
      <c r="E2627" s="5">
        <f t="shared" si="85"/>
        <v>26975</v>
      </c>
      <c r="F2627" s="5">
        <v>58600</v>
      </c>
      <c r="K2627" s="24">
        <v>2285.5</v>
      </c>
      <c r="L2627" s="6">
        <v>2305.5</v>
      </c>
      <c r="M2627" s="270">
        <f t="shared" si="86"/>
        <v>20</v>
      </c>
      <c r="N2627" s="19"/>
      <c r="O2627" s="280"/>
      <c r="P2627" s="345">
        <v>17300</v>
      </c>
      <c r="Q2627" s="28">
        <v>0.14280000000000001</v>
      </c>
      <c r="U2627" s="29">
        <v>0.1</v>
      </c>
      <c r="W2627" s="741">
        <f t="shared" si="87"/>
        <v>2717.4840000000004</v>
      </c>
    </row>
    <row r="2628" spans="1:23" ht="15" customHeight="1">
      <c r="A2628" s="3">
        <v>39580</v>
      </c>
      <c r="B2628" s="4">
        <v>7300</v>
      </c>
      <c r="D2628" s="5">
        <v>24325</v>
      </c>
      <c r="E2628" s="5">
        <f t="shared" si="85"/>
        <v>26975</v>
      </c>
      <c r="F2628" s="5">
        <v>58600</v>
      </c>
      <c r="K2628" s="24">
        <v>2232</v>
      </c>
      <c r="L2628" s="6">
        <v>2245</v>
      </c>
      <c r="M2628" s="270">
        <f t="shared" si="86"/>
        <v>13</v>
      </c>
      <c r="N2628" s="19"/>
      <c r="O2628" s="280"/>
      <c r="P2628" s="345">
        <v>17100</v>
      </c>
      <c r="Q2628" s="28">
        <v>0.14280000000000001</v>
      </c>
      <c r="U2628" s="29">
        <v>0.1</v>
      </c>
      <c r="W2628" s="741">
        <f t="shared" si="87"/>
        <v>2686.0680000000002</v>
      </c>
    </row>
    <row r="2629" spans="1:23" ht="15" customHeight="1">
      <c r="A2629" s="3">
        <v>39581</v>
      </c>
      <c r="B2629" s="4">
        <v>7050</v>
      </c>
      <c r="D2629" s="5">
        <v>24600</v>
      </c>
      <c r="E2629" s="5">
        <f t="shared" si="85"/>
        <v>29425</v>
      </c>
      <c r="F2629" s="5">
        <v>61075</v>
      </c>
      <c r="K2629" s="24">
        <v>2283</v>
      </c>
      <c r="L2629" s="6">
        <v>2305</v>
      </c>
      <c r="M2629" s="270">
        <f t="shared" si="86"/>
        <v>22</v>
      </c>
      <c r="N2629" s="19"/>
      <c r="O2629" s="280"/>
      <c r="P2629" s="345">
        <v>17200</v>
      </c>
      <c r="Q2629" s="28">
        <v>0.1431</v>
      </c>
      <c r="U2629" s="29">
        <v>0.1</v>
      </c>
      <c r="W2629" s="741">
        <f t="shared" si="87"/>
        <v>2707.4520000000002</v>
      </c>
    </row>
    <row r="2630" spans="1:23" ht="15" customHeight="1">
      <c r="A2630" s="3">
        <v>39582</v>
      </c>
      <c r="B2630" s="4">
        <v>7050</v>
      </c>
      <c r="D2630" s="5">
        <v>25225</v>
      </c>
      <c r="E2630" s="5">
        <f t="shared" si="85"/>
        <v>29625</v>
      </c>
      <c r="F2630" s="5">
        <v>61900</v>
      </c>
      <c r="K2630" s="24">
        <v>2203</v>
      </c>
      <c r="L2630" s="6">
        <v>2210</v>
      </c>
      <c r="M2630" s="270">
        <f t="shared" si="86"/>
        <v>7</v>
      </c>
      <c r="N2630" s="7"/>
      <c r="O2630" s="277"/>
      <c r="P2630" s="345">
        <v>17200</v>
      </c>
      <c r="Q2630" s="28">
        <v>0.1431</v>
      </c>
      <c r="U2630" s="29">
        <v>0.1</v>
      </c>
      <c r="W2630" s="741">
        <f t="shared" si="87"/>
        <v>2707.4520000000002</v>
      </c>
    </row>
    <row r="2631" spans="1:23" ht="15" customHeight="1">
      <c r="A2631" s="3">
        <v>39583</v>
      </c>
      <c r="B2631" s="4">
        <v>6850</v>
      </c>
      <c r="D2631" s="5">
        <v>25575</v>
      </c>
      <c r="E2631" s="5">
        <f t="shared" si="85"/>
        <v>29725</v>
      </c>
      <c r="F2631" s="5">
        <v>62150</v>
      </c>
      <c r="K2631" s="24">
        <v>2246</v>
      </c>
      <c r="L2631" s="6">
        <v>2260.5</v>
      </c>
      <c r="M2631" s="270">
        <f t="shared" si="86"/>
        <v>14.5</v>
      </c>
      <c r="N2631" s="7"/>
      <c r="O2631" s="277"/>
      <c r="P2631" s="345">
        <v>17200</v>
      </c>
      <c r="Q2631" s="28">
        <v>0.14280000000000001</v>
      </c>
      <c r="U2631" s="29">
        <v>0.1</v>
      </c>
      <c r="W2631" s="741">
        <f t="shared" si="87"/>
        <v>2701.7760000000007</v>
      </c>
    </row>
    <row r="2632" spans="1:23" ht="15" customHeight="1">
      <c r="A2632" s="3">
        <v>39584</v>
      </c>
      <c r="B2632" s="4">
        <v>7675</v>
      </c>
      <c r="D2632" s="5">
        <v>25800</v>
      </c>
      <c r="E2632" s="5">
        <f t="shared" si="85"/>
        <v>29725</v>
      </c>
      <c r="F2632" s="5">
        <v>63200</v>
      </c>
      <c r="K2632" s="24">
        <v>2300.5</v>
      </c>
      <c r="L2632" s="6">
        <v>2315</v>
      </c>
      <c r="M2632" s="270">
        <f t="shared" si="86"/>
        <v>14.5</v>
      </c>
      <c r="N2632" s="19"/>
      <c r="O2632" s="280"/>
      <c r="P2632" s="345">
        <v>17300</v>
      </c>
      <c r="Q2632" s="28">
        <v>0.14299999999999999</v>
      </c>
      <c r="U2632" s="29">
        <v>0.1</v>
      </c>
      <c r="W2632" s="741">
        <f t="shared" si="87"/>
        <v>2721.29</v>
      </c>
    </row>
    <row r="2633" spans="1:23" ht="15" customHeight="1">
      <c r="A2633" s="3">
        <v>39587</v>
      </c>
      <c r="B2633" s="4">
        <v>7850</v>
      </c>
      <c r="D2633" s="5">
        <v>26225</v>
      </c>
      <c r="E2633" s="5">
        <f t="shared" si="85"/>
        <v>30275</v>
      </c>
      <c r="F2633" s="5">
        <v>64350</v>
      </c>
      <c r="K2633" s="24">
        <v>2262</v>
      </c>
      <c r="L2633" s="6">
        <v>2280</v>
      </c>
      <c r="M2633" s="270">
        <f t="shared" si="86"/>
        <v>18</v>
      </c>
      <c r="N2633" s="19"/>
      <c r="O2633" s="280"/>
      <c r="P2633" s="345">
        <v>17400</v>
      </c>
      <c r="Q2633" s="28">
        <v>0.14299999999999999</v>
      </c>
      <c r="U2633" s="29">
        <v>0.1</v>
      </c>
      <c r="W2633" s="741">
        <f t="shared" si="87"/>
        <v>2737.02</v>
      </c>
    </row>
    <row r="2634" spans="1:23" ht="15" customHeight="1">
      <c r="A2634" s="3">
        <v>39588</v>
      </c>
      <c r="B2634" s="4">
        <v>7850</v>
      </c>
      <c r="D2634" s="5">
        <v>26325</v>
      </c>
      <c r="E2634" s="5">
        <f t="shared" si="85"/>
        <v>30275</v>
      </c>
      <c r="F2634" s="5">
        <v>64450</v>
      </c>
      <c r="K2634" s="24">
        <v>2137</v>
      </c>
      <c r="L2634" s="6">
        <v>2151</v>
      </c>
      <c r="M2634" s="270">
        <f t="shared" si="86"/>
        <v>14</v>
      </c>
      <c r="N2634" s="19"/>
      <c r="O2634" s="280"/>
      <c r="P2634" s="345">
        <v>17400</v>
      </c>
      <c r="Q2634" s="28">
        <v>0.1434</v>
      </c>
      <c r="U2634" s="29">
        <v>0.1</v>
      </c>
      <c r="W2634" s="741">
        <f t="shared" si="87"/>
        <v>2744.6759999999999</v>
      </c>
    </row>
    <row r="2635" spans="1:23" ht="15" customHeight="1">
      <c r="A2635" s="3">
        <v>39589</v>
      </c>
      <c r="B2635" s="4">
        <v>6800</v>
      </c>
      <c r="D2635" s="5">
        <v>26625</v>
      </c>
      <c r="E2635" s="5">
        <f t="shared" si="85"/>
        <v>30425</v>
      </c>
      <c r="F2635" s="5">
        <v>63850</v>
      </c>
      <c r="K2635" s="24">
        <v>2133</v>
      </c>
      <c r="L2635" s="6">
        <v>2165</v>
      </c>
      <c r="M2635" s="270">
        <f t="shared" si="86"/>
        <v>32</v>
      </c>
      <c r="N2635" s="19"/>
      <c r="O2635" s="280"/>
      <c r="P2635" s="345">
        <v>17400</v>
      </c>
      <c r="Q2635" s="28">
        <v>0.1434</v>
      </c>
      <c r="U2635" s="29">
        <v>0.1</v>
      </c>
      <c r="W2635" s="741">
        <f t="shared" si="87"/>
        <v>2744.6759999999999</v>
      </c>
    </row>
    <row r="2636" spans="1:23" ht="15" customHeight="1">
      <c r="A2636" s="3">
        <v>39590</v>
      </c>
      <c r="B2636" s="4">
        <v>6800</v>
      </c>
      <c r="D2636" s="5">
        <v>26675</v>
      </c>
      <c r="E2636" s="5">
        <f t="shared" si="85"/>
        <v>30425</v>
      </c>
      <c r="F2636" s="5">
        <v>63900</v>
      </c>
      <c r="K2636" s="24">
        <v>2097.5</v>
      </c>
      <c r="L2636" s="6">
        <v>2110</v>
      </c>
      <c r="M2636" s="270">
        <f t="shared" si="86"/>
        <v>12.5</v>
      </c>
      <c r="N2636" s="19"/>
      <c r="O2636" s="280"/>
      <c r="P2636" s="345">
        <v>17400</v>
      </c>
      <c r="Q2636" s="28">
        <v>0.14369999999999999</v>
      </c>
      <c r="U2636" s="29">
        <v>0.1</v>
      </c>
      <c r="W2636" s="741">
        <f t="shared" si="87"/>
        <v>2750.4180000000001</v>
      </c>
    </row>
    <row r="2637" spans="1:23" ht="15" customHeight="1">
      <c r="A2637" s="3">
        <v>39591</v>
      </c>
      <c r="B2637" s="4">
        <v>6800</v>
      </c>
      <c r="D2637" s="5">
        <v>26775</v>
      </c>
      <c r="E2637" s="5">
        <f t="shared" si="85"/>
        <v>30425</v>
      </c>
      <c r="F2637" s="5">
        <v>64000</v>
      </c>
      <c r="K2637" s="24">
        <v>1998</v>
      </c>
      <c r="L2637" s="6">
        <v>2020</v>
      </c>
      <c r="M2637" s="270">
        <f t="shared" si="86"/>
        <v>22</v>
      </c>
      <c r="N2637" s="19"/>
      <c r="O2637" s="280"/>
      <c r="P2637" s="345">
        <v>17300</v>
      </c>
      <c r="Q2637" s="28">
        <v>0.14399999999999999</v>
      </c>
      <c r="U2637" s="29">
        <v>0.1</v>
      </c>
      <c r="W2637" s="741">
        <f t="shared" si="87"/>
        <v>2740.32</v>
      </c>
    </row>
    <row r="2638" spans="1:23" ht="15" customHeight="1">
      <c r="A2638" s="3">
        <v>39594</v>
      </c>
      <c r="D2638" s="26"/>
      <c r="E2638" s="26"/>
      <c r="F2638" s="26"/>
      <c r="G2638" s="1007" t="s">
        <v>45</v>
      </c>
      <c r="H2638" s="1007"/>
      <c r="I2638" s="1007"/>
      <c r="J2638" s="1007"/>
      <c r="K2638" s="26"/>
      <c r="L2638" s="26"/>
      <c r="M2638" s="26"/>
      <c r="N2638" s="7"/>
      <c r="O2638" s="277"/>
      <c r="P2638" s="345">
        <v>17300</v>
      </c>
      <c r="Q2638" s="28">
        <v>0.14410000000000001</v>
      </c>
      <c r="U2638" s="29">
        <v>0.1</v>
      </c>
      <c r="W2638" s="741">
        <f t="shared" si="87"/>
        <v>2742.2230000000004</v>
      </c>
    </row>
    <row r="2639" spans="1:23" ht="15" customHeight="1">
      <c r="A2639" s="3">
        <v>39595</v>
      </c>
      <c r="B2639" s="4">
        <v>6125</v>
      </c>
      <c r="D2639" s="5">
        <v>26850</v>
      </c>
      <c r="E2639" s="5">
        <f t="shared" si="85"/>
        <v>30625</v>
      </c>
      <c r="F2639" s="5">
        <v>63600</v>
      </c>
      <c r="K2639" s="24">
        <v>2011</v>
      </c>
      <c r="L2639" s="6">
        <v>2028.5</v>
      </c>
      <c r="M2639" s="270">
        <f t="shared" si="86"/>
        <v>17.5</v>
      </c>
      <c r="N2639" s="19"/>
      <c r="O2639" s="280"/>
      <c r="P2639" s="345">
        <v>17300</v>
      </c>
      <c r="Q2639" s="28">
        <v>0.14419999999999999</v>
      </c>
      <c r="U2639" s="29">
        <v>0.1</v>
      </c>
      <c r="W2639" s="741">
        <f t="shared" si="87"/>
        <v>2744.1260000000002</v>
      </c>
    </row>
    <row r="2640" spans="1:23" ht="15" customHeight="1">
      <c r="A2640" s="3">
        <v>39596</v>
      </c>
      <c r="B2640" s="4">
        <v>5825</v>
      </c>
      <c r="D2640" s="5">
        <v>27125</v>
      </c>
      <c r="E2640" s="5">
        <f t="shared" si="85"/>
        <v>30625</v>
      </c>
      <c r="F2640" s="5">
        <v>63575</v>
      </c>
      <c r="K2640" s="24">
        <v>1990</v>
      </c>
      <c r="L2640" s="6">
        <v>2013</v>
      </c>
      <c r="M2640" s="270">
        <f t="shared" si="86"/>
        <v>23</v>
      </c>
      <c r="N2640" s="7"/>
      <c r="O2640" s="277"/>
      <c r="P2640" s="345">
        <v>17300</v>
      </c>
      <c r="Q2640" s="28">
        <v>0.1439</v>
      </c>
      <c r="U2640" s="29">
        <v>0.1</v>
      </c>
      <c r="W2640" s="741">
        <f t="shared" si="87"/>
        <v>2738.4169999999999</v>
      </c>
    </row>
    <row r="2641" spans="1:23" ht="15" customHeight="1">
      <c r="A2641" s="3">
        <v>39597</v>
      </c>
      <c r="B2641" s="4">
        <v>7050</v>
      </c>
      <c r="D2641" s="5">
        <v>27300</v>
      </c>
      <c r="E2641" s="5">
        <f t="shared" si="85"/>
        <v>30775</v>
      </c>
      <c r="F2641" s="5">
        <v>65125</v>
      </c>
      <c r="K2641" s="24">
        <v>1921</v>
      </c>
      <c r="L2641" s="6">
        <v>1932</v>
      </c>
      <c r="M2641" s="270">
        <f t="shared" si="86"/>
        <v>11</v>
      </c>
      <c r="N2641" s="7"/>
      <c r="O2641" s="277"/>
      <c r="P2641" s="345">
        <v>17300</v>
      </c>
      <c r="Q2641" s="28">
        <v>0.14399999999999999</v>
      </c>
      <c r="U2641" s="29">
        <v>0.1</v>
      </c>
      <c r="W2641" s="741">
        <f t="shared" si="87"/>
        <v>2740.32</v>
      </c>
    </row>
    <row r="2642" spans="1:23" ht="15" customHeight="1" thickBot="1">
      <c r="A2642" s="12">
        <v>39598</v>
      </c>
      <c r="B2642" s="13">
        <v>8000</v>
      </c>
      <c r="C2642" s="13"/>
      <c r="D2642" s="14">
        <v>27350</v>
      </c>
      <c r="E2642" s="14">
        <f t="shared" si="85"/>
        <v>29775</v>
      </c>
      <c r="F2642" s="14">
        <v>65125</v>
      </c>
      <c r="G2642" s="14"/>
      <c r="H2642" s="14"/>
      <c r="I2642" s="14"/>
      <c r="J2642" s="264"/>
      <c r="K2642" s="25">
        <v>1940</v>
      </c>
      <c r="L2642" s="15">
        <v>1951</v>
      </c>
      <c r="M2642" s="271">
        <f t="shared" si="86"/>
        <v>11</v>
      </c>
      <c r="N2642" s="20">
        <f>AVERAGE(K2621:K2642)</f>
        <v>2234.625</v>
      </c>
      <c r="O2642" s="281">
        <f>AVERAGE(K2535:K2642)</f>
        <v>2750.1201923076924</v>
      </c>
      <c r="P2642" s="346">
        <v>17300</v>
      </c>
      <c r="Q2642" s="30">
        <v>0.14410000000000001</v>
      </c>
      <c r="R2642" s="30"/>
      <c r="S2642" s="30"/>
      <c r="T2642" s="30"/>
      <c r="U2642" s="31">
        <v>0.1</v>
      </c>
      <c r="V2642" s="46">
        <f>AVERAGE(P2621:P2642)</f>
        <v>17545</v>
      </c>
      <c r="W2642" s="741">
        <f t="shared" si="87"/>
        <v>2742.2230000000004</v>
      </c>
    </row>
    <row r="2643" spans="1:23" ht="15" customHeight="1">
      <c r="A2643" s="3">
        <v>39601</v>
      </c>
      <c r="B2643" s="4">
        <v>8700</v>
      </c>
      <c r="D2643" s="5">
        <v>27525</v>
      </c>
      <c r="E2643" s="5">
        <f t="shared" si="85"/>
        <v>31075</v>
      </c>
      <c r="F2643" s="5">
        <v>67300</v>
      </c>
      <c r="K2643" s="24">
        <v>1960</v>
      </c>
      <c r="L2643" s="6">
        <v>1968.5</v>
      </c>
      <c r="M2643" s="270">
        <f t="shared" si="86"/>
        <v>8.5</v>
      </c>
      <c r="N2643" s="21"/>
      <c r="O2643" s="283"/>
      <c r="P2643" s="348">
        <v>17300</v>
      </c>
      <c r="Q2643" s="41">
        <v>0.14399999999999999</v>
      </c>
      <c r="U2643" s="29">
        <v>0.1</v>
      </c>
      <c r="W2643" s="741">
        <f t="shared" si="87"/>
        <v>2740.32</v>
      </c>
    </row>
    <row r="2644" spans="1:23" ht="15" customHeight="1">
      <c r="A2644" s="3">
        <v>39602</v>
      </c>
      <c r="B2644" s="4">
        <v>9800</v>
      </c>
      <c r="D2644" s="5">
        <v>27725</v>
      </c>
      <c r="E2644" s="5">
        <f t="shared" si="85"/>
        <v>31075</v>
      </c>
      <c r="F2644" s="5">
        <v>68600</v>
      </c>
      <c r="K2644" s="24">
        <v>2030.5</v>
      </c>
      <c r="L2644" s="6">
        <v>2046.5</v>
      </c>
      <c r="M2644" s="270">
        <f t="shared" si="86"/>
        <v>16</v>
      </c>
      <c r="N2644" s="19"/>
      <c r="O2644" s="280"/>
      <c r="P2644" s="345">
        <v>17300</v>
      </c>
      <c r="Q2644" s="28">
        <v>0.14419999999999999</v>
      </c>
      <c r="U2644" s="29">
        <v>0.1</v>
      </c>
      <c r="W2644" s="741">
        <f t="shared" si="87"/>
        <v>2744.1260000000002</v>
      </c>
    </row>
    <row r="2645" spans="1:23" ht="15" customHeight="1">
      <c r="A2645" s="3">
        <v>39603</v>
      </c>
      <c r="B2645" s="4">
        <v>11350</v>
      </c>
      <c r="D2645" s="5">
        <v>28075</v>
      </c>
      <c r="E2645" s="5">
        <f t="shared" si="85"/>
        <v>32100</v>
      </c>
      <c r="F2645" s="5">
        <v>71525</v>
      </c>
      <c r="K2645" s="24">
        <v>2003</v>
      </c>
      <c r="L2645" s="6">
        <v>2005</v>
      </c>
      <c r="M2645" s="270">
        <f t="shared" si="86"/>
        <v>2</v>
      </c>
      <c r="N2645" s="19"/>
      <c r="O2645" s="280"/>
      <c r="P2645" s="345">
        <v>17400</v>
      </c>
      <c r="Q2645" s="28">
        <v>0.1444</v>
      </c>
      <c r="U2645" s="29">
        <v>0.1</v>
      </c>
      <c r="W2645" s="741">
        <f t="shared" si="87"/>
        <v>2763.8160000000003</v>
      </c>
    </row>
    <row r="2646" spans="1:23" ht="15" customHeight="1">
      <c r="A2646" s="3">
        <v>39604</v>
      </c>
      <c r="B2646" s="4">
        <v>12100</v>
      </c>
      <c r="D2646" s="5">
        <v>28350</v>
      </c>
      <c r="E2646" s="5">
        <f t="shared" si="85"/>
        <v>32100</v>
      </c>
      <c r="F2646" s="5">
        <v>72550</v>
      </c>
      <c r="K2646" s="24">
        <v>1942</v>
      </c>
      <c r="L2646" s="6">
        <v>1961</v>
      </c>
      <c r="M2646" s="270">
        <f t="shared" si="86"/>
        <v>19</v>
      </c>
      <c r="N2646" s="19"/>
      <c r="O2646" s="280"/>
      <c r="P2646" s="345">
        <v>17400</v>
      </c>
      <c r="Q2646" s="28">
        <v>0.14410000000000001</v>
      </c>
      <c r="U2646" s="29">
        <v>0.1</v>
      </c>
      <c r="W2646" s="741">
        <f t="shared" si="87"/>
        <v>2758.0740000000005</v>
      </c>
    </row>
    <row r="2647" spans="1:23" ht="15" customHeight="1">
      <c r="A2647" s="3">
        <v>39605</v>
      </c>
      <c r="B2647" s="4">
        <v>12700</v>
      </c>
      <c r="D2647" s="5">
        <v>28750</v>
      </c>
      <c r="E2647" s="5">
        <f t="shared" si="85"/>
        <v>32075</v>
      </c>
      <c r="F2647" s="5">
        <v>73525</v>
      </c>
      <c r="K2647" s="24">
        <v>1935.5</v>
      </c>
      <c r="L2647" s="6">
        <v>1955</v>
      </c>
      <c r="M2647" s="270">
        <f t="shared" si="86"/>
        <v>19.5</v>
      </c>
      <c r="N2647" s="19"/>
      <c r="O2647" s="280"/>
      <c r="P2647" s="345">
        <v>17350</v>
      </c>
      <c r="Q2647" s="28">
        <v>0.14410000000000001</v>
      </c>
      <c r="U2647" s="29">
        <v>0.1</v>
      </c>
      <c r="W2647" s="741">
        <f t="shared" si="87"/>
        <v>2750.1485000000002</v>
      </c>
    </row>
    <row r="2648" spans="1:23" ht="15" customHeight="1">
      <c r="A2648" s="3">
        <v>39608</v>
      </c>
      <c r="B2648" s="4">
        <v>11800</v>
      </c>
      <c r="D2648" s="5">
        <v>28825</v>
      </c>
      <c r="E2648" s="5">
        <f t="shared" si="85"/>
        <v>31975</v>
      </c>
      <c r="F2648" s="5">
        <v>72600</v>
      </c>
      <c r="K2648" s="24">
        <v>1935</v>
      </c>
      <c r="L2648" s="6">
        <v>1951</v>
      </c>
      <c r="M2648" s="270">
        <f t="shared" si="86"/>
        <v>16</v>
      </c>
      <c r="N2648" s="19"/>
      <c r="O2648" s="280"/>
      <c r="P2648" s="364"/>
      <c r="Q2648" s="996" t="s">
        <v>10</v>
      </c>
      <c r="R2648" s="996"/>
      <c r="S2648" s="996"/>
      <c r="T2648" s="996"/>
      <c r="U2648" s="996"/>
      <c r="W2648" s="741" t="e">
        <f t="shared" si="87"/>
        <v>#VALUE!</v>
      </c>
    </row>
    <row r="2649" spans="1:23" ht="15" customHeight="1">
      <c r="A2649" s="3">
        <v>39609</v>
      </c>
      <c r="B2649" s="4">
        <v>11475</v>
      </c>
      <c r="D2649" s="5">
        <v>28975</v>
      </c>
      <c r="E2649" s="5">
        <f t="shared" si="85"/>
        <v>31925</v>
      </c>
      <c r="F2649" s="5">
        <v>72375</v>
      </c>
      <c r="K2649" s="24">
        <v>1950</v>
      </c>
      <c r="L2649" s="6">
        <v>1974</v>
      </c>
      <c r="M2649" s="270">
        <f t="shared" si="86"/>
        <v>24</v>
      </c>
      <c r="N2649" s="19"/>
      <c r="O2649" s="280"/>
      <c r="P2649" s="345">
        <v>17250</v>
      </c>
      <c r="Q2649" s="28">
        <v>0.1444</v>
      </c>
      <c r="U2649" s="29">
        <v>0.1</v>
      </c>
      <c r="W2649" s="741">
        <f t="shared" si="87"/>
        <v>2739.9900000000002</v>
      </c>
    </row>
    <row r="2650" spans="1:23" ht="15" customHeight="1">
      <c r="A2650" s="3">
        <v>39610</v>
      </c>
      <c r="B2650" s="4">
        <v>12425</v>
      </c>
      <c r="D2650" s="5">
        <v>28975</v>
      </c>
      <c r="E2650" s="5">
        <f t="shared" si="85"/>
        <v>33075</v>
      </c>
      <c r="F2650" s="5">
        <v>74475</v>
      </c>
      <c r="K2650" s="24">
        <v>1901</v>
      </c>
      <c r="L2650" s="6">
        <v>1901.5</v>
      </c>
      <c r="M2650" s="270">
        <f t="shared" si="86"/>
        <v>0.5</v>
      </c>
      <c r="N2650" s="19"/>
      <c r="O2650" s="280"/>
      <c r="P2650" s="345">
        <v>17250</v>
      </c>
      <c r="Q2650" s="28">
        <v>0.14449999999999999</v>
      </c>
      <c r="U2650" s="29">
        <v>0.1</v>
      </c>
      <c r="W2650" s="741">
        <f t="shared" si="87"/>
        <v>2741.8875000000003</v>
      </c>
    </row>
    <row r="2651" spans="1:23" ht="15" customHeight="1">
      <c r="A2651" s="3">
        <v>39611</v>
      </c>
      <c r="B2651" s="4">
        <v>12100</v>
      </c>
      <c r="D2651" s="5">
        <v>29050</v>
      </c>
      <c r="E2651" s="5">
        <f t="shared" si="85"/>
        <v>33025</v>
      </c>
      <c r="F2651" s="5">
        <v>74175</v>
      </c>
      <c r="K2651" s="24">
        <v>1837</v>
      </c>
      <c r="L2651" s="6">
        <v>1855</v>
      </c>
      <c r="M2651" s="270">
        <f t="shared" si="86"/>
        <v>18</v>
      </c>
      <c r="N2651" s="19"/>
      <c r="O2651" s="280"/>
      <c r="P2651" s="345">
        <v>17225</v>
      </c>
      <c r="Q2651" s="28">
        <v>0.14460000000000001</v>
      </c>
      <c r="U2651" s="29">
        <v>0.1</v>
      </c>
      <c r="W2651" s="741">
        <f t="shared" si="87"/>
        <v>2739.8085000000005</v>
      </c>
    </row>
    <row r="2652" spans="1:23" ht="15" customHeight="1">
      <c r="A2652" s="3">
        <v>39612</v>
      </c>
      <c r="B2652" s="4">
        <v>17375</v>
      </c>
      <c r="D2652" s="5">
        <v>29050</v>
      </c>
      <c r="E2652" s="5">
        <f t="shared" si="85"/>
        <v>32875</v>
      </c>
      <c r="F2652" s="5">
        <v>79300</v>
      </c>
      <c r="K2652" s="24">
        <v>1800.5</v>
      </c>
      <c r="L2652" s="6">
        <v>1825</v>
      </c>
      <c r="M2652" s="270">
        <f t="shared" si="86"/>
        <v>24.5</v>
      </c>
      <c r="N2652" s="19"/>
      <c r="O2652" s="280"/>
      <c r="P2652" s="345">
        <v>17100</v>
      </c>
      <c r="Q2652" s="28">
        <v>0.1449</v>
      </c>
      <c r="U2652" s="29">
        <v>0.1</v>
      </c>
      <c r="W2652" s="741">
        <f t="shared" si="87"/>
        <v>2725.569</v>
      </c>
    </row>
    <row r="2653" spans="1:23" ht="15" customHeight="1">
      <c r="A2653" s="3">
        <v>39615</v>
      </c>
      <c r="B2653" s="4">
        <v>21350</v>
      </c>
      <c r="D2653" s="5">
        <v>29100</v>
      </c>
      <c r="E2653" s="5">
        <f t="shared" si="85"/>
        <v>28850</v>
      </c>
      <c r="F2653" s="5">
        <v>79300</v>
      </c>
      <c r="K2653" s="24">
        <v>1738</v>
      </c>
      <c r="L2653" s="6">
        <v>1746</v>
      </c>
      <c r="M2653" s="270">
        <f t="shared" si="86"/>
        <v>8</v>
      </c>
      <c r="N2653" s="19"/>
      <c r="O2653" s="280"/>
      <c r="P2653" s="345">
        <v>17000</v>
      </c>
      <c r="Q2653" s="28">
        <v>0.1449</v>
      </c>
      <c r="U2653" s="29">
        <v>0.1</v>
      </c>
      <c r="W2653" s="741">
        <f t="shared" si="87"/>
        <v>2709.6300000000006</v>
      </c>
    </row>
    <row r="2654" spans="1:23" ht="15" customHeight="1">
      <c r="A2654" s="3">
        <v>39616</v>
      </c>
      <c r="B2654" s="4">
        <v>26700</v>
      </c>
      <c r="D2654" s="5">
        <v>29300</v>
      </c>
      <c r="E2654" s="5">
        <f t="shared" si="85"/>
        <v>38875</v>
      </c>
      <c r="F2654" s="5">
        <v>94875</v>
      </c>
      <c r="K2654" s="24">
        <v>1802</v>
      </c>
      <c r="L2654" s="6">
        <v>1825</v>
      </c>
      <c r="M2654" s="270">
        <f t="shared" si="86"/>
        <v>23</v>
      </c>
      <c r="N2654" s="19"/>
      <c r="O2654" s="280"/>
      <c r="P2654" s="345">
        <v>17000</v>
      </c>
      <c r="Q2654" s="28">
        <v>0.1449</v>
      </c>
      <c r="U2654" s="29">
        <v>0.1</v>
      </c>
      <c r="W2654" s="741">
        <f t="shared" si="87"/>
        <v>2709.6300000000006</v>
      </c>
    </row>
    <row r="2655" spans="1:23" ht="15" customHeight="1">
      <c r="A2655" s="3">
        <v>39617</v>
      </c>
      <c r="B2655" s="4">
        <v>28450</v>
      </c>
      <c r="D2655" s="5">
        <v>29325</v>
      </c>
      <c r="E2655" s="5">
        <f t="shared" si="85"/>
        <v>39000</v>
      </c>
      <c r="F2655" s="5">
        <v>96775</v>
      </c>
      <c r="K2655" s="24">
        <v>1886</v>
      </c>
      <c r="L2655" s="6">
        <v>1906</v>
      </c>
      <c r="M2655" s="270">
        <f t="shared" si="86"/>
        <v>20</v>
      </c>
      <c r="N2655" s="19"/>
      <c r="O2655" s="280"/>
      <c r="P2655" s="345">
        <v>17000</v>
      </c>
      <c r="Q2655" s="28">
        <v>0.14510000000000001</v>
      </c>
      <c r="U2655" s="29">
        <v>0.1</v>
      </c>
      <c r="W2655" s="741">
        <f t="shared" si="87"/>
        <v>2713.3700000000003</v>
      </c>
    </row>
    <row r="2656" spans="1:23" ht="15" customHeight="1">
      <c r="A2656" s="3">
        <v>39618</v>
      </c>
      <c r="B2656" s="4">
        <v>28875</v>
      </c>
      <c r="D2656" s="5">
        <v>29350</v>
      </c>
      <c r="E2656" s="5">
        <f t="shared" si="85"/>
        <v>39000</v>
      </c>
      <c r="F2656" s="5">
        <v>97225</v>
      </c>
      <c r="K2656" s="24">
        <v>1806.5</v>
      </c>
      <c r="L2656" s="6">
        <v>1840</v>
      </c>
      <c r="M2656" s="270">
        <f t="shared" si="86"/>
        <v>33.5</v>
      </c>
      <c r="N2656" s="19"/>
      <c r="O2656" s="280"/>
      <c r="P2656" s="345">
        <v>17050</v>
      </c>
      <c r="Q2656" s="28">
        <v>0.14530000000000001</v>
      </c>
      <c r="U2656" s="29">
        <v>0.1</v>
      </c>
      <c r="W2656" s="741">
        <f t="shared" si="87"/>
        <v>2725.1015000000007</v>
      </c>
    </row>
    <row r="2657" spans="1:23" ht="15" customHeight="1">
      <c r="A2657" s="3">
        <v>39619</v>
      </c>
      <c r="B2657" s="4">
        <v>27975</v>
      </c>
      <c r="D2657" s="5">
        <v>29400</v>
      </c>
      <c r="E2657" s="5">
        <f t="shared" si="85"/>
        <v>39000</v>
      </c>
      <c r="F2657" s="5">
        <v>96375</v>
      </c>
      <c r="K2657" s="24">
        <v>1870</v>
      </c>
      <c r="L2657" s="6">
        <v>1875</v>
      </c>
      <c r="M2657" s="270">
        <f t="shared" si="86"/>
        <v>5</v>
      </c>
      <c r="N2657" s="7"/>
      <c r="O2657" s="277"/>
      <c r="P2657" s="345">
        <v>16950</v>
      </c>
      <c r="Q2657" s="28">
        <v>0.1454</v>
      </c>
      <c r="U2657" s="29">
        <v>0.1</v>
      </c>
      <c r="W2657" s="741">
        <f t="shared" si="87"/>
        <v>2710.9830000000006</v>
      </c>
    </row>
    <row r="2658" spans="1:23" ht="15" customHeight="1">
      <c r="A2658" s="3">
        <v>39622</v>
      </c>
      <c r="B2658" s="4">
        <v>27250</v>
      </c>
      <c r="D2658" s="5">
        <v>29350</v>
      </c>
      <c r="E2658" s="5">
        <f t="shared" si="85"/>
        <v>39050</v>
      </c>
      <c r="F2658" s="5">
        <v>95650</v>
      </c>
      <c r="K2658" s="24">
        <v>1821</v>
      </c>
      <c r="L2658" s="6">
        <v>1855</v>
      </c>
      <c r="M2658" s="270">
        <f t="shared" ref="M2658:M2721" si="88">L2658-K2658</f>
        <v>34</v>
      </c>
      <c r="N2658" s="19"/>
      <c r="O2658" s="280"/>
      <c r="P2658" s="345">
        <v>17000</v>
      </c>
      <c r="Q2658" s="28">
        <v>0.14530000000000001</v>
      </c>
      <c r="U2658" s="29">
        <v>0.1</v>
      </c>
      <c r="W2658" s="741">
        <f t="shared" si="87"/>
        <v>2717.1100000000006</v>
      </c>
    </row>
    <row r="2659" spans="1:23" ht="15" customHeight="1">
      <c r="A2659" s="3">
        <v>39623</v>
      </c>
      <c r="B2659" s="4">
        <v>28275</v>
      </c>
      <c r="D2659" s="5">
        <v>29425</v>
      </c>
      <c r="E2659" s="5">
        <f t="shared" si="85"/>
        <v>39050</v>
      </c>
      <c r="F2659" s="5">
        <v>96750</v>
      </c>
      <c r="K2659" s="24">
        <v>1801</v>
      </c>
      <c r="L2659" s="6">
        <v>1830.5</v>
      </c>
      <c r="M2659" s="270">
        <f t="shared" si="88"/>
        <v>29.5</v>
      </c>
      <c r="N2659" s="19"/>
      <c r="O2659" s="280"/>
      <c r="P2659" s="345">
        <v>17000</v>
      </c>
      <c r="Q2659" s="28">
        <v>0.14549999999999999</v>
      </c>
      <c r="U2659" s="29">
        <v>0.1</v>
      </c>
      <c r="W2659" s="741">
        <f t="shared" si="87"/>
        <v>2720.8500000000004</v>
      </c>
    </row>
    <row r="2660" spans="1:23" ht="15" customHeight="1">
      <c r="A2660" s="3">
        <v>39624</v>
      </c>
      <c r="B2660" s="4">
        <v>30200</v>
      </c>
      <c r="D2660" s="5">
        <v>29425</v>
      </c>
      <c r="E2660" s="5">
        <f t="shared" si="85"/>
        <v>39050</v>
      </c>
      <c r="F2660" s="5">
        <v>98675</v>
      </c>
      <c r="K2660" s="24">
        <v>1773.5</v>
      </c>
      <c r="L2660" s="6">
        <v>1796</v>
      </c>
      <c r="M2660" s="270">
        <f t="shared" si="88"/>
        <v>22.5</v>
      </c>
      <c r="N2660" s="7"/>
      <c r="O2660" s="277"/>
      <c r="P2660" s="345">
        <v>16950</v>
      </c>
      <c r="Q2660" s="28">
        <v>0.14560000000000001</v>
      </c>
      <c r="U2660" s="29">
        <v>0.1</v>
      </c>
      <c r="W2660" s="741">
        <f t="shared" si="87"/>
        <v>2714.7120000000004</v>
      </c>
    </row>
    <row r="2661" spans="1:23" ht="15" customHeight="1">
      <c r="A2661" s="3">
        <v>39625</v>
      </c>
      <c r="B2661" s="4">
        <v>31100</v>
      </c>
      <c r="D2661" s="5">
        <v>29400</v>
      </c>
      <c r="E2661" s="5">
        <f t="shared" si="85"/>
        <v>39100</v>
      </c>
      <c r="F2661" s="5">
        <v>99600</v>
      </c>
      <c r="K2661" s="24">
        <v>1800</v>
      </c>
      <c r="L2661" s="6">
        <v>1809</v>
      </c>
      <c r="M2661" s="270">
        <f t="shared" si="88"/>
        <v>9</v>
      </c>
      <c r="N2661" s="19"/>
      <c r="O2661" s="280"/>
      <c r="P2661" s="345">
        <v>16900</v>
      </c>
      <c r="Q2661" s="28">
        <v>0.1457</v>
      </c>
      <c r="U2661" s="29">
        <v>0.1</v>
      </c>
      <c r="W2661" s="741">
        <f t="shared" si="87"/>
        <v>2708.5630000000001</v>
      </c>
    </row>
    <row r="2662" spans="1:23" ht="15" customHeight="1">
      <c r="A2662" s="3">
        <v>39626</v>
      </c>
      <c r="B2662" s="4">
        <v>31750</v>
      </c>
      <c r="D2662" s="5">
        <v>29475</v>
      </c>
      <c r="E2662" s="5">
        <f t="shared" si="85"/>
        <v>39600</v>
      </c>
      <c r="F2662" s="5">
        <v>100825</v>
      </c>
      <c r="K2662" s="24">
        <v>1796</v>
      </c>
      <c r="L2662" s="6">
        <v>1820</v>
      </c>
      <c r="M2662" s="270">
        <f t="shared" si="88"/>
        <v>24</v>
      </c>
      <c r="N2662" s="19"/>
      <c r="O2662" s="280"/>
      <c r="P2662" s="345">
        <v>16900</v>
      </c>
      <c r="Q2662" s="28">
        <v>0.1457</v>
      </c>
      <c r="U2662" s="29">
        <v>0.1</v>
      </c>
      <c r="W2662" s="741">
        <f t="shared" si="87"/>
        <v>2708.5630000000001</v>
      </c>
    </row>
    <row r="2663" spans="1:23" ht="15" customHeight="1" thickBot="1">
      <c r="A2663" s="12">
        <v>39629</v>
      </c>
      <c r="B2663" s="13">
        <v>32775</v>
      </c>
      <c r="C2663" s="13"/>
      <c r="D2663" s="14">
        <v>29525</v>
      </c>
      <c r="E2663" s="14">
        <f t="shared" si="85"/>
        <v>39600</v>
      </c>
      <c r="F2663" s="14">
        <v>101900</v>
      </c>
      <c r="G2663" s="14"/>
      <c r="H2663" s="14"/>
      <c r="I2663" s="14"/>
      <c r="J2663" s="264"/>
      <c r="K2663" s="25">
        <v>1735.5</v>
      </c>
      <c r="L2663" s="15">
        <v>1765</v>
      </c>
      <c r="M2663" s="271">
        <f t="shared" si="88"/>
        <v>29.5</v>
      </c>
      <c r="N2663" s="20">
        <f>AVERAGE(K2643:K2663)</f>
        <v>1863.047619047619</v>
      </c>
      <c r="O2663" s="281">
        <f>AVERAGE(K2535:K2663)</f>
        <v>2601.0920000000001</v>
      </c>
      <c r="P2663" s="346">
        <v>16900</v>
      </c>
      <c r="Q2663" s="30">
        <v>0.1457</v>
      </c>
      <c r="R2663" s="30"/>
      <c r="S2663" s="30"/>
      <c r="T2663" s="30"/>
      <c r="U2663" s="31">
        <v>0.1</v>
      </c>
      <c r="V2663" s="46">
        <f>AVERAGE(P2643:P2663)</f>
        <v>17111.25</v>
      </c>
      <c r="W2663" s="741">
        <f t="shared" si="87"/>
        <v>2708.5630000000001</v>
      </c>
    </row>
    <row r="2664" spans="1:23" ht="15" customHeight="1">
      <c r="A2664" s="3">
        <v>39630</v>
      </c>
      <c r="B2664" s="4">
        <v>31150</v>
      </c>
      <c r="D2664" s="5">
        <v>29525</v>
      </c>
      <c r="E2664" s="5">
        <f t="shared" si="85"/>
        <v>40675</v>
      </c>
      <c r="F2664" s="5">
        <v>101350</v>
      </c>
      <c r="K2664" s="24">
        <v>1761</v>
      </c>
      <c r="L2664" s="6">
        <v>1788</v>
      </c>
      <c r="M2664" s="270">
        <f t="shared" si="88"/>
        <v>27</v>
      </c>
      <c r="N2664" s="21"/>
      <c r="O2664" s="283"/>
      <c r="P2664" s="345">
        <v>16800</v>
      </c>
      <c r="Q2664" s="28">
        <v>0.1459</v>
      </c>
      <c r="U2664" s="29">
        <v>0.1</v>
      </c>
      <c r="W2664" s="741">
        <f t="shared" si="87"/>
        <v>2696.232</v>
      </c>
    </row>
    <row r="2665" spans="1:23" ht="15" customHeight="1">
      <c r="A2665" s="3">
        <v>39631</v>
      </c>
      <c r="B2665" s="4">
        <v>31025</v>
      </c>
      <c r="D2665" s="5">
        <v>29800</v>
      </c>
      <c r="E2665" s="5">
        <f t="shared" si="85"/>
        <v>39650</v>
      </c>
      <c r="F2665" s="5">
        <v>100475</v>
      </c>
      <c r="K2665" s="24">
        <v>1720</v>
      </c>
      <c r="L2665" s="6">
        <v>1741</v>
      </c>
      <c r="M2665" s="270">
        <f t="shared" si="88"/>
        <v>21</v>
      </c>
      <c r="N2665" s="19"/>
      <c r="O2665" s="280"/>
      <c r="P2665" s="345">
        <v>16750</v>
      </c>
      <c r="Q2665" s="28">
        <v>0.1459</v>
      </c>
      <c r="U2665" s="29">
        <v>0.1</v>
      </c>
      <c r="W2665" s="741">
        <f t="shared" si="87"/>
        <v>2688.2075</v>
      </c>
    </row>
    <row r="2666" spans="1:23" ht="15" customHeight="1">
      <c r="A2666" s="3">
        <v>39632</v>
      </c>
      <c r="B2666" s="4">
        <v>31000</v>
      </c>
      <c r="D2666" s="5">
        <v>29850</v>
      </c>
      <c r="E2666" s="5">
        <f t="shared" si="85"/>
        <v>39650</v>
      </c>
      <c r="F2666" s="5">
        <v>100500</v>
      </c>
      <c r="K2666" s="24">
        <v>1621</v>
      </c>
      <c r="L2666" s="6">
        <v>1646</v>
      </c>
      <c r="M2666" s="270">
        <f t="shared" si="88"/>
        <v>25</v>
      </c>
      <c r="N2666" s="19"/>
      <c r="O2666" s="280"/>
      <c r="P2666" s="345">
        <v>16600</v>
      </c>
      <c r="Q2666" s="28">
        <v>0.1459</v>
      </c>
      <c r="U2666" s="29">
        <v>0.1</v>
      </c>
      <c r="W2666" s="741">
        <f t="shared" si="87"/>
        <v>2664.1340000000005</v>
      </c>
    </row>
    <row r="2667" spans="1:23" ht="15" customHeight="1">
      <c r="A2667" s="3">
        <v>39633</v>
      </c>
      <c r="B2667" s="4">
        <v>31175</v>
      </c>
      <c r="D2667" s="5">
        <v>29850</v>
      </c>
      <c r="E2667" s="5">
        <f t="shared" si="85"/>
        <v>39650</v>
      </c>
      <c r="F2667" s="5">
        <v>100675</v>
      </c>
      <c r="K2667" s="24">
        <v>1546.5</v>
      </c>
      <c r="L2667" s="6">
        <v>1565</v>
      </c>
      <c r="M2667" s="270">
        <f t="shared" si="88"/>
        <v>18.5</v>
      </c>
      <c r="N2667" s="19"/>
      <c r="O2667" s="280"/>
      <c r="P2667" s="345">
        <v>16300</v>
      </c>
      <c r="Q2667" s="28">
        <v>0.14599999999999999</v>
      </c>
      <c r="U2667" s="29">
        <v>0.1</v>
      </c>
      <c r="W2667" s="741">
        <f t="shared" si="87"/>
        <v>2617.7799999999997</v>
      </c>
    </row>
    <row r="2668" spans="1:23" ht="15" customHeight="1">
      <c r="A2668" s="3">
        <v>39636</v>
      </c>
      <c r="B2668" s="4">
        <v>31275</v>
      </c>
      <c r="D2668" s="5">
        <v>30050</v>
      </c>
      <c r="E2668" s="5">
        <f t="shared" si="85"/>
        <v>39650</v>
      </c>
      <c r="F2668" s="5">
        <v>100975</v>
      </c>
      <c r="K2668" s="24">
        <v>1564.5</v>
      </c>
      <c r="L2668" s="6">
        <v>1582</v>
      </c>
      <c r="M2668" s="270">
        <f t="shared" si="88"/>
        <v>17.5</v>
      </c>
      <c r="N2668" s="19"/>
      <c r="O2668" s="280"/>
      <c r="P2668" s="345">
        <v>16000</v>
      </c>
      <c r="Q2668" s="28">
        <v>0.14580000000000001</v>
      </c>
      <c r="U2668" s="29">
        <v>0.1</v>
      </c>
      <c r="W2668" s="741">
        <f t="shared" si="87"/>
        <v>2566.0800000000004</v>
      </c>
    </row>
    <row r="2669" spans="1:23" ht="15" customHeight="1">
      <c r="A2669" s="3">
        <v>39637</v>
      </c>
      <c r="B2669" s="4">
        <v>30075</v>
      </c>
      <c r="D2669" s="5">
        <v>30050</v>
      </c>
      <c r="E2669" s="5">
        <f t="shared" si="85"/>
        <v>40350</v>
      </c>
      <c r="F2669" s="5">
        <v>100475</v>
      </c>
      <c r="K2669" s="24">
        <v>1652</v>
      </c>
      <c r="L2669" s="6">
        <v>1670</v>
      </c>
      <c r="M2669" s="270">
        <f t="shared" si="88"/>
        <v>18</v>
      </c>
      <c r="N2669" s="19"/>
      <c r="O2669" s="280"/>
      <c r="P2669" s="345">
        <v>16000</v>
      </c>
      <c r="Q2669" s="28">
        <v>0.14560000000000001</v>
      </c>
      <c r="U2669" s="29">
        <v>0.1</v>
      </c>
      <c r="W2669" s="741">
        <f t="shared" ref="W2669:W2732" si="89">(P2669*Q2669)*(1+U2669)</f>
        <v>2562.56</v>
      </c>
    </row>
    <row r="2670" spans="1:23" ht="15" customHeight="1">
      <c r="A2670" s="3">
        <v>39638</v>
      </c>
      <c r="B2670" s="4">
        <v>31450</v>
      </c>
      <c r="D2670" s="5">
        <v>30050</v>
      </c>
      <c r="E2670" s="5">
        <f t="shared" si="85"/>
        <v>40350</v>
      </c>
      <c r="F2670" s="5">
        <v>101850</v>
      </c>
      <c r="K2670" s="24">
        <v>1707</v>
      </c>
      <c r="L2670" s="6">
        <v>1711.5</v>
      </c>
      <c r="M2670" s="270">
        <f t="shared" si="88"/>
        <v>4.5</v>
      </c>
      <c r="N2670" s="19"/>
      <c r="O2670" s="280"/>
      <c r="P2670" s="345">
        <v>16000</v>
      </c>
      <c r="Q2670" s="28">
        <v>0.14580000000000001</v>
      </c>
      <c r="U2670" s="29">
        <v>0.1</v>
      </c>
      <c r="W2670" s="741">
        <f t="shared" si="89"/>
        <v>2566.0800000000004</v>
      </c>
    </row>
    <row r="2671" spans="1:23" ht="15" customHeight="1">
      <c r="A2671" s="3">
        <v>39639</v>
      </c>
      <c r="B2671" s="4">
        <v>30450</v>
      </c>
      <c r="D2671" s="5">
        <v>30275</v>
      </c>
      <c r="E2671" s="5">
        <f t="shared" si="85"/>
        <v>40450</v>
      </c>
      <c r="F2671" s="5">
        <v>101175</v>
      </c>
      <c r="K2671" s="24">
        <v>1902</v>
      </c>
      <c r="L2671" s="6">
        <v>1891</v>
      </c>
      <c r="M2671" s="270">
        <f t="shared" si="88"/>
        <v>-11</v>
      </c>
      <c r="N2671" s="19"/>
      <c r="O2671" s="280"/>
      <c r="P2671" s="345">
        <v>16000</v>
      </c>
      <c r="Q2671" s="28">
        <v>0.14580000000000001</v>
      </c>
      <c r="U2671" s="29">
        <v>0.1</v>
      </c>
      <c r="W2671" s="741">
        <f t="shared" si="89"/>
        <v>2566.0800000000004</v>
      </c>
    </row>
    <row r="2672" spans="1:23" ht="15" customHeight="1">
      <c r="A2672" s="3">
        <v>39640</v>
      </c>
      <c r="B2672" s="4">
        <v>28225</v>
      </c>
      <c r="D2672" s="5">
        <v>30275</v>
      </c>
      <c r="E2672" s="5">
        <f t="shared" si="85"/>
        <v>40450</v>
      </c>
      <c r="F2672" s="5">
        <v>98950</v>
      </c>
      <c r="K2672" s="24">
        <v>2005.5</v>
      </c>
      <c r="L2672" s="6">
        <v>2001</v>
      </c>
      <c r="M2672" s="270">
        <f t="shared" si="88"/>
        <v>-4.5</v>
      </c>
      <c r="N2672" s="19"/>
      <c r="O2672" s="280"/>
      <c r="P2672" s="345">
        <v>16300</v>
      </c>
      <c r="Q2672" s="28">
        <v>0.14610000000000001</v>
      </c>
      <c r="U2672" s="29">
        <v>0.1</v>
      </c>
      <c r="W2672" s="741">
        <f t="shared" si="89"/>
        <v>2619.5730000000003</v>
      </c>
    </row>
    <row r="2673" spans="1:23" ht="15" customHeight="1">
      <c r="A2673" s="3">
        <v>39643</v>
      </c>
      <c r="B2673" s="4">
        <v>24850</v>
      </c>
      <c r="D2673" s="5">
        <v>30475</v>
      </c>
      <c r="E2673" s="5">
        <f t="shared" si="85"/>
        <v>40450</v>
      </c>
      <c r="F2673" s="5">
        <v>95775</v>
      </c>
      <c r="K2673" s="24">
        <v>1946</v>
      </c>
      <c r="L2673" s="6">
        <v>1955</v>
      </c>
      <c r="M2673" s="270">
        <f t="shared" si="88"/>
        <v>9</v>
      </c>
      <c r="N2673" s="19"/>
      <c r="O2673" s="280"/>
      <c r="P2673" s="345">
        <v>16500</v>
      </c>
      <c r="Q2673" s="28">
        <v>0.14630000000000001</v>
      </c>
      <c r="U2673" s="29">
        <v>0.1</v>
      </c>
      <c r="W2673" s="741">
        <f t="shared" si="89"/>
        <v>2655.3450000000007</v>
      </c>
    </row>
    <row r="2674" spans="1:23" ht="15" customHeight="1">
      <c r="A2674" s="3">
        <v>39644</v>
      </c>
      <c r="B2674" s="4">
        <v>24225</v>
      </c>
      <c r="D2674" s="5">
        <v>30350</v>
      </c>
      <c r="E2674" s="5">
        <f t="shared" si="85"/>
        <v>40325</v>
      </c>
      <c r="F2674" s="5">
        <v>94900</v>
      </c>
      <c r="K2674" s="24">
        <v>1968.5</v>
      </c>
      <c r="L2674" s="6">
        <v>1975.5</v>
      </c>
      <c r="M2674" s="270">
        <f t="shared" si="88"/>
        <v>7</v>
      </c>
      <c r="N2674" s="19"/>
      <c r="O2674" s="280"/>
      <c r="P2674" s="345">
        <v>16700</v>
      </c>
      <c r="Q2674" s="28">
        <v>0.14610000000000001</v>
      </c>
      <c r="U2674" s="29">
        <v>0.1</v>
      </c>
      <c r="W2674" s="741">
        <f t="shared" si="89"/>
        <v>2683.8570000000004</v>
      </c>
    </row>
    <row r="2675" spans="1:23" ht="15" customHeight="1">
      <c r="A2675" s="3">
        <v>39645</v>
      </c>
      <c r="B2675" s="4">
        <v>23900</v>
      </c>
      <c r="D2675" s="5">
        <v>29575</v>
      </c>
      <c r="E2675" s="5">
        <f t="shared" si="85"/>
        <v>39975</v>
      </c>
      <c r="F2675" s="5">
        <v>93450</v>
      </c>
      <c r="K2675" s="24">
        <v>1896</v>
      </c>
      <c r="L2675" s="6">
        <v>1905.5</v>
      </c>
      <c r="M2675" s="270">
        <f t="shared" si="88"/>
        <v>9.5</v>
      </c>
      <c r="N2675" s="19"/>
      <c r="O2675" s="280"/>
      <c r="P2675" s="345">
        <v>16900</v>
      </c>
      <c r="Q2675" s="28">
        <v>0.14660000000000001</v>
      </c>
      <c r="U2675" s="29">
        <v>0.1</v>
      </c>
      <c r="W2675" s="741">
        <f t="shared" si="89"/>
        <v>2725.2940000000003</v>
      </c>
    </row>
    <row r="2676" spans="1:23" ht="15" customHeight="1">
      <c r="A2676" s="3">
        <v>39646</v>
      </c>
      <c r="B2676" s="4">
        <v>23900</v>
      </c>
      <c r="D2676" s="5">
        <v>28950</v>
      </c>
      <c r="E2676" s="5">
        <f t="shared" si="85"/>
        <v>41025</v>
      </c>
      <c r="F2676" s="5">
        <v>93875</v>
      </c>
      <c r="K2676" s="24">
        <v>1941</v>
      </c>
      <c r="L2676" s="6">
        <v>1939</v>
      </c>
      <c r="M2676" s="270">
        <f t="shared" si="88"/>
        <v>-2</v>
      </c>
      <c r="N2676" s="19"/>
      <c r="O2676" s="280"/>
      <c r="P2676" s="345">
        <v>16900</v>
      </c>
      <c r="Q2676" s="28">
        <v>0.14680000000000001</v>
      </c>
      <c r="U2676" s="29">
        <v>0.1</v>
      </c>
      <c r="W2676" s="741">
        <f t="shared" si="89"/>
        <v>2729.0120000000002</v>
      </c>
    </row>
    <row r="2677" spans="1:23" ht="15" customHeight="1">
      <c r="A2677" s="3">
        <v>39647</v>
      </c>
      <c r="B2677" s="4">
        <v>23200</v>
      </c>
      <c r="D2677" s="5">
        <v>28475</v>
      </c>
      <c r="E2677" s="5">
        <f t="shared" si="85"/>
        <v>41050</v>
      </c>
      <c r="F2677" s="5">
        <v>92725</v>
      </c>
      <c r="K2677" s="24">
        <v>1946</v>
      </c>
      <c r="L2677" s="6">
        <v>1945.5</v>
      </c>
      <c r="M2677" s="270">
        <f t="shared" si="88"/>
        <v>-0.5</v>
      </c>
      <c r="N2677" s="19"/>
      <c r="O2677" s="280"/>
      <c r="P2677" s="345">
        <v>17050</v>
      </c>
      <c r="Q2677" s="28">
        <v>0.14660000000000001</v>
      </c>
      <c r="U2677" s="29">
        <v>0.1</v>
      </c>
      <c r="W2677" s="741">
        <f t="shared" si="89"/>
        <v>2749.4830000000006</v>
      </c>
    </row>
    <row r="2678" spans="1:23" ht="15" customHeight="1">
      <c r="A2678" s="3">
        <v>39650</v>
      </c>
      <c r="B2678" s="4">
        <v>22500</v>
      </c>
      <c r="D2678" s="5">
        <v>28725</v>
      </c>
      <c r="E2678" s="5">
        <f t="shared" si="85"/>
        <v>40800</v>
      </c>
      <c r="F2678" s="5">
        <v>92025</v>
      </c>
      <c r="K2678" s="24">
        <v>2035.5</v>
      </c>
      <c r="L2678" s="6">
        <v>2021</v>
      </c>
      <c r="M2678" s="270">
        <f t="shared" si="88"/>
        <v>-14.5</v>
      </c>
      <c r="N2678" s="19"/>
      <c r="O2678" s="280"/>
      <c r="P2678" s="345">
        <v>17200</v>
      </c>
      <c r="Q2678" s="28">
        <v>0.1467</v>
      </c>
      <c r="U2678" s="29">
        <v>0.1</v>
      </c>
      <c r="W2678" s="741">
        <f t="shared" si="89"/>
        <v>2775.5639999999999</v>
      </c>
    </row>
    <row r="2679" spans="1:23" ht="15" customHeight="1">
      <c r="A2679" s="3">
        <v>39651</v>
      </c>
      <c r="B2679" s="4">
        <v>22400</v>
      </c>
      <c r="D2679" s="5">
        <v>28475</v>
      </c>
      <c r="E2679" s="5">
        <f t="shared" si="85"/>
        <v>40500</v>
      </c>
      <c r="F2679" s="5">
        <v>91375</v>
      </c>
      <c r="K2679" s="24">
        <v>2159.5</v>
      </c>
      <c r="L2679" s="6">
        <v>2145</v>
      </c>
      <c r="M2679" s="270">
        <f t="shared" si="88"/>
        <v>-14.5</v>
      </c>
      <c r="N2679" s="19"/>
      <c r="O2679" s="280"/>
      <c r="P2679" s="345">
        <v>17250</v>
      </c>
      <c r="Q2679" s="28">
        <v>0.1464</v>
      </c>
      <c r="U2679" s="29">
        <v>0.1</v>
      </c>
      <c r="W2679" s="741">
        <f t="shared" si="89"/>
        <v>2777.9400000000005</v>
      </c>
    </row>
    <row r="2680" spans="1:23" ht="15" customHeight="1">
      <c r="A2680" s="3">
        <v>39652</v>
      </c>
      <c r="B2680" s="4">
        <v>22325</v>
      </c>
      <c r="D2680" s="5">
        <v>28025</v>
      </c>
      <c r="E2680" s="5">
        <f t="shared" si="85"/>
        <v>40875</v>
      </c>
      <c r="F2680" s="5">
        <v>91225</v>
      </c>
      <c r="K2680" s="24">
        <v>2134</v>
      </c>
      <c r="L2680" s="6">
        <v>2125.5</v>
      </c>
      <c r="M2680" s="270">
        <f t="shared" si="88"/>
        <v>-8.5</v>
      </c>
      <c r="N2680" s="19"/>
      <c r="O2680" s="280"/>
      <c r="P2680" s="345">
        <v>17600</v>
      </c>
      <c r="Q2680" s="28">
        <v>0.14660000000000001</v>
      </c>
      <c r="U2680" s="29">
        <v>0.1</v>
      </c>
      <c r="W2680" s="741">
        <f t="shared" si="89"/>
        <v>2838.1760000000004</v>
      </c>
    </row>
    <row r="2681" spans="1:23" ht="15" customHeight="1">
      <c r="A2681" s="3">
        <v>39653</v>
      </c>
      <c r="B2681" s="4">
        <v>22325</v>
      </c>
      <c r="D2681" s="5">
        <v>27675</v>
      </c>
      <c r="E2681" s="5">
        <f t="shared" si="85"/>
        <v>41100</v>
      </c>
      <c r="F2681" s="5">
        <v>91100</v>
      </c>
      <c r="K2681" s="24">
        <v>2185</v>
      </c>
      <c r="L2681" s="6">
        <v>2189.35</v>
      </c>
      <c r="M2681" s="270">
        <f t="shared" si="88"/>
        <v>4.3499999999999091</v>
      </c>
      <c r="N2681" s="19"/>
      <c r="O2681" s="280"/>
      <c r="P2681" s="345">
        <v>18200</v>
      </c>
      <c r="Q2681" s="28">
        <v>0.14649999999999999</v>
      </c>
      <c r="U2681" s="29">
        <v>0.1</v>
      </c>
      <c r="W2681" s="741">
        <f t="shared" si="89"/>
        <v>2932.93</v>
      </c>
    </row>
    <row r="2682" spans="1:23" ht="15" customHeight="1">
      <c r="A2682" s="3">
        <v>39654</v>
      </c>
      <c r="B2682" s="4">
        <v>22250</v>
      </c>
      <c r="D2682" s="5">
        <v>27400</v>
      </c>
      <c r="E2682" s="5">
        <f t="shared" si="85"/>
        <v>41600</v>
      </c>
      <c r="F2682" s="5">
        <v>91250</v>
      </c>
      <c r="K2682" s="24">
        <v>2145</v>
      </c>
      <c r="L2682" s="6">
        <v>2139.5</v>
      </c>
      <c r="M2682" s="270">
        <f t="shared" si="88"/>
        <v>-5.5</v>
      </c>
      <c r="N2682" s="19"/>
      <c r="O2682" s="280"/>
      <c r="P2682" s="345">
        <v>19300</v>
      </c>
      <c r="Q2682" s="28">
        <v>0.1464</v>
      </c>
      <c r="U2682" s="29">
        <v>0.1</v>
      </c>
      <c r="W2682" s="741">
        <f t="shared" si="89"/>
        <v>3108.0720000000001</v>
      </c>
    </row>
    <row r="2683" spans="1:23" ht="15" customHeight="1">
      <c r="A2683" s="3">
        <v>39657</v>
      </c>
      <c r="B2683" s="4">
        <v>22250</v>
      </c>
      <c r="D2683" s="5">
        <v>27025</v>
      </c>
      <c r="E2683" s="5">
        <f t="shared" si="85"/>
        <v>41450</v>
      </c>
      <c r="F2683" s="5">
        <v>90725</v>
      </c>
      <c r="K2683" s="24">
        <v>2181</v>
      </c>
      <c r="L2683" s="6">
        <v>2180</v>
      </c>
      <c r="M2683" s="270">
        <f t="shared" si="88"/>
        <v>-1</v>
      </c>
      <c r="N2683" s="19"/>
      <c r="O2683" s="280"/>
      <c r="P2683" s="345">
        <v>19300</v>
      </c>
      <c r="Q2683" s="28">
        <v>0.14660000000000001</v>
      </c>
      <c r="U2683" s="29">
        <v>0.1</v>
      </c>
      <c r="W2683" s="741">
        <f t="shared" si="89"/>
        <v>3112.3180000000002</v>
      </c>
    </row>
    <row r="2684" spans="1:23" ht="15" customHeight="1">
      <c r="A2684" s="3">
        <v>39658</v>
      </c>
      <c r="B2684" s="4">
        <v>21150</v>
      </c>
      <c r="D2684" s="5">
        <v>26450</v>
      </c>
      <c r="E2684" s="5">
        <f t="shared" si="85"/>
        <v>41675</v>
      </c>
      <c r="F2684" s="5">
        <v>89275</v>
      </c>
      <c r="K2684" s="24">
        <v>2245</v>
      </c>
      <c r="L2684" s="6">
        <v>2230</v>
      </c>
      <c r="M2684" s="270">
        <f t="shared" si="88"/>
        <v>-15</v>
      </c>
      <c r="N2684" s="19"/>
      <c r="O2684" s="280"/>
      <c r="P2684" s="345">
        <v>19500</v>
      </c>
      <c r="Q2684" s="28">
        <v>0.14630000000000001</v>
      </c>
      <c r="U2684" s="29">
        <v>0.1</v>
      </c>
      <c r="W2684" s="741">
        <f t="shared" si="89"/>
        <v>3138.1350000000007</v>
      </c>
    </row>
    <row r="2685" spans="1:23" ht="15" customHeight="1">
      <c r="A2685" s="3">
        <v>39659</v>
      </c>
      <c r="B2685" s="4">
        <v>22725</v>
      </c>
      <c r="D2685" s="5">
        <v>26325</v>
      </c>
      <c r="E2685" s="5">
        <f t="shared" si="85"/>
        <v>41675</v>
      </c>
      <c r="F2685" s="5">
        <v>90725</v>
      </c>
      <c r="K2685" s="24">
        <v>2241</v>
      </c>
      <c r="L2685" s="6">
        <v>2226</v>
      </c>
      <c r="M2685" s="270">
        <f t="shared" si="88"/>
        <v>-15</v>
      </c>
      <c r="N2685" s="19"/>
      <c r="O2685" s="280"/>
      <c r="P2685" s="345">
        <v>19600</v>
      </c>
      <c r="Q2685" s="28">
        <v>0.14649999999999999</v>
      </c>
      <c r="U2685" s="29">
        <v>0.1</v>
      </c>
      <c r="W2685" s="741">
        <f t="shared" si="89"/>
        <v>3158.54</v>
      </c>
    </row>
    <row r="2686" spans="1:23" ht="15" customHeight="1" thickBot="1">
      <c r="A2686" s="12">
        <v>39660</v>
      </c>
      <c r="B2686" s="13">
        <v>23075</v>
      </c>
      <c r="C2686" s="13"/>
      <c r="D2686" s="14">
        <v>26300</v>
      </c>
      <c r="E2686" s="14">
        <f t="shared" si="85"/>
        <v>41625</v>
      </c>
      <c r="F2686" s="14">
        <v>91000</v>
      </c>
      <c r="G2686" s="14"/>
      <c r="H2686" s="14"/>
      <c r="I2686" s="14"/>
      <c r="J2686" s="264"/>
      <c r="K2686" s="25">
        <v>2230</v>
      </c>
      <c r="L2686" s="15">
        <v>2211</v>
      </c>
      <c r="M2686" s="271">
        <f t="shared" si="88"/>
        <v>-19</v>
      </c>
      <c r="N2686" s="20">
        <f>AVERAGE(K2664:K2686)</f>
        <v>1944.9130434782608</v>
      </c>
      <c r="O2686" s="281">
        <f>AVERAGE(K2535:K2686)</f>
        <v>2499.1182432432433</v>
      </c>
      <c r="P2686" s="346">
        <v>19400</v>
      </c>
      <c r="Q2686" s="30">
        <v>0.14649999999999999</v>
      </c>
      <c r="R2686" s="30"/>
      <c r="S2686" s="30"/>
      <c r="T2686" s="30"/>
      <c r="U2686" s="31">
        <v>0.1</v>
      </c>
      <c r="V2686" s="46">
        <f>AVERAGE(P2664:P2686)</f>
        <v>17310.869565217392</v>
      </c>
      <c r="W2686" s="741">
        <f t="shared" si="89"/>
        <v>3126.31</v>
      </c>
    </row>
    <row r="2687" spans="1:23" ht="15" customHeight="1">
      <c r="A2687" s="3">
        <v>39661</v>
      </c>
      <c r="B2687" s="4">
        <v>24400</v>
      </c>
      <c r="D2687" s="5">
        <v>26275</v>
      </c>
      <c r="E2687" s="5">
        <f t="shared" si="85"/>
        <v>41575</v>
      </c>
      <c r="F2687" s="5">
        <v>92250</v>
      </c>
      <c r="K2687" s="24">
        <v>2160</v>
      </c>
      <c r="L2687" s="6">
        <v>2140</v>
      </c>
      <c r="M2687" s="270">
        <f t="shared" si="88"/>
        <v>-20</v>
      </c>
      <c r="N2687" s="21"/>
      <c r="O2687" s="283"/>
      <c r="P2687" s="345">
        <v>19400</v>
      </c>
      <c r="Q2687" s="28">
        <v>0.1464</v>
      </c>
      <c r="U2687" s="29">
        <v>0.1</v>
      </c>
      <c r="W2687" s="741">
        <f t="shared" si="89"/>
        <v>3124.1759999999999</v>
      </c>
    </row>
    <row r="2688" spans="1:23" ht="15" customHeight="1">
      <c r="A2688" s="3">
        <v>39664</v>
      </c>
      <c r="B2688" s="4">
        <v>24075</v>
      </c>
      <c r="D2688" s="5">
        <v>27250</v>
      </c>
      <c r="E2688" s="5">
        <f t="shared" si="85"/>
        <v>42075</v>
      </c>
      <c r="F2688" s="5">
        <v>93400</v>
      </c>
      <c r="K2688" s="24">
        <v>2090</v>
      </c>
      <c r="L2688" s="6">
        <v>2070</v>
      </c>
      <c r="M2688" s="270">
        <f t="shared" si="88"/>
        <v>-20</v>
      </c>
      <c r="N2688" s="19"/>
      <c r="O2688" s="280"/>
      <c r="P2688" s="345">
        <v>19200</v>
      </c>
      <c r="Q2688" s="28">
        <v>0.14610000000000001</v>
      </c>
      <c r="U2688" s="29">
        <v>0.1</v>
      </c>
      <c r="W2688" s="741">
        <f t="shared" si="89"/>
        <v>3085.6320000000005</v>
      </c>
    </row>
    <row r="2689" spans="1:23" ht="15" customHeight="1">
      <c r="A2689" s="3">
        <v>39665</v>
      </c>
      <c r="B2689" s="4">
        <v>24075</v>
      </c>
      <c r="D2689" s="5">
        <v>27225</v>
      </c>
      <c r="E2689" s="5">
        <f t="shared" si="85"/>
        <v>42025</v>
      </c>
      <c r="F2689" s="5">
        <v>93325</v>
      </c>
      <c r="K2689" s="24">
        <v>2016</v>
      </c>
      <c r="L2689" s="6">
        <v>2010</v>
      </c>
      <c r="M2689" s="270">
        <f t="shared" si="88"/>
        <v>-6</v>
      </c>
      <c r="N2689" s="19"/>
      <c r="O2689" s="280"/>
      <c r="P2689" s="345">
        <v>18800</v>
      </c>
      <c r="Q2689" s="28">
        <v>0.1459</v>
      </c>
      <c r="U2689" s="29">
        <v>0.1</v>
      </c>
      <c r="W2689" s="741">
        <f t="shared" si="89"/>
        <v>3017.2120000000004</v>
      </c>
    </row>
    <row r="2690" spans="1:23" ht="15" customHeight="1">
      <c r="A2690" s="3">
        <v>39666</v>
      </c>
      <c r="B2690" s="4">
        <v>23800</v>
      </c>
      <c r="D2690" s="5">
        <v>27250</v>
      </c>
      <c r="E2690" s="5">
        <f t="shared" si="85"/>
        <v>42025</v>
      </c>
      <c r="F2690" s="5">
        <v>93075</v>
      </c>
      <c r="K2690" s="24">
        <v>2111</v>
      </c>
      <c r="L2690" s="6">
        <v>2089</v>
      </c>
      <c r="M2690" s="270">
        <f t="shared" si="88"/>
        <v>-22</v>
      </c>
      <c r="N2690" s="19"/>
      <c r="O2690" s="280"/>
      <c r="P2690" s="345">
        <v>18100</v>
      </c>
      <c r="Q2690" s="28">
        <v>0.1459</v>
      </c>
      <c r="U2690" s="29">
        <v>0.1</v>
      </c>
      <c r="W2690" s="741">
        <f t="shared" si="89"/>
        <v>2904.8690000000001</v>
      </c>
    </row>
    <row r="2691" spans="1:23" ht="15" customHeight="1">
      <c r="A2691" s="3">
        <v>39667</v>
      </c>
      <c r="B2691" s="4">
        <v>23525</v>
      </c>
      <c r="D2691" s="5">
        <v>27050</v>
      </c>
      <c r="E2691" s="5">
        <f t="shared" si="85"/>
        <v>41000</v>
      </c>
      <c r="F2691" s="5">
        <v>91575</v>
      </c>
      <c r="K2691" s="24">
        <v>2119</v>
      </c>
      <c r="L2691" s="6">
        <v>2105.5</v>
      </c>
      <c r="M2691" s="270">
        <f t="shared" si="88"/>
        <v>-13.5</v>
      </c>
      <c r="N2691" s="19"/>
      <c r="O2691" s="280"/>
      <c r="P2691" s="345">
        <v>18100</v>
      </c>
      <c r="Q2691" s="28">
        <v>0.14599999999999999</v>
      </c>
      <c r="U2691" s="29">
        <v>0.1</v>
      </c>
      <c r="W2691" s="741">
        <f t="shared" si="89"/>
        <v>2906.86</v>
      </c>
    </row>
    <row r="2692" spans="1:23" ht="15" customHeight="1">
      <c r="A2692" s="3">
        <v>39668</v>
      </c>
      <c r="B2692" s="4">
        <v>23525</v>
      </c>
      <c r="D2692" s="5">
        <v>26675</v>
      </c>
      <c r="E2692" s="5">
        <f t="shared" si="85"/>
        <v>41450</v>
      </c>
      <c r="F2692" s="5">
        <v>91650</v>
      </c>
      <c r="K2692" s="24">
        <v>2005</v>
      </c>
      <c r="L2692" s="6">
        <v>1995.5</v>
      </c>
      <c r="M2692" s="270">
        <f t="shared" si="88"/>
        <v>-9.5</v>
      </c>
      <c r="N2692" s="19"/>
      <c r="O2692" s="280"/>
      <c r="P2692" s="345">
        <v>18300</v>
      </c>
      <c r="Q2692" s="28">
        <v>0.1457</v>
      </c>
      <c r="U2692" s="29">
        <v>0.1</v>
      </c>
      <c r="W2692" s="741">
        <f t="shared" si="89"/>
        <v>2932.9410000000003</v>
      </c>
    </row>
    <row r="2693" spans="1:23" ht="15" customHeight="1">
      <c r="A2693" s="3">
        <v>39671</v>
      </c>
      <c r="B2693" s="4">
        <v>23025</v>
      </c>
      <c r="D2693" s="5">
        <v>26075</v>
      </c>
      <c r="E2693" s="5">
        <f t="shared" si="85"/>
        <v>41900</v>
      </c>
      <c r="F2693" s="5">
        <v>91000</v>
      </c>
      <c r="K2693" s="24">
        <v>1961</v>
      </c>
      <c r="L2693" s="6">
        <v>1960</v>
      </c>
      <c r="M2693" s="270">
        <f t="shared" si="88"/>
        <v>-1</v>
      </c>
      <c r="N2693" s="19"/>
      <c r="O2693" s="280"/>
      <c r="P2693" s="345">
        <v>17900</v>
      </c>
      <c r="Q2693" s="28">
        <v>0.14580000000000001</v>
      </c>
      <c r="U2693" s="29">
        <v>0.1</v>
      </c>
      <c r="W2693" s="741">
        <f t="shared" si="89"/>
        <v>2870.8020000000006</v>
      </c>
    </row>
    <row r="2694" spans="1:23" ht="15" customHeight="1">
      <c r="A2694" s="3">
        <v>39672</v>
      </c>
      <c r="B2694" s="4">
        <v>23025</v>
      </c>
      <c r="D2694" s="5">
        <v>25575</v>
      </c>
      <c r="E2694" s="5">
        <f t="shared" si="85"/>
        <v>41900</v>
      </c>
      <c r="F2694" s="5">
        <v>90500</v>
      </c>
      <c r="K2694" s="24">
        <v>1893</v>
      </c>
      <c r="L2694" s="6">
        <v>1895</v>
      </c>
      <c r="M2694" s="270">
        <f t="shared" si="88"/>
        <v>2</v>
      </c>
      <c r="N2694" s="19"/>
      <c r="O2694" s="280"/>
      <c r="P2694" s="345">
        <v>17400</v>
      </c>
      <c r="Q2694" s="28">
        <v>0.14580000000000001</v>
      </c>
      <c r="U2694" s="29">
        <v>0.1</v>
      </c>
      <c r="W2694" s="741">
        <f t="shared" si="89"/>
        <v>2790.6120000000001</v>
      </c>
    </row>
    <row r="2695" spans="1:23" ht="15" customHeight="1">
      <c r="A2695" s="3">
        <v>39673</v>
      </c>
      <c r="B2695" s="4">
        <v>22700</v>
      </c>
      <c r="D2695" s="5">
        <v>25200</v>
      </c>
      <c r="E2695" s="5">
        <f t="shared" si="85"/>
        <v>41975</v>
      </c>
      <c r="F2695" s="5">
        <v>89875</v>
      </c>
      <c r="K2695" s="24">
        <v>1707.5</v>
      </c>
      <c r="L2695" s="6">
        <v>1691</v>
      </c>
      <c r="M2695" s="270">
        <f t="shared" si="88"/>
        <v>-16.5</v>
      </c>
      <c r="N2695" s="19"/>
      <c r="O2695" s="280"/>
      <c r="P2695" s="345">
        <v>16900</v>
      </c>
      <c r="Q2695" s="28">
        <v>0.14560000000000001</v>
      </c>
      <c r="U2695" s="29">
        <v>0.1</v>
      </c>
      <c r="W2695" s="741">
        <f t="shared" si="89"/>
        <v>2706.7040000000006</v>
      </c>
    </row>
    <row r="2696" spans="1:23" ht="15" customHeight="1">
      <c r="A2696" s="3">
        <v>39674</v>
      </c>
      <c r="B2696" s="4">
        <v>22500</v>
      </c>
      <c r="D2696" s="5">
        <v>24900</v>
      </c>
      <c r="E2696" s="5">
        <f t="shared" si="85"/>
        <v>42125</v>
      </c>
      <c r="F2696" s="5">
        <v>89525</v>
      </c>
      <c r="K2696" s="24">
        <v>1775</v>
      </c>
      <c r="L2696" s="6">
        <v>1730</v>
      </c>
      <c r="M2696" s="270">
        <f t="shared" si="88"/>
        <v>-45</v>
      </c>
      <c r="N2696" s="19"/>
      <c r="O2696" s="280"/>
      <c r="P2696" s="345">
        <v>16600</v>
      </c>
      <c r="Q2696" s="28">
        <v>0.14580000000000001</v>
      </c>
      <c r="U2696" s="29">
        <v>0.1</v>
      </c>
      <c r="W2696" s="741">
        <f t="shared" si="89"/>
        <v>2662.3080000000004</v>
      </c>
    </row>
    <row r="2697" spans="1:23" ht="15" customHeight="1">
      <c r="A2697" s="3">
        <v>39675</v>
      </c>
      <c r="B2697" s="4">
        <v>22500</v>
      </c>
      <c r="D2697" s="5">
        <v>24725</v>
      </c>
      <c r="E2697" s="5">
        <f t="shared" si="85"/>
        <v>42425</v>
      </c>
      <c r="F2697" s="5">
        <v>89650</v>
      </c>
      <c r="K2697" s="24">
        <v>1695</v>
      </c>
      <c r="L2697" s="6">
        <v>1690</v>
      </c>
      <c r="M2697" s="270">
        <f t="shared" si="88"/>
        <v>-5</v>
      </c>
      <c r="N2697" s="19"/>
      <c r="O2697" s="280"/>
      <c r="P2697" s="345">
        <v>16500</v>
      </c>
      <c r="Q2697" s="28">
        <v>0.14580000000000001</v>
      </c>
      <c r="U2697" s="29">
        <v>0.1</v>
      </c>
      <c r="W2697" s="741">
        <f t="shared" si="89"/>
        <v>2646.2700000000004</v>
      </c>
    </row>
    <row r="2698" spans="1:23" ht="15" customHeight="1">
      <c r="A2698" s="3">
        <v>39678</v>
      </c>
      <c r="B2698" s="4">
        <v>23225</v>
      </c>
      <c r="D2698" s="5">
        <v>24625</v>
      </c>
      <c r="E2698" s="5">
        <f t="shared" si="85"/>
        <v>41800</v>
      </c>
      <c r="F2698" s="5">
        <v>89650</v>
      </c>
      <c r="K2698" s="24">
        <v>1724</v>
      </c>
      <c r="L2698" s="6">
        <v>1715</v>
      </c>
      <c r="M2698" s="270">
        <f t="shared" si="88"/>
        <v>-9</v>
      </c>
      <c r="N2698" s="19"/>
      <c r="O2698" s="280"/>
      <c r="P2698" s="345">
        <v>16600</v>
      </c>
      <c r="Q2698" s="28">
        <v>0.14560000000000001</v>
      </c>
      <c r="U2698" s="29">
        <v>0.1</v>
      </c>
      <c r="W2698" s="741">
        <f t="shared" si="89"/>
        <v>2658.6560000000004</v>
      </c>
    </row>
    <row r="2699" spans="1:23" ht="15" customHeight="1">
      <c r="A2699" s="3">
        <v>39679</v>
      </c>
      <c r="B2699" s="4">
        <v>23025</v>
      </c>
      <c r="D2699" s="5">
        <v>24350</v>
      </c>
      <c r="E2699" s="5">
        <f t="shared" si="85"/>
        <v>42375</v>
      </c>
      <c r="F2699" s="5">
        <v>89750</v>
      </c>
      <c r="K2699" s="24">
        <v>1780</v>
      </c>
      <c r="L2699" s="6">
        <v>1765</v>
      </c>
      <c r="M2699" s="270">
        <f t="shared" si="88"/>
        <v>-15</v>
      </c>
      <c r="N2699" s="19"/>
      <c r="O2699" s="280"/>
      <c r="P2699" s="345">
        <v>17700</v>
      </c>
      <c r="Q2699" s="28">
        <v>0.14549999999999999</v>
      </c>
      <c r="U2699" s="29">
        <v>0.1</v>
      </c>
      <c r="W2699" s="741">
        <f t="shared" si="89"/>
        <v>2832.8850000000002</v>
      </c>
    </row>
    <row r="2700" spans="1:23" ht="15" customHeight="1">
      <c r="A2700" s="3">
        <v>39680</v>
      </c>
      <c r="B2700" s="4">
        <v>23575</v>
      </c>
      <c r="D2700" s="5">
        <v>24150</v>
      </c>
      <c r="E2700" s="5">
        <f t="shared" si="85"/>
        <v>42325</v>
      </c>
      <c r="F2700" s="5">
        <v>90050</v>
      </c>
      <c r="K2700" s="24">
        <v>1819</v>
      </c>
      <c r="L2700" s="6">
        <v>1809</v>
      </c>
      <c r="M2700" s="270">
        <f t="shared" si="88"/>
        <v>-10</v>
      </c>
      <c r="N2700" s="19"/>
      <c r="O2700" s="280"/>
      <c r="P2700" s="345">
        <v>18100</v>
      </c>
      <c r="Q2700" s="28">
        <v>0.14580000000000001</v>
      </c>
      <c r="U2700" s="29">
        <v>0.1</v>
      </c>
      <c r="W2700" s="741">
        <f t="shared" si="89"/>
        <v>2902.8780000000002</v>
      </c>
    </row>
    <row r="2701" spans="1:23" ht="15" customHeight="1">
      <c r="A2701" s="3">
        <v>39681</v>
      </c>
      <c r="B2701" s="4">
        <v>23575</v>
      </c>
      <c r="D2701" s="5">
        <v>23675</v>
      </c>
      <c r="E2701" s="5">
        <f t="shared" si="85"/>
        <v>44125</v>
      </c>
      <c r="F2701" s="5">
        <v>91375</v>
      </c>
      <c r="K2701" s="24">
        <v>1895</v>
      </c>
      <c r="L2701" s="6">
        <v>1890</v>
      </c>
      <c r="M2701" s="270">
        <f t="shared" si="88"/>
        <v>-5</v>
      </c>
      <c r="N2701" s="19"/>
      <c r="O2701" s="280"/>
      <c r="P2701" s="345">
        <v>19000</v>
      </c>
      <c r="Q2701" s="28">
        <v>0.1459</v>
      </c>
      <c r="U2701" s="29">
        <v>0.1</v>
      </c>
      <c r="W2701" s="741">
        <f t="shared" si="89"/>
        <v>3049.31</v>
      </c>
    </row>
    <row r="2702" spans="1:23" ht="15" customHeight="1">
      <c r="A2702" s="3">
        <v>39682</v>
      </c>
      <c r="B2702" s="4">
        <v>21350</v>
      </c>
      <c r="D2702" s="5">
        <v>23200</v>
      </c>
      <c r="E2702" s="5">
        <f t="shared" si="85"/>
        <v>43500</v>
      </c>
      <c r="F2702" s="5">
        <v>88050</v>
      </c>
      <c r="K2702" s="24">
        <v>1880</v>
      </c>
      <c r="L2702" s="6">
        <v>1890</v>
      </c>
      <c r="M2702" s="270">
        <f t="shared" si="88"/>
        <v>10</v>
      </c>
      <c r="N2702" s="19"/>
      <c r="O2702" s="280"/>
      <c r="P2702" s="345">
        <v>19300</v>
      </c>
      <c r="Q2702" s="28">
        <v>0.14610000000000001</v>
      </c>
      <c r="U2702" s="29">
        <v>0.1</v>
      </c>
      <c r="W2702" s="741">
        <f t="shared" si="89"/>
        <v>3101.7030000000004</v>
      </c>
    </row>
    <row r="2703" spans="1:23" ht="15" customHeight="1">
      <c r="A2703" s="3">
        <v>39685</v>
      </c>
      <c r="B2703" s="368"/>
      <c r="C2703" s="368"/>
      <c r="D2703" s="26"/>
      <c r="E2703" s="26"/>
      <c r="F2703" s="26"/>
      <c r="G2703" s="1007" t="s">
        <v>47</v>
      </c>
      <c r="H2703" s="1007"/>
      <c r="I2703" s="1007"/>
      <c r="J2703" s="1007"/>
      <c r="K2703" s="26"/>
      <c r="L2703" s="26"/>
      <c r="M2703" s="26"/>
      <c r="N2703" s="19"/>
      <c r="O2703" s="280"/>
      <c r="P2703" s="345">
        <v>19100</v>
      </c>
      <c r="Q2703" s="28">
        <v>0.14630000000000001</v>
      </c>
      <c r="U2703" s="29">
        <v>0.1</v>
      </c>
      <c r="W2703" s="741">
        <f t="shared" si="89"/>
        <v>3073.7630000000008</v>
      </c>
    </row>
    <row r="2704" spans="1:23" ht="15" customHeight="1">
      <c r="A2704" s="3">
        <v>39686</v>
      </c>
      <c r="B2704" s="4">
        <v>20175</v>
      </c>
      <c r="D2704" s="5">
        <v>22825</v>
      </c>
      <c r="E2704" s="5">
        <f t="shared" si="85"/>
        <v>43425</v>
      </c>
      <c r="F2704" s="5">
        <v>86425</v>
      </c>
      <c r="K2704" s="24">
        <v>1855</v>
      </c>
      <c r="L2704" s="6">
        <v>1860</v>
      </c>
      <c r="M2704" s="270">
        <f t="shared" si="88"/>
        <v>5</v>
      </c>
      <c r="N2704" s="19"/>
      <c r="O2704" s="280"/>
      <c r="P2704" s="345">
        <v>18600</v>
      </c>
      <c r="Q2704" s="28">
        <v>0.14599999999999999</v>
      </c>
      <c r="U2704" s="29">
        <v>0.1</v>
      </c>
      <c r="W2704" s="741">
        <f t="shared" si="89"/>
        <v>2987.1600000000003</v>
      </c>
    </row>
    <row r="2705" spans="1:23" ht="15" customHeight="1">
      <c r="A2705" s="3">
        <v>39687</v>
      </c>
      <c r="B2705" s="4">
        <v>22150</v>
      </c>
      <c r="D2705" s="5">
        <v>17700</v>
      </c>
      <c r="E2705" s="5">
        <f t="shared" si="85"/>
        <v>43525</v>
      </c>
      <c r="F2705" s="5">
        <v>83375</v>
      </c>
      <c r="K2705" s="24">
        <v>1916</v>
      </c>
      <c r="L2705" s="6">
        <v>1930</v>
      </c>
      <c r="M2705" s="270">
        <f t="shared" si="88"/>
        <v>14</v>
      </c>
      <c r="N2705" s="19"/>
      <c r="O2705" s="280"/>
      <c r="P2705" s="345">
        <v>18200</v>
      </c>
      <c r="Q2705" s="28">
        <v>0.14599999999999999</v>
      </c>
      <c r="U2705" s="29">
        <v>0.1</v>
      </c>
      <c r="W2705" s="741">
        <f t="shared" si="89"/>
        <v>2922.92</v>
      </c>
    </row>
    <row r="2706" spans="1:23" ht="15" customHeight="1">
      <c r="A2706" s="3">
        <v>39688</v>
      </c>
      <c r="B2706" s="4">
        <v>21775</v>
      </c>
      <c r="D2706" s="5">
        <v>16950</v>
      </c>
      <c r="E2706" s="5">
        <f t="shared" si="85"/>
        <v>44775</v>
      </c>
      <c r="F2706" s="5">
        <v>83500</v>
      </c>
      <c r="K2706" s="24">
        <v>2111</v>
      </c>
      <c r="L2706" s="6">
        <v>2120</v>
      </c>
      <c r="M2706" s="270">
        <f t="shared" si="88"/>
        <v>9</v>
      </c>
      <c r="N2706" s="19"/>
      <c r="O2706" s="280"/>
      <c r="P2706" s="345">
        <v>18500</v>
      </c>
      <c r="Q2706" s="28">
        <v>0.14630000000000001</v>
      </c>
      <c r="U2706" s="29">
        <v>0.1</v>
      </c>
      <c r="W2706" s="741">
        <f t="shared" si="89"/>
        <v>2977.2050000000004</v>
      </c>
    </row>
    <row r="2707" spans="1:23" ht="15" customHeight="1" thickBot="1">
      <c r="A2707" s="12">
        <v>39689</v>
      </c>
      <c r="B2707" s="13">
        <v>21400</v>
      </c>
      <c r="C2707" s="13"/>
      <c r="D2707" s="14">
        <v>15800</v>
      </c>
      <c r="E2707" s="14">
        <f t="shared" si="85"/>
        <v>44675</v>
      </c>
      <c r="F2707" s="14">
        <v>81875</v>
      </c>
      <c r="G2707" s="14"/>
      <c r="H2707" s="14"/>
      <c r="I2707" s="14"/>
      <c r="J2707" s="264"/>
      <c r="K2707" s="25">
        <v>1959</v>
      </c>
      <c r="L2707" s="15">
        <v>1959</v>
      </c>
      <c r="M2707" s="271">
        <f t="shared" si="88"/>
        <v>0</v>
      </c>
      <c r="N2707" s="20">
        <f>AVERAGE(K2687:K2707)</f>
        <v>1923.575</v>
      </c>
      <c r="O2707" s="281">
        <f>AVERAGE(K2535:K2707)</f>
        <v>2430.6011904761904</v>
      </c>
      <c r="P2707" s="346">
        <v>18600</v>
      </c>
      <c r="Q2707" s="30">
        <v>0.1464</v>
      </c>
      <c r="R2707" s="30"/>
      <c r="S2707" s="30"/>
      <c r="T2707" s="30"/>
      <c r="U2707" s="31">
        <v>0.1</v>
      </c>
      <c r="V2707" s="46">
        <f>AVERAGE(P2687:P2707)</f>
        <v>18138.095238095237</v>
      </c>
      <c r="W2707" s="741">
        <f t="shared" si="89"/>
        <v>2995.3440000000001</v>
      </c>
    </row>
    <row r="2708" spans="1:23" ht="15" customHeight="1">
      <c r="A2708" s="3">
        <v>39692</v>
      </c>
      <c r="B2708" s="4">
        <v>15050</v>
      </c>
      <c r="D2708" s="5">
        <v>20950</v>
      </c>
      <c r="E2708" s="5">
        <f t="shared" si="85"/>
        <v>44575</v>
      </c>
      <c r="F2708" s="5">
        <v>80575</v>
      </c>
      <c r="K2708" s="24">
        <v>1951</v>
      </c>
      <c r="L2708" s="6">
        <v>1970</v>
      </c>
      <c r="M2708" s="270">
        <f t="shared" si="88"/>
        <v>19</v>
      </c>
      <c r="N2708" s="21"/>
      <c r="O2708" s="283"/>
      <c r="P2708" s="345">
        <v>18200</v>
      </c>
      <c r="Q2708" s="28">
        <v>0.14599999999999999</v>
      </c>
      <c r="U2708" s="29">
        <v>0.1</v>
      </c>
      <c r="W2708" s="741">
        <f t="shared" si="89"/>
        <v>2922.92</v>
      </c>
    </row>
    <row r="2709" spans="1:23" ht="15" customHeight="1">
      <c r="A2709" s="3">
        <v>39693</v>
      </c>
      <c r="B2709" s="4">
        <v>14125</v>
      </c>
      <c r="D2709" s="5">
        <v>21225</v>
      </c>
      <c r="E2709" s="5">
        <f t="shared" si="85"/>
        <v>44500</v>
      </c>
      <c r="F2709" s="5">
        <v>79850</v>
      </c>
      <c r="K2709" s="24">
        <v>1875</v>
      </c>
      <c r="L2709" s="6">
        <v>1880</v>
      </c>
      <c r="M2709" s="270">
        <f t="shared" si="88"/>
        <v>5</v>
      </c>
      <c r="N2709" s="19"/>
      <c r="O2709" s="280"/>
      <c r="P2709" s="345">
        <v>18100</v>
      </c>
      <c r="Q2709" s="28">
        <v>0.14649999999999999</v>
      </c>
      <c r="U2709" s="29">
        <v>0.1</v>
      </c>
      <c r="W2709" s="741">
        <f t="shared" si="89"/>
        <v>2916.8150000000001</v>
      </c>
    </row>
    <row r="2710" spans="1:23" ht="15" customHeight="1">
      <c r="A2710" s="3">
        <v>39694</v>
      </c>
      <c r="B2710" s="4">
        <v>13025</v>
      </c>
      <c r="D2710" s="5">
        <v>21225</v>
      </c>
      <c r="E2710" s="5">
        <f t="shared" si="85"/>
        <v>44900</v>
      </c>
      <c r="F2710" s="5">
        <v>79150</v>
      </c>
      <c r="K2710" s="24">
        <v>1920</v>
      </c>
      <c r="L2710" s="6">
        <v>1935</v>
      </c>
      <c r="M2710" s="270">
        <f t="shared" si="88"/>
        <v>15</v>
      </c>
      <c r="N2710" s="19"/>
      <c r="O2710" s="280"/>
      <c r="P2710" s="345">
        <v>18800</v>
      </c>
      <c r="Q2710" s="28">
        <v>0.14630000000000001</v>
      </c>
      <c r="U2710" s="29">
        <v>0.1</v>
      </c>
      <c r="W2710" s="741">
        <f t="shared" si="89"/>
        <v>3025.4840000000004</v>
      </c>
    </row>
    <row r="2711" spans="1:23" ht="15" customHeight="1">
      <c r="A2711" s="3">
        <v>39695</v>
      </c>
      <c r="B2711" s="4">
        <v>12075</v>
      </c>
      <c r="D2711" s="5">
        <v>21500</v>
      </c>
      <c r="E2711" s="5">
        <f t="shared" si="85"/>
        <v>45125</v>
      </c>
      <c r="F2711" s="5">
        <v>78700</v>
      </c>
      <c r="K2711" s="24">
        <v>1975</v>
      </c>
      <c r="L2711" s="6">
        <v>1982</v>
      </c>
      <c r="M2711" s="270">
        <f t="shared" si="88"/>
        <v>7</v>
      </c>
      <c r="N2711" s="19"/>
      <c r="O2711" s="280"/>
      <c r="P2711" s="345">
        <v>18050</v>
      </c>
      <c r="Q2711" s="28">
        <v>0.14610000000000001</v>
      </c>
      <c r="U2711" s="29">
        <v>0.1</v>
      </c>
      <c r="W2711" s="741">
        <f t="shared" si="89"/>
        <v>2900.8155000000002</v>
      </c>
    </row>
    <row r="2712" spans="1:23" ht="15" customHeight="1">
      <c r="A2712" s="3">
        <v>39696</v>
      </c>
      <c r="B2712" s="4">
        <v>11225</v>
      </c>
      <c r="D2712" s="5">
        <v>21475</v>
      </c>
      <c r="E2712" s="5">
        <f t="shared" si="85"/>
        <v>45475</v>
      </c>
      <c r="F2712" s="5">
        <v>78175</v>
      </c>
      <c r="K2712" s="24">
        <v>1806</v>
      </c>
      <c r="L2712" s="6">
        <v>1820</v>
      </c>
      <c r="M2712" s="270">
        <f t="shared" si="88"/>
        <v>14</v>
      </c>
      <c r="N2712" s="19"/>
      <c r="O2712" s="280"/>
      <c r="P2712" s="345">
        <v>18000</v>
      </c>
      <c r="Q2712" s="28">
        <v>0.14630000000000001</v>
      </c>
      <c r="U2712" s="29">
        <v>0.1</v>
      </c>
      <c r="W2712" s="741">
        <f t="shared" si="89"/>
        <v>2896.7400000000002</v>
      </c>
    </row>
    <row r="2713" spans="1:23" ht="15" customHeight="1">
      <c r="A2713" s="3">
        <v>39699</v>
      </c>
      <c r="B2713" s="4">
        <v>10125</v>
      </c>
      <c r="D2713" s="5">
        <v>21625</v>
      </c>
      <c r="E2713" s="5">
        <f t="shared" si="85"/>
        <v>46700</v>
      </c>
      <c r="F2713" s="5">
        <v>78450</v>
      </c>
      <c r="K2713" s="24">
        <v>1850</v>
      </c>
      <c r="L2713" s="6">
        <v>1857</v>
      </c>
      <c r="M2713" s="270">
        <f t="shared" si="88"/>
        <v>7</v>
      </c>
      <c r="N2713" s="19"/>
      <c r="O2713" s="280"/>
      <c r="P2713" s="345">
        <v>17750</v>
      </c>
      <c r="Q2713" s="28">
        <v>0.1462</v>
      </c>
      <c r="U2713" s="29">
        <v>0.1</v>
      </c>
      <c r="W2713" s="741">
        <f t="shared" si="89"/>
        <v>2854.5549999999998</v>
      </c>
    </row>
    <row r="2714" spans="1:23" ht="15" customHeight="1">
      <c r="A2714" s="3">
        <v>39700</v>
      </c>
      <c r="B2714" s="4">
        <v>9050</v>
      </c>
      <c r="D2714" s="5">
        <v>21700</v>
      </c>
      <c r="E2714" s="5">
        <f t="shared" si="85"/>
        <v>46025</v>
      </c>
      <c r="F2714" s="5">
        <v>76775</v>
      </c>
      <c r="K2714" s="24">
        <v>1805</v>
      </c>
      <c r="L2714" s="6">
        <v>1815</v>
      </c>
      <c r="M2714" s="270">
        <f t="shared" si="88"/>
        <v>10</v>
      </c>
      <c r="N2714" s="19"/>
      <c r="O2714" s="280"/>
      <c r="P2714" s="345">
        <v>17800</v>
      </c>
      <c r="Q2714" s="28">
        <v>0.1462</v>
      </c>
      <c r="U2714" s="29">
        <v>0.1</v>
      </c>
      <c r="W2714" s="741">
        <f t="shared" si="89"/>
        <v>2862.5960000000005</v>
      </c>
    </row>
    <row r="2715" spans="1:23" ht="15" customHeight="1">
      <c r="A2715" s="3">
        <v>39701</v>
      </c>
      <c r="B2715" s="4">
        <v>8775</v>
      </c>
      <c r="D2715" s="5">
        <v>21300</v>
      </c>
      <c r="E2715" s="5">
        <f t="shared" si="85"/>
        <v>45850</v>
      </c>
      <c r="F2715" s="5">
        <v>75925</v>
      </c>
      <c r="K2715" s="24">
        <v>1788</v>
      </c>
      <c r="L2715" s="6">
        <v>1800</v>
      </c>
      <c r="M2715" s="270">
        <f t="shared" si="88"/>
        <v>12</v>
      </c>
      <c r="N2715" s="19"/>
      <c r="O2715" s="280"/>
      <c r="P2715" s="345">
        <v>17700</v>
      </c>
      <c r="Q2715" s="28">
        <v>0.1462</v>
      </c>
      <c r="U2715" s="29">
        <v>0.1</v>
      </c>
      <c r="W2715" s="741">
        <f t="shared" si="89"/>
        <v>2846.5140000000001</v>
      </c>
    </row>
    <row r="2716" spans="1:23" ht="15" customHeight="1">
      <c r="A2716" s="3">
        <v>39702</v>
      </c>
      <c r="B2716" s="4">
        <v>8475</v>
      </c>
      <c r="D2716" s="5">
        <v>20975</v>
      </c>
      <c r="E2716" s="5">
        <f t="shared" si="85"/>
        <v>46100</v>
      </c>
      <c r="F2716" s="5">
        <v>75550</v>
      </c>
      <c r="K2716" s="24">
        <v>1806</v>
      </c>
      <c r="L2716" s="6">
        <v>1819</v>
      </c>
      <c r="M2716" s="270">
        <f t="shared" si="88"/>
        <v>13</v>
      </c>
      <c r="N2716" s="19"/>
      <c r="O2716" s="280"/>
      <c r="P2716" s="345">
        <v>17700</v>
      </c>
      <c r="Q2716" s="28">
        <v>0.1462</v>
      </c>
      <c r="U2716" s="29">
        <v>0.1</v>
      </c>
      <c r="W2716" s="741">
        <f t="shared" si="89"/>
        <v>2846.5140000000001</v>
      </c>
    </row>
    <row r="2717" spans="1:23" ht="15" customHeight="1">
      <c r="A2717" s="3">
        <v>39703</v>
      </c>
      <c r="B2717" s="4">
        <v>8100</v>
      </c>
      <c r="D2717" s="5">
        <v>20700</v>
      </c>
      <c r="E2717" s="5">
        <f t="shared" si="85"/>
        <v>46275</v>
      </c>
      <c r="F2717" s="5">
        <v>75075</v>
      </c>
      <c r="K2717" s="24">
        <v>1885</v>
      </c>
      <c r="L2717" s="6">
        <v>1895.5</v>
      </c>
      <c r="M2717" s="270">
        <f t="shared" si="88"/>
        <v>10.5</v>
      </c>
      <c r="N2717" s="19"/>
      <c r="O2717" s="280"/>
      <c r="P2717" s="345">
        <v>17800</v>
      </c>
      <c r="Q2717" s="28">
        <v>0.1462</v>
      </c>
      <c r="U2717" s="29">
        <v>0.1</v>
      </c>
      <c r="W2717" s="741">
        <f t="shared" si="89"/>
        <v>2862.5960000000005</v>
      </c>
    </row>
    <row r="2718" spans="1:23" ht="15" customHeight="1">
      <c r="A2718" s="3">
        <v>39706</v>
      </c>
      <c r="B2718" s="4">
        <v>7100</v>
      </c>
      <c r="D2718" s="5">
        <v>20325</v>
      </c>
      <c r="E2718" s="5">
        <f t="shared" si="85"/>
        <v>46150</v>
      </c>
      <c r="F2718" s="5">
        <v>73575</v>
      </c>
      <c r="K2718" s="24">
        <v>1803.5</v>
      </c>
      <c r="L2718" s="6">
        <v>1815</v>
      </c>
      <c r="M2718" s="270">
        <f t="shared" si="88"/>
        <v>11.5</v>
      </c>
      <c r="N2718" s="19"/>
      <c r="O2718" s="280"/>
      <c r="P2718" s="379"/>
      <c r="Q2718" s="1043" t="s">
        <v>49</v>
      </c>
      <c r="R2718" s="1043"/>
      <c r="S2718" s="1043"/>
      <c r="T2718" s="1043"/>
      <c r="U2718" s="1043"/>
      <c r="V2718" s="371"/>
      <c r="W2718" s="741" t="e">
        <f t="shared" si="89"/>
        <v>#VALUE!</v>
      </c>
    </row>
    <row r="2719" spans="1:23" ht="15" customHeight="1">
      <c r="A2719" s="3">
        <v>39707</v>
      </c>
      <c r="B2719" s="4">
        <v>6800</v>
      </c>
      <c r="D2719" s="5">
        <v>19825</v>
      </c>
      <c r="E2719" s="5">
        <f t="shared" si="85"/>
        <v>46475</v>
      </c>
      <c r="F2719" s="5">
        <v>73100</v>
      </c>
      <c r="K2719" s="24">
        <v>1784</v>
      </c>
      <c r="L2719" s="6">
        <v>1780.5</v>
      </c>
      <c r="M2719" s="270">
        <f t="shared" si="88"/>
        <v>-3.5</v>
      </c>
      <c r="N2719" s="19"/>
      <c r="O2719" s="280"/>
      <c r="P2719" s="345">
        <v>17800</v>
      </c>
      <c r="Q2719" s="28">
        <v>0.14599999999999999</v>
      </c>
      <c r="U2719" s="29">
        <v>0.1</v>
      </c>
      <c r="W2719" s="741">
        <f t="shared" si="89"/>
        <v>2858.68</v>
      </c>
    </row>
    <row r="2720" spans="1:23" ht="15" customHeight="1">
      <c r="A2720" s="3">
        <v>39708</v>
      </c>
      <c r="B2720" s="4">
        <v>6350</v>
      </c>
      <c r="D2720" s="5">
        <v>19650</v>
      </c>
      <c r="E2720" s="5">
        <f t="shared" si="85"/>
        <v>45925</v>
      </c>
      <c r="F2720" s="5">
        <v>71925</v>
      </c>
      <c r="K2720" s="24">
        <v>1813</v>
      </c>
      <c r="L2720" s="6">
        <v>1820</v>
      </c>
      <c r="M2720" s="270">
        <f t="shared" si="88"/>
        <v>7</v>
      </c>
      <c r="N2720" s="19"/>
      <c r="O2720" s="280"/>
      <c r="P2720" s="345">
        <v>17550</v>
      </c>
      <c r="Q2720" s="28">
        <v>0.1462</v>
      </c>
      <c r="U2720" s="29">
        <v>0.1</v>
      </c>
      <c r="W2720" s="741">
        <f t="shared" si="89"/>
        <v>2822.3910000000001</v>
      </c>
    </row>
    <row r="2721" spans="1:23" ht="15" customHeight="1">
      <c r="A2721" s="3">
        <v>39709</v>
      </c>
      <c r="B2721" s="4">
        <v>5825</v>
      </c>
      <c r="D2721" s="5">
        <v>19275</v>
      </c>
      <c r="E2721" s="5">
        <f t="shared" si="85"/>
        <v>45425</v>
      </c>
      <c r="F2721" s="5">
        <v>70525</v>
      </c>
      <c r="K2721" s="24">
        <v>1805</v>
      </c>
      <c r="L2721" s="6">
        <v>1815</v>
      </c>
      <c r="M2721" s="270">
        <f t="shared" si="88"/>
        <v>10</v>
      </c>
      <c r="N2721" s="19"/>
      <c r="O2721" s="280"/>
      <c r="P2721" s="345">
        <v>17550</v>
      </c>
      <c r="Q2721" s="28">
        <v>0.1462</v>
      </c>
      <c r="U2721" s="29">
        <v>0.1</v>
      </c>
      <c r="W2721" s="741">
        <f t="shared" si="89"/>
        <v>2822.3910000000001</v>
      </c>
    </row>
    <row r="2722" spans="1:23" ht="15" customHeight="1">
      <c r="A2722" s="3">
        <v>39710</v>
      </c>
      <c r="B2722" s="4">
        <v>5300</v>
      </c>
      <c r="D2722" s="5">
        <v>18950</v>
      </c>
      <c r="E2722" s="5">
        <f t="shared" si="85"/>
        <v>44925</v>
      </c>
      <c r="F2722" s="5">
        <v>69175</v>
      </c>
      <c r="K2722" s="24">
        <v>1832.5</v>
      </c>
      <c r="L2722" s="6">
        <v>1845</v>
      </c>
      <c r="M2722" s="270">
        <f t="shared" ref="M2722:M2785" si="90">L2722-K2722</f>
        <v>12.5</v>
      </c>
      <c r="N2722" s="19"/>
      <c r="O2722" s="280"/>
      <c r="P2722" s="345">
        <v>17550</v>
      </c>
      <c r="Q2722" s="28">
        <v>0.14630000000000001</v>
      </c>
      <c r="U2722" s="29">
        <v>0.1</v>
      </c>
      <c r="W2722" s="741">
        <f t="shared" si="89"/>
        <v>2824.3215000000005</v>
      </c>
    </row>
    <row r="2723" spans="1:23" ht="15" customHeight="1">
      <c r="A2723" s="3">
        <v>39713</v>
      </c>
      <c r="B2723" s="4">
        <v>5800</v>
      </c>
      <c r="D2723" s="5">
        <v>18725</v>
      </c>
      <c r="E2723" s="5">
        <f t="shared" si="85"/>
        <v>45175</v>
      </c>
      <c r="F2723" s="5">
        <v>69700</v>
      </c>
      <c r="K2723" s="24">
        <v>1921</v>
      </c>
      <c r="L2723" s="6">
        <v>1938</v>
      </c>
      <c r="M2723" s="270">
        <f t="shared" si="90"/>
        <v>17</v>
      </c>
      <c r="N2723" s="19"/>
      <c r="O2723" s="280"/>
      <c r="P2723" s="345">
        <v>17700</v>
      </c>
      <c r="Q2723" s="28">
        <v>0.1464</v>
      </c>
      <c r="U2723" s="29">
        <v>0.1</v>
      </c>
      <c r="W2723" s="741">
        <f t="shared" si="89"/>
        <v>2850.4080000000004</v>
      </c>
    </row>
    <row r="2724" spans="1:23" ht="15" customHeight="1">
      <c r="A2724" s="3">
        <v>39714</v>
      </c>
      <c r="B2724" s="4">
        <v>5750</v>
      </c>
      <c r="D2724" s="5">
        <v>18825</v>
      </c>
      <c r="E2724" s="5">
        <f t="shared" si="85"/>
        <v>43825</v>
      </c>
      <c r="F2724" s="5">
        <v>68400</v>
      </c>
      <c r="K2724" s="24">
        <v>1920.5</v>
      </c>
      <c r="L2724" s="6">
        <v>1950</v>
      </c>
      <c r="M2724" s="270">
        <f t="shared" si="90"/>
        <v>29.5</v>
      </c>
      <c r="N2724" s="19"/>
      <c r="O2724" s="280"/>
      <c r="P2724" s="345">
        <v>18000</v>
      </c>
      <c r="Q2724" s="28">
        <v>0.1464</v>
      </c>
      <c r="U2724" s="29">
        <v>0.1</v>
      </c>
      <c r="W2724" s="741">
        <f t="shared" si="89"/>
        <v>2898.7200000000003</v>
      </c>
    </row>
    <row r="2725" spans="1:23" ht="15" customHeight="1">
      <c r="A2725" s="3">
        <v>39715</v>
      </c>
      <c r="B2725" s="4">
        <v>5700</v>
      </c>
      <c r="D2725" s="5">
        <v>18800</v>
      </c>
      <c r="E2725" s="5">
        <f t="shared" si="85"/>
        <v>43075</v>
      </c>
      <c r="F2725" s="5">
        <v>67575</v>
      </c>
      <c r="K2725" s="24">
        <v>2001</v>
      </c>
      <c r="L2725" s="6">
        <v>2019</v>
      </c>
      <c r="M2725" s="270">
        <f t="shared" si="90"/>
        <v>18</v>
      </c>
      <c r="N2725" s="19"/>
      <c r="O2725" s="280"/>
      <c r="P2725" s="345">
        <v>17800</v>
      </c>
      <c r="Q2725" s="28">
        <v>0.14649999999999999</v>
      </c>
      <c r="U2725" s="29">
        <v>0.1</v>
      </c>
      <c r="W2725" s="741">
        <f t="shared" si="89"/>
        <v>2868.4700000000003</v>
      </c>
    </row>
    <row r="2726" spans="1:23" ht="15" customHeight="1">
      <c r="A2726" s="3">
        <v>39716</v>
      </c>
      <c r="B2726" s="4">
        <v>5100</v>
      </c>
      <c r="D2726" s="5">
        <v>18525</v>
      </c>
      <c r="E2726" s="5">
        <f t="shared" si="85"/>
        <v>42950</v>
      </c>
      <c r="F2726" s="5">
        <v>66575</v>
      </c>
      <c r="K2726" s="24">
        <v>1946</v>
      </c>
      <c r="L2726" s="6">
        <v>1965</v>
      </c>
      <c r="M2726" s="270">
        <f t="shared" si="90"/>
        <v>19</v>
      </c>
      <c r="N2726" s="19"/>
      <c r="O2726" s="280"/>
      <c r="P2726" s="345">
        <v>17750</v>
      </c>
      <c r="Q2726" s="28">
        <v>0.14649999999999999</v>
      </c>
      <c r="U2726" s="29">
        <v>0.1</v>
      </c>
      <c r="W2726" s="741">
        <f t="shared" si="89"/>
        <v>2860.4125000000004</v>
      </c>
    </row>
    <row r="2727" spans="1:23" ht="15" customHeight="1">
      <c r="A2727" s="3">
        <v>39717</v>
      </c>
      <c r="B2727" s="4">
        <v>4625</v>
      </c>
      <c r="D2727" s="5">
        <v>18250</v>
      </c>
      <c r="E2727" s="5">
        <f t="shared" si="85"/>
        <v>42825</v>
      </c>
      <c r="F2727" s="5">
        <v>65700</v>
      </c>
      <c r="K2727" s="24">
        <v>1980</v>
      </c>
      <c r="L2727" s="6">
        <v>1985.5</v>
      </c>
      <c r="M2727" s="270">
        <f t="shared" si="90"/>
        <v>5.5</v>
      </c>
      <c r="N2727" s="19"/>
      <c r="O2727" s="280"/>
      <c r="P2727" s="345">
        <v>17750</v>
      </c>
      <c r="Q2727" s="28">
        <v>0.14660000000000001</v>
      </c>
      <c r="U2727" s="29">
        <v>0.1</v>
      </c>
      <c r="V2727" s="44">
        <f>AVERAGE(P2708:P2729)</f>
        <v>17860.526315789473</v>
      </c>
      <c r="W2727" s="741">
        <f t="shared" si="89"/>
        <v>2862.3650000000002</v>
      </c>
    </row>
    <row r="2728" spans="1:23" ht="15" customHeight="1">
      <c r="A2728" s="3">
        <v>39720</v>
      </c>
      <c r="B2728" s="4">
        <v>4075</v>
      </c>
      <c r="D2728" s="5">
        <v>18300</v>
      </c>
      <c r="E2728" s="5">
        <f t="shared" si="85"/>
        <v>42150</v>
      </c>
      <c r="F2728" s="5">
        <v>64525</v>
      </c>
      <c r="K2728" s="24">
        <v>1835.5</v>
      </c>
      <c r="L2728" s="6">
        <v>1860</v>
      </c>
      <c r="M2728" s="270">
        <f t="shared" si="90"/>
        <v>24.5</v>
      </c>
      <c r="N2728" s="19"/>
      <c r="O2728" s="280"/>
      <c r="P2728" s="345"/>
      <c r="Q2728" s="1043" t="s">
        <v>50</v>
      </c>
      <c r="R2728" s="1043"/>
      <c r="S2728" s="1043"/>
      <c r="T2728" s="1043"/>
      <c r="U2728" s="1043"/>
      <c r="V2728" s="371"/>
      <c r="W2728" s="741" t="e">
        <f t="shared" si="89"/>
        <v>#VALUE!</v>
      </c>
    </row>
    <row r="2729" spans="1:23" ht="15" customHeight="1" thickBot="1">
      <c r="A2729" s="12">
        <v>39721</v>
      </c>
      <c r="B2729" s="13">
        <v>4025</v>
      </c>
      <c r="C2729" s="13"/>
      <c r="D2729" s="14">
        <v>18375</v>
      </c>
      <c r="E2729" s="14">
        <f t="shared" si="85"/>
        <v>41850</v>
      </c>
      <c r="F2729" s="14">
        <v>64250</v>
      </c>
      <c r="G2729" s="14"/>
      <c r="H2729" s="14"/>
      <c r="I2729" s="14"/>
      <c r="J2729" s="264"/>
      <c r="K2729" s="25">
        <v>1801</v>
      </c>
      <c r="L2729" s="15">
        <v>1830</v>
      </c>
      <c r="M2729" s="271">
        <f t="shared" si="90"/>
        <v>29</v>
      </c>
      <c r="N2729" s="20">
        <f>AVERAGE(K2708:K2729)</f>
        <v>1868.3636363636363</v>
      </c>
      <c r="O2729" s="281">
        <f>AVERAGE(K2535:K2729)</f>
        <v>2365.5</v>
      </c>
      <c r="P2729" s="379"/>
      <c r="Q2729" s="1043"/>
      <c r="R2729" s="1043"/>
      <c r="S2729" s="1043"/>
      <c r="T2729" s="1043"/>
      <c r="U2729" s="1043"/>
      <c r="V2729" s="371"/>
      <c r="W2729" s="741">
        <f t="shared" si="89"/>
        <v>0</v>
      </c>
    </row>
    <row r="2730" spans="1:23" ht="15" customHeight="1">
      <c r="A2730" s="36">
        <v>39722</v>
      </c>
      <c r="B2730" s="37">
        <v>4025</v>
      </c>
      <c r="C2730" s="37"/>
      <c r="D2730" s="38">
        <v>18250</v>
      </c>
      <c r="E2730" s="38">
        <f t="shared" si="85"/>
        <v>41825</v>
      </c>
      <c r="F2730" s="38">
        <v>64100</v>
      </c>
      <c r="G2730" s="38"/>
      <c r="H2730" s="38"/>
      <c r="I2730" s="38"/>
      <c r="J2730" s="268"/>
      <c r="K2730" s="39">
        <v>1806</v>
      </c>
      <c r="L2730" s="40">
        <v>1830</v>
      </c>
      <c r="M2730" s="270">
        <f t="shared" si="90"/>
        <v>24</v>
      </c>
      <c r="N2730" s="21"/>
      <c r="O2730" s="283"/>
      <c r="P2730" s="379"/>
      <c r="Q2730" s="1043"/>
      <c r="R2730" s="1043"/>
      <c r="S2730" s="1043"/>
      <c r="T2730" s="1043"/>
      <c r="U2730" s="1043"/>
      <c r="V2730" s="371"/>
      <c r="W2730" s="741">
        <f t="shared" si="89"/>
        <v>0</v>
      </c>
    </row>
    <row r="2731" spans="1:23" ht="15" customHeight="1">
      <c r="A2731" s="3">
        <v>39723</v>
      </c>
      <c r="B2731" s="4">
        <v>4025</v>
      </c>
      <c r="D2731" s="5">
        <v>18850</v>
      </c>
      <c r="E2731" s="5">
        <f t="shared" si="85"/>
        <v>41825</v>
      </c>
      <c r="F2731" s="5">
        <v>64700</v>
      </c>
      <c r="K2731" s="24">
        <v>1740</v>
      </c>
      <c r="L2731" s="6">
        <v>1760</v>
      </c>
      <c r="M2731" s="270">
        <f t="shared" si="90"/>
        <v>20</v>
      </c>
      <c r="N2731" s="19"/>
      <c r="O2731" s="280"/>
      <c r="P2731" s="379"/>
      <c r="Q2731" s="1043"/>
      <c r="R2731" s="1043"/>
      <c r="S2731" s="1043"/>
      <c r="T2731" s="1043"/>
      <c r="U2731" s="1043"/>
      <c r="V2731" s="371"/>
      <c r="W2731" s="741">
        <f t="shared" si="89"/>
        <v>0</v>
      </c>
    </row>
    <row r="2732" spans="1:23" ht="15" customHeight="1">
      <c r="A2732" s="3">
        <v>39724</v>
      </c>
      <c r="B2732" s="4">
        <v>4025</v>
      </c>
      <c r="D2732" s="5">
        <v>19150</v>
      </c>
      <c r="E2732" s="5">
        <f t="shared" si="85"/>
        <v>41625</v>
      </c>
      <c r="F2732" s="5">
        <v>64800</v>
      </c>
      <c r="K2732" s="24">
        <v>1681</v>
      </c>
      <c r="L2732" s="6">
        <v>1710</v>
      </c>
      <c r="M2732" s="270">
        <f t="shared" si="90"/>
        <v>29</v>
      </c>
      <c r="N2732" s="19"/>
      <c r="O2732" s="280"/>
      <c r="P2732" s="379"/>
      <c r="Q2732" s="1043"/>
      <c r="R2732" s="1043"/>
      <c r="S2732" s="1043"/>
      <c r="T2732" s="1043"/>
      <c r="U2732" s="1043"/>
      <c r="V2732" s="371"/>
      <c r="W2732" s="741">
        <f t="shared" si="89"/>
        <v>0</v>
      </c>
    </row>
    <row r="2733" spans="1:23" ht="15" customHeight="1">
      <c r="A2733" s="3">
        <v>39725</v>
      </c>
      <c r="B2733" s="4">
        <v>3725</v>
      </c>
      <c r="D2733" s="5">
        <v>19700</v>
      </c>
      <c r="E2733" s="5">
        <f t="shared" si="85"/>
        <v>41625</v>
      </c>
      <c r="F2733" s="5">
        <v>65050</v>
      </c>
      <c r="K2733" s="24">
        <v>1615</v>
      </c>
      <c r="L2733" s="6">
        <v>1640</v>
      </c>
      <c r="M2733" s="270">
        <f t="shared" si="90"/>
        <v>25</v>
      </c>
      <c r="N2733" s="19"/>
      <c r="O2733" s="280"/>
      <c r="P2733" s="345">
        <v>17000</v>
      </c>
      <c r="Q2733" s="28">
        <v>0.14610000000000001</v>
      </c>
      <c r="U2733" s="29">
        <v>0.1</v>
      </c>
      <c r="W2733" s="741">
        <f t="shared" ref="W2733:W2796" si="91">(P2733*Q2733)*(1+U2733)</f>
        <v>2732.0700000000006</v>
      </c>
    </row>
    <row r="2734" spans="1:23" ht="15" customHeight="1">
      <c r="A2734" s="3">
        <v>39728</v>
      </c>
      <c r="B2734" s="4">
        <v>3675</v>
      </c>
      <c r="D2734" s="5">
        <v>19700</v>
      </c>
      <c r="E2734" s="5">
        <f t="shared" si="85"/>
        <v>41675</v>
      </c>
      <c r="F2734" s="5">
        <v>65050</v>
      </c>
      <c r="K2734" s="24">
        <v>1650.5</v>
      </c>
      <c r="L2734" s="6">
        <v>1669</v>
      </c>
      <c r="M2734" s="270">
        <f t="shared" si="90"/>
        <v>18.5</v>
      </c>
      <c r="N2734" s="19"/>
      <c r="O2734" s="280"/>
      <c r="P2734" s="345">
        <v>16600</v>
      </c>
      <c r="Q2734" s="28">
        <v>0.14610000000000001</v>
      </c>
      <c r="U2734" s="29">
        <v>0.1</v>
      </c>
      <c r="W2734" s="741">
        <f t="shared" si="91"/>
        <v>2667.7860000000005</v>
      </c>
    </row>
    <row r="2735" spans="1:23" ht="15" customHeight="1">
      <c r="A2735" s="3">
        <v>39729</v>
      </c>
      <c r="B2735" s="4">
        <v>3225</v>
      </c>
      <c r="D2735" s="5">
        <v>19650</v>
      </c>
      <c r="E2735" s="5">
        <f t="shared" si="85"/>
        <v>41150</v>
      </c>
      <c r="F2735" s="5">
        <v>64025</v>
      </c>
      <c r="K2735" s="24">
        <v>1605</v>
      </c>
      <c r="L2735" s="6">
        <v>1616</v>
      </c>
      <c r="M2735" s="270">
        <f t="shared" si="90"/>
        <v>11</v>
      </c>
      <c r="N2735" s="19"/>
      <c r="O2735" s="280"/>
      <c r="P2735" s="345">
        <v>16600</v>
      </c>
      <c r="Q2735" s="28">
        <v>0.1467</v>
      </c>
      <c r="U2735" s="29">
        <v>0.1</v>
      </c>
      <c r="W2735" s="741">
        <f t="shared" si="91"/>
        <v>2678.7420000000002</v>
      </c>
    </row>
    <row r="2736" spans="1:23" ht="15" customHeight="1">
      <c r="A2736" s="3">
        <v>39730</v>
      </c>
      <c r="B2736" s="4">
        <v>2950</v>
      </c>
      <c r="D2736" s="5">
        <v>19475</v>
      </c>
      <c r="E2736" s="5">
        <f t="shared" si="85"/>
        <v>40750</v>
      </c>
      <c r="F2736" s="5">
        <v>63175</v>
      </c>
      <c r="K2736" s="24">
        <v>1605</v>
      </c>
      <c r="L2736" s="6">
        <v>1615</v>
      </c>
      <c r="M2736" s="270">
        <f t="shared" si="90"/>
        <v>10</v>
      </c>
      <c r="N2736" s="19"/>
      <c r="O2736" s="280"/>
      <c r="P2736" s="345">
        <v>16300</v>
      </c>
      <c r="Q2736" s="28">
        <v>0.14680000000000001</v>
      </c>
      <c r="U2736" s="29">
        <v>0.1</v>
      </c>
      <c r="W2736" s="741">
        <f t="shared" si="91"/>
        <v>2632.1240000000003</v>
      </c>
    </row>
    <row r="2737" spans="1:23" ht="15" customHeight="1">
      <c r="A2737" s="3">
        <v>39731</v>
      </c>
      <c r="B2737" s="4">
        <v>2825</v>
      </c>
      <c r="D2737" s="5">
        <v>19475</v>
      </c>
      <c r="E2737" s="5">
        <f t="shared" si="85"/>
        <v>40700</v>
      </c>
      <c r="F2737" s="5">
        <v>63000</v>
      </c>
      <c r="K2737" s="24">
        <v>1484</v>
      </c>
      <c r="L2737" s="6">
        <v>1475</v>
      </c>
      <c r="M2737" s="270">
        <f t="shared" si="90"/>
        <v>-9</v>
      </c>
      <c r="N2737" s="19"/>
      <c r="O2737" s="280"/>
      <c r="P2737" s="345">
        <v>16000</v>
      </c>
      <c r="Q2737" s="28">
        <v>0.14660000000000001</v>
      </c>
      <c r="U2737" s="29">
        <v>0.1</v>
      </c>
      <c r="W2737" s="741">
        <f t="shared" si="91"/>
        <v>2580.1600000000003</v>
      </c>
    </row>
    <row r="2738" spans="1:23" ht="15" customHeight="1">
      <c r="A2738" s="3">
        <v>39734</v>
      </c>
      <c r="B2738" s="4">
        <v>2550</v>
      </c>
      <c r="D2738" s="5">
        <v>19450</v>
      </c>
      <c r="E2738" s="5">
        <f t="shared" si="85"/>
        <v>40450</v>
      </c>
      <c r="F2738" s="5">
        <v>62450</v>
      </c>
      <c r="K2738" s="24">
        <v>1518</v>
      </c>
      <c r="L2738" s="6">
        <v>1521</v>
      </c>
      <c r="M2738" s="270">
        <f t="shared" si="90"/>
        <v>3</v>
      </c>
      <c r="N2738" s="19"/>
      <c r="O2738" s="280"/>
      <c r="P2738" s="345">
        <v>15400</v>
      </c>
      <c r="Q2738" s="28">
        <v>0.14630000000000001</v>
      </c>
      <c r="U2738" s="29">
        <v>0.1</v>
      </c>
      <c r="W2738" s="741">
        <f t="shared" si="91"/>
        <v>2478.3220000000001</v>
      </c>
    </row>
    <row r="2739" spans="1:23" ht="15" customHeight="1">
      <c r="A2739" s="3">
        <v>39735</v>
      </c>
      <c r="B2739" s="4">
        <v>2475</v>
      </c>
      <c r="D2739" s="5">
        <v>19400</v>
      </c>
      <c r="E2739" s="5">
        <f t="shared" si="85"/>
        <v>40425</v>
      </c>
      <c r="F2739" s="5">
        <v>62300</v>
      </c>
      <c r="K2739" s="24">
        <v>1615</v>
      </c>
      <c r="L2739" s="6">
        <v>1615</v>
      </c>
      <c r="M2739" s="270">
        <f t="shared" si="90"/>
        <v>0</v>
      </c>
      <c r="N2739" s="19"/>
      <c r="O2739" s="280"/>
      <c r="P2739" s="345">
        <v>15500</v>
      </c>
      <c r="Q2739" s="28">
        <v>0.14630000000000001</v>
      </c>
      <c r="U2739" s="29">
        <v>0.1</v>
      </c>
      <c r="W2739" s="741">
        <f t="shared" si="91"/>
        <v>2494.4150000000004</v>
      </c>
    </row>
    <row r="2740" spans="1:23" ht="15" customHeight="1">
      <c r="A2740" s="3">
        <v>39736</v>
      </c>
      <c r="B2740" s="4">
        <v>2150</v>
      </c>
      <c r="D2740" s="5">
        <v>19375</v>
      </c>
      <c r="E2740" s="5">
        <f t="shared" si="85"/>
        <v>40200</v>
      </c>
      <c r="F2740" s="5">
        <v>61725</v>
      </c>
      <c r="K2740" s="24">
        <v>1512</v>
      </c>
      <c r="L2740" s="6">
        <v>1530</v>
      </c>
      <c r="M2740" s="270">
        <f t="shared" si="90"/>
        <v>18</v>
      </c>
      <c r="N2740" s="19"/>
      <c r="O2740" s="280"/>
      <c r="P2740" s="345">
        <v>15500</v>
      </c>
      <c r="Q2740" s="28">
        <v>0.1464</v>
      </c>
      <c r="U2740" s="29">
        <v>0.1</v>
      </c>
      <c r="W2740" s="741">
        <f t="shared" si="91"/>
        <v>2496.12</v>
      </c>
    </row>
    <row r="2741" spans="1:23" ht="15" customHeight="1">
      <c r="A2741" s="3">
        <v>39737</v>
      </c>
      <c r="B2741" s="4">
        <v>2050</v>
      </c>
      <c r="D2741" s="5">
        <v>19375</v>
      </c>
      <c r="E2741" s="5">
        <f t="shared" si="85"/>
        <v>39650</v>
      </c>
      <c r="F2741" s="5">
        <v>61075</v>
      </c>
      <c r="K2741" s="24">
        <v>1440</v>
      </c>
      <c r="L2741" s="6">
        <v>1460</v>
      </c>
      <c r="M2741" s="270">
        <f t="shared" si="90"/>
        <v>20</v>
      </c>
      <c r="N2741" s="19"/>
      <c r="O2741" s="280"/>
      <c r="P2741" s="345">
        <v>15100</v>
      </c>
      <c r="Q2741" s="28">
        <v>0.1464</v>
      </c>
      <c r="U2741" s="29">
        <v>0.1</v>
      </c>
      <c r="W2741" s="741">
        <f t="shared" si="91"/>
        <v>2431.7040000000002</v>
      </c>
    </row>
    <row r="2742" spans="1:23" ht="15" customHeight="1">
      <c r="A2742" s="3">
        <v>39738</v>
      </c>
      <c r="B2742" s="4">
        <v>1700</v>
      </c>
      <c r="D2742" s="5">
        <v>19375</v>
      </c>
      <c r="E2742" s="5">
        <f t="shared" si="85"/>
        <v>38350</v>
      </c>
      <c r="F2742" s="5">
        <v>59425</v>
      </c>
      <c r="K2742" s="24">
        <v>1326</v>
      </c>
      <c r="L2742" s="6">
        <v>1337</v>
      </c>
      <c r="M2742" s="270">
        <f t="shared" si="90"/>
        <v>11</v>
      </c>
      <c r="N2742" s="19"/>
      <c r="O2742" s="280"/>
      <c r="P2742" s="345">
        <v>14500</v>
      </c>
      <c r="Q2742" s="28">
        <v>0.14630000000000001</v>
      </c>
      <c r="U2742" s="29">
        <v>0.1</v>
      </c>
      <c r="W2742" s="741">
        <f t="shared" si="91"/>
        <v>2333.4850000000006</v>
      </c>
    </row>
    <row r="2743" spans="1:23" ht="15" customHeight="1">
      <c r="A2743" s="3">
        <v>39741</v>
      </c>
      <c r="B2743" s="4">
        <v>1550</v>
      </c>
      <c r="D2743" s="5">
        <v>19325</v>
      </c>
      <c r="E2743" s="5">
        <f t="shared" si="85"/>
        <v>37600</v>
      </c>
      <c r="F2743" s="5">
        <v>58475</v>
      </c>
      <c r="K2743" s="24">
        <v>1407</v>
      </c>
      <c r="L2743" s="6">
        <v>1420</v>
      </c>
      <c r="M2743" s="270">
        <f t="shared" si="90"/>
        <v>13</v>
      </c>
      <c r="N2743" s="19"/>
      <c r="O2743" s="280"/>
      <c r="P2743" s="345">
        <v>14000</v>
      </c>
      <c r="Q2743" s="28">
        <v>0.14630000000000001</v>
      </c>
      <c r="U2743" s="29">
        <v>0.1</v>
      </c>
      <c r="W2743" s="741">
        <f t="shared" si="91"/>
        <v>2253.0200000000004</v>
      </c>
    </row>
    <row r="2744" spans="1:23" ht="15" customHeight="1">
      <c r="A2744" s="3">
        <v>39742</v>
      </c>
      <c r="B2744" s="4">
        <v>1550</v>
      </c>
      <c r="D2744" s="5">
        <v>19175</v>
      </c>
      <c r="E2744" s="5">
        <f t="shared" si="85"/>
        <v>36675</v>
      </c>
      <c r="F2744" s="5">
        <v>57400</v>
      </c>
      <c r="K2744" s="24">
        <v>1336</v>
      </c>
      <c r="L2744" s="6">
        <v>1355.5</v>
      </c>
      <c r="M2744" s="270">
        <f t="shared" si="90"/>
        <v>19.5</v>
      </c>
      <c r="N2744" s="19"/>
      <c r="O2744" s="280"/>
      <c r="P2744" s="345">
        <v>13300</v>
      </c>
      <c r="Q2744" s="28">
        <v>0.1464</v>
      </c>
      <c r="U2744" s="29">
        <v>0.1</v>
      </c>
      <c r="W2744" s="741">
        <f t="shared" si="91"/>
        <v>2141.8320000000003</v>
      </c>
    </row>
    <row r="2745" spans="1:23" ht="15" customHeight="1">
      <c r="A2745" s="3">
        <v>39743</v>
      </c>
      <c r="B2745" s="4">
        <v>1475</v>
      </c>
      <c r="D2745" s="5">
        <v>19000</v>
      </c>
      <c r="E2745" s="5">
        <f t="shared" si="85"/>
        <v>35475</v>
      </c>
      <c r="F2745" s="5">
        <v>55950</v>
      </c>
      <c r="K2745" s="24">
        <v>1240</v>
      </c>
      <c r="L2745" s="6">
        <v>1262</v>
      </c>
      <c r="M2745" s="270">
        <f t="shared" si="90"/>
        <v>22</v>
      </c>
      <c r="N2745" s="19"/>
      <c r="O2745" s="280"/>
      <c r="P2745" s="345">
        <v>12650</v>
      </c>
      <c r="Q2745" s="28">
        <v>0.14630000000000001</v>
      </c>
      <c r="U2745" s="29">
        <v>0.1</v>
      </c>
      <c r="W2745" s="741">
        <f t="shared" si="91"/>
        <v>2035.7645000000005</v>
      </c>
    </row>
    <row r="2746" spans="1:23" ht="15" customHeight="1">
      <c r="A2746" s="3">
        <v>39744</v>
      </c>
      <c r="B2746" s="4">
        <v>1675</v>
      </c>
      <c r="D2746" s="5">
        <v>18850</v>
      </c>
      <c r="E2746" s="5">
        <f t="shared" si="85"/>
        <v>34675</v>
      </c>
      <c r="F2746" s="5">
        <v>55200</v>
      </c>
      <c r="K2746" s="24">
        <v>1150.5</v>
      </c>
      <c r="L2746" s="6">
        <v>1166</v>
      </c>
      <c r="M2746" s="270">
        <f t="shared" si="90"/>
        <v>15.5</v>
      </c>
      <c r="N2746" s="19"/>
      <c r="O2746" s="280"/>
      <c r="P2746" s="345">
        <v>10650</v>
      </c>
      <c r="Q2746" s="28">
        <v>0.14630000000000001</v>
      </c>
      <c r="U2746" s="29">
        <v>0.1</v>
      </c>
      <c r="W2746" s="741">
        <f t="shared" si="91"/>
        <v>1713.9045000000003</v>
      </c>
    </row>
    <row r="2747" spans="1:23" ht="15" customHeight="1">
      <c r="A2747" s="3">
        <v>39745</v>
      </c>
      <c r="B2747" s="4">
        <v>1675</v>
      </c>
      <c r="D2747" s="5">
        <v>18800</v>
      </c>
      <c r="E2747" s="5">
        <f t="shared" si="85"/>
        <v>33975</v>
      </c>
      <c r="F2747" s="5">
        <v>54450</v>
      </c>
      <c r="K2747" s="24">
        <v>1140</v>
      </c>
      <c r="L2747" s="6">
        <v>1165</v>
      </c>
      <c r="M2747" s="270">
        <f t="shared" si="90"/>
        <v>25</v>
      </c>
      <c r="N2747" s="19"/>
      <c r="O2747" s="280"/>
      <c r="P2747" s="345">
        <v>10650</v>
      </c>
      <c r="Q2747" s="28">
        <v>0.14630000000000001</v>
      </c>
      <c r="U2747" s="29">
        <v>0.1</v>
      </c>
      <c r="W2747" s="741">
        <f t="shared" si="91"/>
        <v>1713.9045000000003</v>
      </c>
    </row>
    <row r="2748" spans="1:23" ht="15" customHeight="1">
      <c r="A2748" s="3">
        <v>39748</v>
      </c>
      <c r="B2748" s="4">
        <v>1475</v>
      </c>
      <c r="D2748" s="5">
        <v>18625</v>
      </c>
      <c r="E2748" s="5">
        <f t="shared" si="85"/>
        <v>33275</v>
      </c>
      <c r="F2748" s="5">
        <v>53375</v>
      </c>
      <c r="K2748" s="24">
        <v>1206</v>
      </c>
      <c r="L2748" s="6">
        <v>1216</v>
      </c>
      <c r="M2748" s="270">
        <f t="shared" si="90"/>
        <v>10</v>
      </c>
      <c r="N2748" s="19"/>
      <c r="O2748" s="280"/>
      <c r="P2748" s="345">
        <v>10600</v>
      </c>
      <c r="Q2748" s="28">
        <v>0.1462</v>
      </c>
      <c r="U2748" s="29">
        <v>0.1</v>
      </c>
      <c r="W2748" s="741">
        <f t="shared" si="91"/>
        <v>1704.6920000000002</v>
      </c>
    </row>
    <row r="2749" spans="1:23" ht="15" customHeight="1">
      <c r="A2749" s="3">
        <v>39749</v>
      </c>
      <c r="B2749" s="4">
        <v>1475</v>
      </c>
      <c r="D2749" s="5">
        <v>18425</v>
      </c>
      <c r="E2749" s="5">
        <f t="shared" si="85"/>
        <v>32350</v>
      </c>
      <c r="F2749" s="5">
        <v>52250</v>
      </c>
      <c r="K2749" s="24">
        <v>1445</v>
      </c>
      <c r="L2749" s="6">
        <v>1436</v>
      </c>
      <c r="M2749" s="270">
        <f t="shared" si="90"/>
        <v>-9</v>
      </c>
      <c r="N2749" s="19"/>
      <c r="O2749" s="280"/>
      <c r="P2749" s="345">
        <v>11000</v>
      </c>
      <c r="Q2749" s="28">
        <v>0.1459</v>
      </c>
      <c r="U2749" s="29">
        <v>0.1</v>
      </c>
      <c r="W2749" s="741">
        <f t="shared" si="91"/>
        <v>1765.3900000000003</v>
      </c>
    </row>
    <row r="2750" spans="1:23" ht="15" customHeight="1">
      <c r="A2750" s="3">
        <v>39750</v>
      </c>
      <c r="B2750" s="4">
        <v>1050</v>
      </c>
      <c r="D2750" s="5">
        <v>18275</v>
      </c>
      <c r="E2750" s="5">
        <f t="shared" si="85"/>
        <v>31950</v>
      </c>
      <c r="F2750" s="5">
        <v>51275</v>
      </c>
      <c r="K2750" s="24">
        <v>1531</v>
      </c>
      <c r="L2750" s="6">
        <v>1540</v>
      </c>
      <c r="M2750" s="270">
        <f t="shared" si="90"/>
        <v>9</v>
      </c>
      <c r="N2750" s="19"/>
      <c r="O2750" s="280"/>
      <c r="P2750" s="345">
        <v>11000</v>
      </c>
      <c r="Q2750" s="28">
        <v>0.14630000000000001</v>
      </c>
      <c r="U2750" s="29">
        <v>0.1</v>
      </c>
      <c r="W2750" s="741">
        <f t="shared" si="91"/>
        <v>1770.2300000000002</v>
      </c>
    </row>
    <row r="2751" spans="1:23" ht="15" customHeight="1">
      <c r="A2751" s="3">
        <v>39751</v>
      </c>
      <c r="B2751" s="4">
        <v>925</v>
      </c>
      <c r="D2751" s="5">
        <v>18000</v>
      </c>
      <c r="E2751" s="5">
        <f t="shared" si="85"/>
        <v>31075</v>
      </c>
      <c r="F2751" s="5">
        <v>50000</v>
      </c>
      <c r="K2751" s="24">
        <v>1520.5</v>
      </c>
      <c r="L2751" s="6">
        <v>1525</v>
      </c>
      <c r="M2751" s="270">
        <f t="shared" si="90"/>
        <v>4.5</v>
      </c>
      <c r="N2751" s="19"/>
      <c r="O2751" s="280"/>
      <c r="P2751" s="345">
        <v>11400</v>
      </c>
      <c r="Q2751" s="28">
        <v>0.1462</v>
      </c>
      <c r="U2751" s="29">
        <v>0.1</v>
      </c>
      <c r="W2751" s="741">
        <f t="shared" si="91"/>
        <v>1833.3480000000002</v>
      </c>
    </row>
    <row r="2752" spans="1:23" ht="15" customHeight="1" thickBot="1">
      <c r="A2752" s="12">
        <v>39752</v>
      </c>
      <c r="B2752" s="13">
        <v>925</v>
      </c>
      <c r="C2752" s="13"/>
      <c r="D2752" s="14">
        <v>17875</v>
      </c>
      <c r="E2752" s="14">
        <f t="shared" si="85"/>
        <v>29775</v>
      </c>
      <c r="F2752" s="14">
        <v>48575</v>
      </c>
      <c r="G2752" s="14"/>
      <c r="H2752" s="14"/>
      <c r="I2752" s="14"/>
      <c r="J2752" s="264"/>
      <c r="K2752" s="25">
        <v>1469</v>
      </c>
      <c r="L2752" s="15">
        <v>1472</v>
      </c>
      <c r="M2752" s="271">
        <f t="shared" si="90"/>
        <v>3</v>
      </c>
      <c r="N2752" s="20">
        <f>AVERAGE(K2730:K2752)</f>
        <v>1480.108695652174</v>
      </c>
      <c r="O2752" s="281">
        <f>AVERAGE(K2535:K2752)</f>
        <v>2269.894366197183</v>
      </c>
      <c r="P2752" s="346">
        <v>11000</v>
      </c>
      <c r="Q2752" s="30">
        <v>0.14630000000000001</v>
      </c>
      <c r="R2752" s="30"/>
      <c r="S2752" s="30"/>
      <c r="T2752" s="30"/>
      <c r="U2752" s="31">
        <v>0.1</v>
      </c>
      <c r="V2752" s="46">
        <f>AVERAGE(P2730:P2752)</f>
        <v>13737.5</v>
      </c>
      <c r="W2752" s="741">
        <f t="shared" si="91"/>
        <v>1770.2300000000002</v>
      </c>
    </row>
    <row r="2753" spans="1:23" ht="15" customHeight="1">
      <c r="A2753" s="3">
        <v>39755</v>
      </c>
      <c r="B2753" s="4">
        <v>550</v>
      </c>
      <c r="D2753" s="5">
        <v>17875</v>
      </c>
      <c r="E2753" s="5">
        <f t="shared" si="85"/>
        <v>29725</v>
      </c>
      <c r="F2753" s="5">
        <v>48150</v>
      </c>
      <c r="K2753" s="24">
        <v>1455</v>
      </c>
      <c r="L2753" s="6">
        <v>1470</v>
      </c>
      <c r="M2753" s="270">
        <f t="shared" si="90"/>
        <v>15</v>
      </c>
      <c r="N2753" s="21"/>
      <c r="O2753" s="283"/>
      <c r="P2753" s="348">
        <v>11000</v>
      </c>
      <c r="Q2753" s="41">
        <v>0.14630000000000001</v>
      </c>
      <c r="U2753" s="29">
        <v>0.1</v>
      </c>
      <c r="V2753" s="45"/>
      <c r="W2753" s="741">
        <f t="shared" si="91"/>
        <v>1770.2300000000002</v>
      </c>
    </row>
    <row r="2754" spans="1:23" ht="15" customHeight="1">
      <c r="A2754" s="3">
        <v>39756</v>
      </c>
      <c r="B2754" s="4">
        <v>250</v>
      </c>
      <c r="D2754" s="5">
        <v>17850</v>
      </c>
      <c r="E2754" s="5">
        <f t="shared" si="85"/>
        <v>29700</v>
      </c>
      <c r="F2754" s="5">
        <v>47800</v>
      </c>
      <c r="K2754" s="24">
        <v>1521</v>
      </c>
      <c r="L2754" s="6">
        <v>1525</v>
      </c>
      <c r="M2754" s="270">
        <f t="shared" si="90"/>
        <v>4</v>
      </c>
      <c r="N2754" s="19"/>
      <c r="O2754" s="280"/>
      <c r="P2754" s="345">
        <v>11000</v>
      </c>
      <c r="Q2754" s="28">
        <v>0.1462</v>
      </c>
      <c r="U2754" s="29">
        <v>0.1</v>
      </c>
      <c r="W2754" s="741">
        <f t="shared" si="91"/>
        <v>1769.0200000000002</v>
      </c>
    </row>
    <row r="2755" spans="1:23" ht="15" customHeight="1">
      <c r="A2755" s="3">
        <v>39757</v>
      </c>
      <c r="B2755" s="4">
        <v>0</v>
      </c>
      <c r="D2755" s="5">
        <v>17850</v>
      </c>
      <c r="E2755" s="5">
        <f t="shared" si="85"/>
        <v>28475</v>
      </c>
      <c r="F2755" s="5">
        <v>46325</v>
      </c>
      <c r="K2755" s="24">
        <v>1478</v>
      </c>
      <c r="L2755" s="6">
        <v>1485</v>
      </c>
      <c r="M2755" s="270">
        <f t="shared" si="90"/>
        <v>7</v>
      </c>
      <c r="N2755" s="19"/>
      <c r="O2755" s="280"/>
      <c r="P2755" s="345">
        <v>10700</v>
      </c>
      <c r="Q2755" s="28">
        <v>0.14630000000000001</v>
      </c>
      <c r="U2755" s="29">
        <v>0.1</v>
      </c>
      <c r="W2755" s="741">
        <f t="shared" si="91"/>
        <v>1721.9510000000002</v>
      </c>
    </row>
    <row r="2756" spans="1:23" ht="15" customHeight="1">
      <c r="A2756" s="3">
        <v>39758</v>
      </c>
      <c r="B2756" s="4">
        <v>0</v>
      </c>
      <c r="D2756" s="5">
        <v>17850</v>
      </c>
      <c r="E2756" s="5">
        <f t="shared" si="85"/>
        <v>27850</v>
      </c>
      <c r="F2756" s="5">
        <v>45700</v>
      </c>
      <c r="K2756" s="24">
        <v>1470</v>
      </c>
      <c r="L2756" s="6">
        <v>1475</v>
      </c>
      <c r="M2756" s="270">
        <f t="shared" si="90"/>
        <v>5</v>
      </c>
      <c r="N2756" s="19"/>
      <c r="O2756" s="280"/>
      <c r="P2756" s="345">
        <v>10600</v>
      </c>
      <c r="Q2756" s="28">
        <v>0.1464</v>
      </c>
      <c r="U2756" s="29">
        <v>0.1</v>
      </c>
      <c r="W2756" s="741">
        <f t="shared" si="91"/>
        <v>1707.0240000000001</v>
      </c>
    </row>
    <row r="2757" spans="1:23" ht="15" customHeight="1">
      <c r="A2757" s="3">
        <v>39759</v>
      </c>
      <c r="B2757" s="4">
        <v>0</v>
      </c>
      <c r="D2757" s="5">
        <v>17850</v>
      </c>
      <c r="E2757" s="5">
        <f t="shared" si="85"/>
        <v>26775</v>
      </c>
      <c r="F2757" s="5">
        <v>44625</v>
      </c>
      <c r="K2757" s="24">
        <v>1446</v>
      </c>
      <c r="L2757" s="6">
        <v>1456</v>
      </c>
      <c r="M2757" s="270">
        <f t="shared" si="90"/>
        <v>10</v>
      </c>
      <c r="N2757" s="19"/>
      <c r="O2757" s="280"/>
      <c r="P2757" s="345">
        <v>10300</v>
      </c>
      <c r="Q2757" s="28">
        <v>0.14660000000000001</v>
      </c>
      <c r="U2757" s="29">
        <v>0.1</v>
      </c>
      <c r="W2757" s="741">
        <f t="shared" si="91"/>
        <v>1660.9780000000001</v>
      </c>
    </row>
    <row r="2758" spans="1:23" ht="15" customHeight="1">
      <c r="A2758" s="3">
        <v>39762</v>
      </c>
      <c r="B2758" s="4">
        <v>0</v>
      </c>
      <c r="D2758" s="5">
        <v>17825</v>
      </c>
      <c r="E2758" s="5">
        <f t="shared" si="85"/>
        <v>26450</v>
      </c>
      <c r="F2758" s="5">
        <v>44275</v>
      </c>
      <c r="K2758" s="24">
        <v>1411</v>
      </c>
      <c r="L2758" s="6">
        <v>1426</v>
      </c>
      <c r="M2758" s="270">
        <f t="shared" si="90"/>
        <v>15</v>
      </c>
      <c r="N2758" s="19"/>
      <c r="O2758" s="280"/>
      <c r="P2758" s="345">
        <v>10100</v>
      </c>
      <c r="Q2758" s="28">
        <v>0.14649999999999999</v>
      </c>
      <c r="U2758" s="29">
        <v>0.1</v>
      </c>
      <c r="W2758" s="741">
        <f t="shared" si="91"/>
        <v>1627.615</v>
      </c>
    </row>
    <row r="2759" spans="1:23" ht="15" customHeight="1">
      <c r="A2759" s="3">
        <v>39763</v>
      </c>
      <c r="B2759" s="4">
        <v>0</v>
      </c>
      <c r="D2759" s="5">
        <v>17825</v>
      </c>
      <c r="E2759" s="5">
        <f t="shared" si="85"/>
        <v>27025</v>
      </c>
      <c r="F2759" s="5">
        <v>44850</v>
      </c>
      <c r="K2759" s="24">
        <v>1285</v>
      </c>
      <c r="L2759" s="6">
        <v>1285</v>
      </c>
      <c r="M2759" s="270">
        <f t="shared" si="90"/>
        <v>0</v>
      </c>
      <c r="N2759" s="19"/>
      <c r="O2759" s="280"/>
      <c r="P2759" s="345">
        <v>10100</v>
      </c>
      <c r="Q2759" s="28">
        <v>0.14649999999999999</v>
      </c>
      <c r="U2759" s="29">
        <v>0.1</v>
      </c>
      <c r="W2759" s="741">
        <f t="shared" si="91"/>
        <v>1627.615</v>
      </c>
    </row>
    <row r="2760" spans="1:23" ht="15" customHeight="1">
      <c r="A2760" s="3">
        <v>39764</v>
      </c>
      <c r="B2760" s="4">
        <v>0</v>
      </c>
      <c r="D2760" s="5">
        <v>17825</v>
      </c>
      <c r="E2760" s="5">
        <f t="shared" si="85"/>
        <v>26975</v>
      </c>
      <c r="F2760" s="5">
        <v>44800</v>
      </c>
      <c r="K2760" s="24">
        <v>1257</v>
      </c>
      <c r="L2760" s="6">
        <v>1270</v>
      </c>
      <c r="M2760" s="270">
        <f t="shared" si="90"/>
        <v>13</v>
      </c>
      <c r="N2760" s="19"/>
      <c r="O2760" s="280"/>
      <c r="P2760" s="345">
        <v>9900</v>
      </c>
      <c r="Q2760" s="28">
        <v>0.14660000000000001</v>
      </c>
      <c r="U2760" s="29">
        <v>0.1</v>
      </c>
      <c r="W2760" s="741">
        <f t="shared" si="91"/>
        <v>1596.4740000000004</v>
      </c>
    </row>
    <row r="2761" spans="1:23" ht="15" customHeight="1">
      <c r="A2761" s="3">
        <v>39765</v>
      </c>
      <c r="B2761" s="4">
        <v>325</v>
      </c>
      <c r="D2761" s="5">
        <v>17825</v>
      </c>
      <c r="E2761" s="5">
        <f t="shared" si="85"/>
        <v>26575</v>
      </c>
      <c r="F2761" s="5">
        <v>44725</v>
      </c>
      <c r="K2761" s="24">
        <v>1302</v>
      </c>
      <c r="L2761" s="6">
        <v>1329</v>
      </c>
      <c r="M2761" s="270">
        <f t="shared" si="90"/>
        <v>27</v>
      </c>
      <c r="N2761" s="19"/>
      <c r="O2761" s="280"/>
      <c r="P2761" s="345">
        <v>9400</v>
      </c>
      <c r="Q2761" s="28">
        <v>0.1464</v>
      </c>
      <c r="U2761" s="29">
        <v>0.1</v>
      </c>
      <c r="W2761" s="741">
        <f t="shared" si="91"/>
        <v>1513.7760000000003</v>
      </c>
    </row>
    <row r="2762" spans="1:23" ht="15" customHeight="1">
      <c r="A2762" s="3">
        <v>39766</v>
      </c>
      <c r="B2762" s="4">
        <v>325</v>
      </c>
      <c r="D2762" s="5">
        <v>17825</v>
      </c>
      <c r="E2762" s="5">
        <f t="shared" si="85"/>
        <v>26075</v>
      </c>
      <c r="F2762" s="5">
        <v>44225</v>
      </c>
      <c r="K2762" s="24">
        <v>1349</v>
      </c>
      <c r="L2762" s="6">
        <v>1360.5</v>
      </c>
      <c r="M2762" s="270">
        <f t="shared" si="90"/>
        <v>11.5</v>
      </c>
      <c r="N2762" s="19"/>
      <c r="O2762" s="280"/>
      <c r="P2762" s="345">
        <v>9400</v>
      </c>
      <c r="Q2762" s="28">
        <v>0.1464</v>
      </c>
      <c r="U2762" s="29">
        <v>0.1</v>
      </c>
      <c r="W2762" s="741">
        <f t="shared" si="91"/>
        <v>1513.7760000000003</v>
      </c>
    </row>
    <row r="2763" spans="1:23" ht="15" customHeight="1">
      <c r="A2763" s="3">
        <v>39769</v>
      </c>
      <c r="B2763" s="4">
        <v>325</v>
      </c>
      <c r="D2763" s="5">
        <v>17825</v>
      </c>
      <c r="E2763" s="5">
        <f t="shared" si="85"/>
        <v>25800</v>
      </c>
      <c r="F2763" s="5">
        <v>43950</v>
      </c>
      <c r="K2763" s="24">
        <v>1258</v>
      </c>
      <c r="L2763" s="6">
        <v>1276</v>
      </c>
      <c r="M2763" s="270">
        <f t="shared" si="90"/>
        <v>18</v>
      </c>
      <c r="N2763" s="19"/>
      <c r="O2763" s="280"/>
      <c r="P2763" s="345">
        <v>9300</v>
      </c>
      <c r="Q2763" s="28">
        <v>0.14660000000000001</v>
      </c>
      <c r="U2763" s="29">
        <v>0.1</v>
      </c>
      <c r="W2763" s="741">
        <f t="shared" si="91"/>
        <v>1499.7180000000003</v>
      </c>
    </row>
    <row r="2764" spans="1:23" ht="15" customHeight="1">
      <c r="A2764" s="3">
        <v>39770</v>
      </c>
      <c r="B2764" s="4">
        <v>200</v>
      </c>
      <c r="D2764" s="5">
        <v>17825</v>
      </c>
      <c r="E2764" s="5">
        <f t="shared" si="85"/>
        <v>24450</v>
      </c>
      <c r="F2764" s="5">
        <v>42475</v>
      </c>
      <c r="K2764" s="24">
        <v>1245</v>
      </c>
      <c r="L2764" s="6">
        <v>1258</v>
      </c>
      <c r="M2764" s="270">
        <f t="shared" si="90"/>
        <v>13</v>
      </c>
      <c r="N2764" s="19"/>
      <c r="O2764" s="280"/>
      <c r="P2764" s="345">
        <v>9200</v>
      </c>
      <c r="Q2764" s="28">
        <v>0.14649999999999999</v>
      </c>
      <c r="U2764" s="29">
        <v>0.1</v>
      </c>
      <c r="W2764" s="741">
        <f t="shared" si="91"/>
        <v>1482.5800000000002</v>
      </c>
    </row>
    <row r="2765" spans="1:23" ht="15" customHeight="1">
      <c r="A2765" s="3">
        <v>39771</v>
      </c>
      <c r="B2765" s="4">
        <v>0</v>
      </c>
      <c r="D2765" s="5">
        <v>17925</v>
      </c>
      <c r="E2765" s="5">
        <f t="shared" si="85"/>
        <v>24150</v>
      </c>
      <c r="F2765" s="5">
        <v>42075</v>
      </c>
      <c r="K2765" s="24">
        <v>1240</v>
      </c>
      <c r="L2765" s="6">
        <v>1255</v>
      </c>
      <c r="M2765" s="270">
        <f t="shared" si="90"/>
        <v>15</v>
      </c>
      <c r="N2765" s="19"/>
      <c r="O2765" s="280"/>
      <c r="P2765" s="345">
        <v>9100</v>
      </c>
      <c r="Q2765" s="28">
        <v>0.14649999999999999</v>
      </c>
      <c r="U2765" s="29">
        <v>0.1</v>
      </c>
      <c r="W2765" s="741">
        <f t="shared" si="91"/>
        <v>1466.4649999999999</v>
      </c>
    </row>
    <row r="2766" spans="1:23" ht="15" customHeight="1">
      <c r="A2766" s="3">
        <v>39772</v>
      </c>
      <c r="B2766" s="4">
        <v>0</v>
      </c>
      <c r="D2766" s="5">
        <v>17775</v>
      </c>
      <c r="E2766" s="5">
        <f t="shared" si="85"/>
        <v>23700</v>
      </c>
      <c r="F2766" s="5">
        <v>41475</v>
      </c>
      <c r="K2766" s="24">
        <v>1171</v>
      </c>
      <c r="L2766" s="6">
        <v>1200</v>
      </c>
      <c r="M2766" s="270">
        <f t="shared" si="90"/>
        <v>29</v>
      </c>
      <c r="N2766" s="19"/>
      <c r="O2766" s="280"/>
      <c r="P2766" s="345">
        <v>9050</v>
      </c>
      <c r="Q2766" s="28">
        <v>0.1464</v>
      </c>
      <c r="U2766" s="29">
        <v>0.1</v>
      </c>
      <c r="W2766" s="741">
        <f t="shared" si="91"/>
        <v>1457.4120000000003</v>
      </c>
    </row>
    <row r="2767" spans="1:23" ht="15" customHeight="1">
      <c r="A2767" s="3">
        <v>39773</v>
      </c>
      <c r="B2767" s="4">
        <v>0</v>
      </c>
      <c r="D2767" s="5">
        <v>17650</v>
      </c>
      <c r="E2767" s="5">
        <f t="shared" si="85"/>
        <v>23800</v>
      </c>
      <c r="F2767" s="5">
        <v>41450</v>
      </c>
      <c r="K2767" s="24">
        <v>1217</v>
      </c>
      <c r="L2767" s="6">
        <v>1220</v>
      </c>
      <c r="M2767" s="270">
        <f t="shared" si="90"/>
        <v>3</v>
      </c>
      <c r="N2767" s="19"/>
      <c r="O2767" s="280"/>
      <c r="P2767" s="345">
        <v>8700</v>
      </c>
      <c r="Q2767" s="28">
        <v>0.14630000000000001</v>
      </c>
      <c r="U2767" s="29">
        <v>0.1</v>
      </c>
      <c r="W2767" s="741">
        <f t="shared" si="91"/>
        <v>1400.0910000000003</v>
      </c>
    </row>
    <row r="2768" spans="1:23" ht="15" customHeight="1">
      <c r="A2768" s="3">
        <v>39776</v>
      </c>
      <c r="B2768" s="4">
        <v>0</v>
      </c>
      <c r="D2768" s="5">
        <v>17650</v>
      </c>
      <c r="E2768" s="5">
        <f t="shared" si="85"/>
        <v>23650</v>
      </c>
      <c r="F2768" s="5">
        <v>41300</v>
      </c>
      <c r="K2768" s="24">
        <v>1189</v>
      </c>
      <c r="L2768" s="6">
        <v>1205</v>
      </c>
      <c r="M2768" s="270">
        <f t="shared" si="90"/>
        <v>16</v>
      </c>
      <c r="N2768" s="19"/>
      <c r="O2768" s="280"/>
      <c r="P2768" s="345">
        <v>8400</v>
      </c>
      <c r="Q2768" s="28">
        <v>0.1464</v>
      </c>
      <c r="U2768" s="29">
        <v>0.1</v>
      </c>
      <c r="W2768" s="741">
        <f t="shared" si="91"/>
        <v>1352.7360000000001</v>
      </c>
    </row>
    <row r="2769" spans="1:23" ht="15" customHeight="1">
      <c r="A2769" s="3">
        <v>39777</v>
      </c>
      <c r="B2769" s="4">
        <v>0</v>
      </c>
      <c r="D2769" s="5">
        <v>17625</v>
      </c>
      <c r="E2769" s="5">
        <f t="shared" si="85"/>
        <v>23450</v>
      </c>
      <c r="F2769" s="5">
        <v>41075</v>
      </c>
      <c r="K2769" s="24">
        <v>1186</v>
      </c>
      <c r="L2769" s="6">
        <v>1200</v>
      </c>
      <c r="M2769" s="270">
        <f t="shared" si="90"/>
        <v>14</v>
      </c>
      <c r="N2769" s="19"/>
      <c r="O2769" s="280"/>
      <c r="P2769" s="345">
        <v>8400</v>
      </c>
      <c r="Q2769" s="28">
        <v>0.14649999999999999</v>
      </c>
      <c r="U2769" s="29">
        <v>0.1</v>
      </c>
      <c r="W2769" s="741">
        <f t="shared" si="91"/>
        <v>1353.66</v>
      </c>
    </row>
    <row r="2770" spans="1:23" ht="15" customHeight="1">
      <c r="A2770" s="3">
        <v>39778</v>
      </c>
      <c r="B2770" s="4">
        <v>0</v>
      </c>
      <c r="D2770" s="5">
        <v>17625</v>
      </c>
      <c r="E2770" s="5">
        <f t="shared" si="85"/>
        <v>23325</v>
      </c>
      <c r="F2770" s="5">
        <v>40950</v>
      </c>
      <c r="K2770" s="24">
        <v>1176</v>
      </c>
      <c r="L2770" s="6">
        <v>1190</v>
      </c>
      <c r="M2770" s="270">
        <f t="shared" si="90"/>
        <v>14</v>
      </c>
      <c r="N2770" s="19"/>
      <c r="O2770" s="280"/>
      <c r="P2770" s="345">
        <v>8300</v>
      </c>
      <c r="Q2770" s="28">
        <v>0.14649999999999999</v>
      </c>
      <c r="U2770" s="29">
        <v>0.1</v>
      </c>
      <c r="W2770" s="741">
        <f t="shared" si="91"/>
        <v>1337.5449999999998</v>
      </c>
    </row>
    <row r="2771" spans="1:23" ht="15" customHeight="1">
      <c r="A2771" s="3">
        <v>39779</v>
      </c>
      <c r="B2771" s="4">
        <v>0</v>
      </c>
      <c r="D2771" s="5">
        <v>17825</v>
      </c>
      <c r="E2771" s="5">
        <f t="shared" si="85"/>
        <v>23375</v>
      </c>
      <c r="F2771" s="5">
        <v>41200</v>
      </c>
      <c r="K2771" s="24">
        <v>1086</v>
      </c>
      <c r="L2771" s="6">
        <v>1100.5</v>
      </c>
      <c r="M2771" s="270">
        <f t="shared" si="90"/>
        <v>14.5</v>
      </c>
      <c r="N2771" s="19"/>
      <c r="O2771" s="280"/>
      <c r="P2771" s="345">
        <v>8200</v>
      </c>
      <c r="Q2771" s="28">
        <v>0.1464</v>
      </c>
      <c r="U2771" s="29">
        <v>0.1</v>
      </c>
      <c r="W2771" s="741">
        <f t="shared" si="91"/>
        <v>1320.528</v>
      </c>
    </row>
    <row r="2772" spans="1:23" ht="15" customHeight="1" thickBot="1">
      <c r="A2772" s="12">
        <v>39780</v>
      </c>
      <c r="B2772" s="13">
        <v>200</v>
      </c>
      <c r="C2772" s="13"/>
      <c r="D2772" s="14">
        <v>18075</v>
      </c>
      <c r="E2772" s="14">
        <f t="shared" si="85"/>
        <v>23325</v>
      </c>
      <c r="F2772" s="14">
        <v>41600</v>
      </c>
      <c r="G2772" s="14"/>
      <c r="H2772" s="14"/>
      <c r="I2772" s="14"/>
      <c r="J2772" s="264"/>
      <c r="K2772" s="25">
        <v>1080</v>
      </c>
      <c r="L2772" s="15">
        <v>1086</v>
      </c>
      <c r="M2772" s="271">
        <f t="shared" si="90"/>
        <v>6</v>
      </c>
      <c r="N2772" s="20">
        <f>AVERAGE(K2753:K2772)</f>
        <v>1291.0999999999999</v>
      </c>
      <c r="O2772" s="281">
        <f>AVERAGE(K2535:K2772)</f>
        <v>2185.8776824034335</v>
      </c>
      <c r="P2772" s="346">
        <v>8200</v>
      </c>
      <c r="Q2772" s="30">
        <v>0.1464</v>
      </c>
      <c r="R2772" s="30"/>
      <c r="S2772" s="30"/>
      <c r="T2772" s="30"/>
      <c r="U2772" s="31">
        <v>0.1</v>
      </c>
      <c r="V2772" s="46">
        <f>AVERAGE(P2753:P2772)</f>
        <v>9467.5</v>
      </c>
      <c r="W2772" s="741">
        <f t="shared" si="91"/>
        <v>1320.528</v>
      </c>
    </row>
    <row r="2773" spans="1:23" ht="15" customHeight="1">
      <c r="A2773" s="36">
        <v>39783</v>
      </c>
      <c r="B2773" s="37">
        <v>200</v>
      </c>
      <c r="C2773" s="37"/>
      <c r="D2773" s="38">
        <v>18075</v>
      </c>
      <c r="E2773" s="38">
        <f t="shared" si="85"/>
        <v>23325</v>
      </c>
      <c r="F2773" s="38">
        <v>41600</v>
      </c>
      <c r="G2773" s="38"/>
      <c r="H2773" s="38"/>
      <c r="I2773" s="38"/>
      <c r="J2773" s="268"/>
      <c r="K2773" s="39">
        <v>1083</v>
      </c>
      <c r="L2773" s="40">
        <v>1095</v>
      </c>
      <c r="M2773" s="270">
        <f t="shared" si="90"/>
        <v>12</v>
      </c>
      <c r="N2773" s="21"/>
      <c r="O2773" s="283"/>
      <c r="P2773" s="348">
        <v>8200</v>
      </c>
      <c r="Q2773" s="41">
        <v>0.14649999999999999</v>
      </c>
      <c r="U2773" s="29">
        <v>0.1</v>
      </c>
      <c r="W2773" s="741">
        <f t="shared" si="91"/>
        <v>1321.43</v>
      </c>
    </row>
    <row r="2774" spans="1:23" ht="15" customHeight="1">
      <c r="A2774" s="3">
        <v>39784</v>
      </c>
      <c r="B2774" s="4">
        <v>200</v>
      </c>
      <c r="D2774" s="5">
        <v>18325</v>
      </c>
      <c r="E2774" s="5">
        <f t="shared" si="85"/>
        <v>23325</v>
      </c>
      <c r="F2774" s="5">
        <v>41850</v>
      </c>
      <c r="K2774" s="24">
        <v>1060</v>
      </c>
      <c r="L2774" s="6">
        <v>1066</v>
      </c>
      <c r="M2774" s="270">
        <f t="shared" si="90"/>
        <v>6</v>
      </c>
      <c r="N2774" s="19"/>
      <c r="O2774" s="280"/>
      <c r="P2774" s="345">
        <v>8400</v>
      </c>
      <c r="Q2774" s="28">
        <v>0.1452</v>
      </c>
      <c r="U2774" s="29">
        <v>0.1</v>
      </c>
      <c r="W2774" s="741">
        <f t="shared" si="91"/>
        <v>1341.6480000000001</v>
      </c>
    </row>
    <row r="2775" spans="1:23" ht="15" customHeight="1">
      <c r="A2775" s="3">
        <v>39785</v>
      </c>
      <c r="B2775" s="4">
        <v>200</v>
      </c>
      <c r="D2775" s="5">
        <v>19475</v>
      </c>
      <c r="E2775" s="5">
        <f t="shared" si="85"/>
        <v>23300</v>
      </c>
      <c r="F2775" s="5">
        <v>42975</v>
      </c>
      <c r="K2775" s="24">
        <v>1003</v>
      </c>
      <c r="L2775" s="6">
        <v>1021</v>
      </c>
      <c r="M2775" s="270">
        <f t="shared" si="90"/>
        <v>18</v>
      </c>
      <c r="N2775" s="19"/>
      <c r="O2775" s="280"/>
      <c r="P2775" s="345">
        <v>8700</v>
      </c>
      <c r="Q2775" s="28">
        <v>0.1454</v>
      </c>
      <c r="U2775" s="29">
        <v>0.1</v>
      </c>
      <c r="W2775" s="741">
        <f t="shared" si="91"/>
        <v>1391.4780000000001</v>
      </c>
    </row>
    <row r="2776" spans="1:23" ht="15" customHeight="1">
      <c r="A2776" s="3">
        <v>39786</v>
      </c>
      <c r="B2776" s="4">
        <v>0</v>
      </c>
      <c r="D2776" s="5">
        <v>19550</v>
      </c>
      <c r="E2776" s="5">
        <f t="shared" si="85"/>
        <v>23250</v>
      </c>
      <c r="F2776" s="5">
        <v>42800</v>
      </c>
      <c r="K2776" s="24">
        <v>1000</v>
      </c>
      <c r="L2776" s="6">
        <v>985</v>
      </c>
      <c r="M2776" s="270">
        <f t="shared" si="90"/>
        <v>-15</v>
      </c>
      <c r="N2776" s="19"/>
      <c r="O2776" s="280"/>
      <c r="P2776" s="345">
        <v>8700</v>
      </c>
      <c r="Q2776" s="28">
        <v>0.1454</v>
      </c>
      <c r="U2776" s="29">
        <v>0.1</v>
      </c>
      <c r="W2776" s="741">
        <f t="shared" si="91"/>
        <v>1391.4780000000001</v>
      </c>
    </row>
    <row r="2777" spans="1:23" ht="15" customHeight="1">
      <c r="A2777" s="3">
        <v>39787</v>
      </c>
      <c r="D2777" s="5">
        <v>19725</v>
      </c>
      <c r="E2777" s="5">
        <f t="shared" si="85"/>
        <v>23400</v>
      </c>
      <c r="F2777" s="5">
        <v>43125</v>
      </c>
      <c r="K2777" s="24">
        <v>915</v>
      </c>
      <c r="L2777" s="6">
        <v>929</v>
      </c>
      <c r="M2777" s="270">
        <f t="shared" si="90"/>
        <v>14</v>
      </c>
      <c r="N2777" s="19"/>
      <c r="O2777" s="280"/>
      <c r="P2777" s="345">
        <v>8600</v>
      </c>
      <c r="Q2777" s="28">
        <v>0.14530000000000001</v>
      </c>
      <c r="U2777" s="29">
        <v>0.1</v>
      </c>
      <c r="W2777" s="741">
        <f t="shared" si="91"/>
        <v>1374.5380000000002</v>
      </c>
    </row>
    <row r="2778" spans="1:23" ht="15" customHeight="1">
      <c r="A2778" s="3">
        <v>39790</v>
      </c>
      <c r="B2778" s="4">
        <v>0</v>
      </c>
      <c r="D2778" s="5">
        <v>19925</v>
      </c>
      <c r="E2778" s="5">
        <f t="shared" si="85"/>
        <v>23550</v>
      </c>
      <c r="F2778" s="5">
        <v>43475</v>
      </c>
      <c r="K2778" s="24">
        <v>936</v>
      </c>
      <c r="L2778" s="6">
        <v>960.5</v>
      </c>
      <c r="M2778" s="270">
        <f t="shared" si="90"/>
        <v>24.5</v>
      </c>
      <c r="N2778" s="19"/>
      <c r="O2778" s="280"/>
      <c r="P2778" s="345">
        <v>8900</v>
      </c>
      <c r="Q2778" s="28">
        <v>0.14530000000000001</v>
      </c>
      <c r="U2778" s="29">
        <v>0.1</v>
      </c>
      <c r="W2778" s="741">
        <f t="shared" si="91"/>
        <v>1422.4870000000003</v>
      </c>
    </row>
    <row r="2779" spans="1:23" ht="15" customHeight="1">
      <c r="A2779" s="3">
        <v>39791</v>
      </c>
      <c r="B2779" s="4">
        <v>0</v>
      </c>
      <c r="D2779" s="5">
        <v>19850</v>
      </c>
      <c r="E2779" s="5">
        <f t="shared" si="85"/>
        <v>23500</v>
      </c>
      <c r="F2779" s="5">
        <v>43350</v>
      </c>
      <c r="K2779" s="24">
        <v>968</v>
      </c>
      <c r="L2779" s="6">
        <v>981</v>
      </c>
      <c r="M2779" s="270">
        <f t="shared" si="90"/>
        <v>13</v>
      </c>
      <c r="N2779" s="19"/>
      <c r="O2779" s="280"/>
      <c r="P2779" s="345">
        <v>9400</v>
      </c>
      <c r="Q2779" s="28">
        <v>0.14549999999999999</v>
      </c>
      <c r="U2779" s="29">
        <v>0.1</v>
      </c>
      <c r="W2779" s="741">
        <f t="shared" si="91"/>
        <v>1504.47</v>
      </c>
    </row>
    <row r="2780" spans="1:23" ht="15" customHeight="1">
      <c r="A2780" s="3">
        <v>39792</v>
      </c>
      <c r="B2780" s="4">
        <v>0</v>
      </c>
      <c r="D2780" s="5">
        <v>19850</v>
      </c>
      <c r="E2780" s="5">
        <f t="shared" si="85"/>
        <v>23975</v>
      </c>
      <c r="F2780" s="5">
        <v>43825</v>
      </c>
      <c r="K2780" s="24">
        <v>970.5</v>
      </c>
      <c r="L2780" s="6">
        <v>981</v>
      </c>
      <c r="M2780" s="270">
        <f t="shared" si="90"/>
        <v>10.5</v>
      </c>
      <c r="N2780" s="19"/>
      <c r="O2780" s="280"/>
      <c r="P2780" s="345">
        <v>9800</v>
      </c>
      <c r="Q2780" s="28">
        <v>0.14549999999999999</v>
      </c>
      <c r="U2780" s="29">
        <v>0.1</v>
      </c>
      <c r="W2780" s="741">
        <f t="shared" si="91"/>
        <v>1568.49</v>
      </c>
    </row>
    <row r="2781" spans="1:23" ht="15" customHeight="1">
      <c r="A2781" s="3">
        <v>39793</v>
      </c>
      <c r="B2781" s="4">
        <v>0</v>
      </c>
      <c r="D2781" s="5">
        <v>19850</v>
      </c>
      <c r="E2781" s="5">
        <f t="shared" si="85"/>
        <v>24200</v>
      </c>
      <c r="F2781" s="5">
        <v>44050</v>
      </c>
      <c r="K2781" s="24">
        <v>1031</v>
      </c>
      <c r="L2781" s="6">
        <v>1031.5</v>
      </c>
      <c r="M2781" s="270">
        <f t="shared" si="90"/>
        <v>0.5</v>
      </c>
      <c r="N2781" s="19"/>
      <c r="O2781" s="280"/>
      <c r="P2781" s="345">
        <v>10900</v>
      </c>
      <c r="Q2781" s="28">
        <v>0.1457</v>
      </c>
      <c r="U2781" s="29">
        <v>0.1</v>
      </c>
      <c r="W2781" s="741">
        <f t="shared" si="91"/>
        <v>1746.943</v>
      </c>
    </row>
    <row r="2782" spans="1:23" ht="15" customHeight="1">
      <c r="A2782" s="3">
        <v>39794</v>
      </c>
      <c r="B2782" s="4">
        <v>150</v>
      </c>
      <c r="D2782" s="5">
        <v>19850</v>
      </c>
      <c r="E2782" s="5">
        <f t="shared" si="85"/>
        <v>23850</v>
      </c>
      <c r="F2782" s="5">
        <v>43850</v>
      </c>
      <c r="K2782" s="24">
        <v>982</v>
      </c>
      <c r="L2782" s="6">
        <v>986.5</v>
      </c>
      <c r="M2782" s="270">
        <f t="shared" si="90"/>
        <v>4.5</v>
      </c>
      <c r="N2782" s="19"/>
      <c r="O2782" s="280"/>
      <c r="P2782" s="345">
        <v>10900</v>
      </c>
      <c r="Q2782" s="28">
        <v>0.14599999999999999</v>
      </c>
      <c r="U2782" s="29">
        <v>0.1</v>
      </c>
      <c r="W2782" s="741">
        <f t="shared" si="91"/>
        <v>1750.54</v>
      </c>
    </row>
    <row r="2783" spans="1:23" ht="15" customHeight="1">
      <c r="A2783" s="3">
        <v>39797</v>
      </c>
      <c r="B2783" s="4">
        <v>150</v>
      </c>
      <c r="D2783" s="5">
        <v>20000</v>
      </c>
      <c r="E2783" s="5">
        <f t="shared" si="85"/>
        <v>23825</v>
      </c>
      <c r="F2783" s="5">
        <v>43975</v>
      </c>
      <c r="K2783" s="24">
        <v>1016</v>
      </c>
      <c r="L2783" s="6">
        <v>1021</v>
      </c>
      <c r="M2783" s="270">
        <f t="shared" si="90"/>
        <v>5</v>
      </c>
      <c r="N2783" s="19"/>
      <c r="O2783" s="280"/>
      <c r="P2783" s="345">
        <v>10900</v>
      </c>
      <c r="Q2783" s="28">
        <v>0.1462</v>
      </c>
      <c r="U2783" s="29">
        <v>0.1</v>
      </c>
      <c r="W2783" s="741">
        <f t="shared" si="91"/>
        <v>1752.9380000000001</v>
      </c>
    </row>
    <row r="2784" spans="1:23" ht="15" customHeight="1">
      <c r="A2784" s="3">
        <v>39798</v>
      </c>
      <c r="B2784" s="4">
        <v>150</v>
      </c>
      <c r="D2784" s="5">
        <v>20000</v>
      </c>
      <c r="E2784" s="5">
        <f t="shared" si="85"/>
        <v>23950</v>
      </c>
      <c r="F2784" s="5">
        <v>44100</v>
      </c>
      <c r="K2784" s="24">
        <v>980</v>
      </c>
      <c r="L2784" s="6">
        <v>980</v>
      </c>
      <c r="M2784" s="270">
        <f t="shared" si="90"/>
        <v>0</v>
      </c>
      <c r="N2784" s="19"/>
      <c r="O2784" s="280"/>
      <c r="P2784" s="345">
        <v>10600</v>
      </c>
      <c r="Q2784" s="28">
        <v>0.14610000000000001</v>
      </c>
      <c r="U2784" s="29">
        <v>0.1</v>
      </c>
      <c r="W2784" s="741">
        <f t="shared" si="91"/>
        <v>1703.5260000000003</v>
      </c>
    </row>
    <row r="2785" spans="1:23" ht="15" customHeight="1">
      <c r="A2785" s="3">
        <v>39799</v>
      </c>
      <c r="B2785" s="4">
        <v>100</v>
      </c>
      <c r="D2785" s="5">
        <v>20000</v>
      </c>
      <c r="E2785" s="5">
        <f t="shared" si="85"/>
        <v>23875</v>
      </c>
      <c r="F2785" s="5">
        <v>43975</v>
      </c>
      <c r="K2785" s="24">
        <v>967</v>
      </c>
      <c r="L2785" s="6">
        <v>980.5</v>
      </c>
      <c r="M2785" s="270">
        <f t="shared" si="90"/>
        <v>13.5</v>
      </c>
      <c r="N2785" s="19"/>
      <c r="O2785" s="280"/>
      <c r="P2785" s="345">
        <v>10100</v>
      </c>
      <c r="Q2785" s="28">
        <v>0.14610000000000001</v>
      </c>
      <c r="U2785" s="29">
        <v>0.1</v>
      </c>
      <c r="W2785" s="741">
        <f t="shared" si="91"/>
        <v>1623.1710000000003</v>
      </c>
    </row>
    <row r="2786" spans="1:23" ht="15" customHeight="1">
      <c r="A2786" s="3">
        <v>39800</v>
      </c>
      <c r="B2786" s="4">
        <v>0</v>
      </c>
      <c r="D2786" s="5">
        <v>20000</v>
      </c>
      <c r="E2786" s="5">
        <f t="shared" si="85"/>
        <v>23850</v>
      </c>
      <c r="F2786" s="5">
        <v>43850</v>
      </c>
      <c r="K2786" s="24">
        <v>945.5</v>
      </c>
      <c r="L2786" s="6">
        <v>961</v>
      </c>
      <c r="M2786" s="270">
        <f>L2786-K2786</f>
        <v>15.5</v>
      </c>
      <c r="N2786" s="19"/>
      <c r="O2786" s="280"/>
      <c r="P2786" s="345">
        <v>9600</v>
      </c>
      <c r="Q2786" s="28">
        <v>0.14630000000000001</v>
      </c>
      <c r="U2786" s="29">
        <v>0.1</v>
      </c>
      <c r="W2786" s="741">
        <f t="shared" si="91"/>
        <v>1544.9280000000001</v>
      </c>
    </row>
    <row r="2787" spans="1:23" ht="15" customHeight="1">
      <c r="A2787" s="3">
        <v>39801</v>
      </c>
      <c r="B2787" s="4">
        <v>0</v>
      </c>
      <c r="D2787" s="5">
        <v>20300</v>
      </c>
      <c r="E2787" s="5">
        <f t="shared" si="85"/>
        <v>23725</v>
      </c>
      <c r="F2787" s="5">
        <v>44025</v>
      </c>
      <c r="K2787" s="24">
        <v>882</v>
      </c>
      <c r="L2787" s="6">
        <v>892</v>
      </c>
      <c r="M2787" s="270">
        <f>L2787-K2787</f>
        <v>10</v>
      </c>
      <c r="N2787" s="19"/>
      <c r="O2787" s="280"/>
      <c r="P2787" s="345">
        <v>9400</v>
      </c>
      <c r="Q2787" s="28">
        <v>0.14610000000000001</v>
      </c>
      <c r="U2787" s="29">
        <v>0.1</v>
      </c>
      <c r="W2787" s="741">
        <f t="shared" si="91"/>
        <v>1510.6740000000002</v>
      </c>
    </row>
    <row r="2788" spans="1:23" ht="15" customHeight="1">
      <c r="A2788" s="3">
        <v>39804</v>
      </c>
      <c r="B2788" s="4">
        <v>0</v>
      </c>
      <c r="D2788" s="5">
        <v>20300</v>
      </c>
      <c r="E2788" s="5">
        <f t="shared" si="85"/>
        <v>23850</v>
      </c>
      <c r="F2788" s="5">
        <v>44150</v>
      </c>
      <c r="K2788" s="24">
        <v>880</v>
      </c>
      <c r="L2788" s="6">
        <v>881</v>
      </c>
      <c r="M2788" s="270">
        <f>L2788-K2788</f>
        <v>1</v>
      </c>
      <c r="N2788" s="19"/>
      <c r="O2788" s="280"/>
      <c r="P2788" s="345">
        <v>9400</v>
      </c>
      <c r="Q2788" s="28">
        <v>0.14610000000000001</v>
      </c>
      <c r="U2788" s="29">
        <v>0.1</v>
      </c>
      <c r="W2788" s="741">
        <f t="shared" si="91"/>
        <v>1510.6740000000002</v>
      </c>
    </row>
    <row r="2789" spans="1:23" ht="15" customHeight="1">
      <c r="A2789" s="3">
        <v>39805</v>
      </c>
      <c r="B2789" s="4">
        <v>225</v>
      </c>
      <c r="D2789" s="5">
        <v>20300</v>
      </c>
      <c r="E2789" s="5">
        <f t="shared" si="85"/>
        <v>24000</v>
      </c>
      <c r="F2789" s="5">
        <v>44525</v>
      </c>
      <c r="K2789" s="24">
        <v>907</v>
      </c>
      <c r="L2789" s="6">
        <v>900.5</v>
      </c>
      <c r="M2789" s="270">
        <f>L2789-K2789</f>
        <v>-6.5</v>
      </c>
      <c r="N2789" s="19"/>
      <c r="O2789" s="280"/>
      <c r="P2789" s="345">
        <v>10100</v>
      </c>
      <c r="Q2789" s="28">
        <v>0.1459</v>
      </c>
      <c r="U2789" s="29">
        <v>0.1</v>
      </c>
      <c r="W2789" s="741">
        <f t="shared" si="91"/>
        <v>1620.9490000000001</v>
      </c>
    </row>
    <row r="2790" spans="1:23" ht="15" customHeight="1">
      <c r="A2790" s="3">
        <v>39806</v>
      </c>
      <c r="B2790" s="4">
        <v>225</v>
      </c>
      <c r="D2790" s="5">
        <v>20300</v>
      </c>
      <c r="E2790" s="5">
        <f t="shared" si="85"/>
        <v>24050</v>
      </c>
      <c r="F2790" s="5">
        <v>44575</v>
      </c>
      <c r="K2790" s="24">
        <v>900</v>
      </c>
      <c r="L2790" s="6">
        <v>876</v>
      </c>
      <c r="M2790" s="270">
        <f>L2790-K2790</f>
        <v>-24</v>
      </c>
      <c r="N2790" s="19"/>
      <c r="O2790" s="280"/>
      <c r="P2790" s="345">
        <v>10400</v>
      </c>
      <c r="Q2790" s="28">
        <v>0.1464</v>
      </c>
      <c r="U2790" s="29">
        <v>0.1</v>
      </c>
      <c r="W2790" s="741">
        <f t="shared" si="91"/>
        <v>1674.816</v>
      </c>
    </row>
    <row r="2791" spans="1:23" ht="15" customHeight="1">
      <c r="A2791" s="3">
        <v>39807</v>
      </c>
      <c r="C2791" s="368"/>
      <c r="D2791" s="26"/>
      <c r="E2791" s="26"/>
      <c r="F2791" s="26"/>
      <c r="G2791" s="1007" t="s">
        <v>55</v>
      </c>
      <c r="H2791" s="1007"/>
      <c r="I2791" s="1007"/>
      <c r="J2791" s="1007"/>
      <c r="K2791" s="26"/>
      <c r="L2791" s="26"/>
      <c r="M2791" s="26"/>
      <c r="N2791" s="26"/>
      <c r="O2791" s="26"/>
      <c r="P2791" s="357">
        <v>10500</v>
      </c>
      <c r="Q2791" s="28">
        <v>0.1462</v>
      </c>
      <c r="U2791" s="29">
        <v>0.1</v>
      </c>
      <c r="W2791" s="741">
        <f t="shared" si="91"/>
        <v>1688.6100000000001</v>
      </c>
    </row>
    <row r="2792" spans="1:23" ht="15" customHeight="1">
      <c r="A2792" s="3">
        <v>39808</v>
      </c>
      <c r="B2792" s="26"/>
      <c r="C2792" s="26"/>
      <c r="D2792" s="26"/>
      <c r="E2792" s="26"/>
      <c r="F2792" s="26"/>
      <c r="G2792" s="1007"/>
      <c r="H2792" s="1007"/>
      <c r="I2792" s="1007"/>
      <c r="J2792" s="1007"/>
      <c r="K2792" s="26"/>
      <c r="L2792" s="26"/>
      <c r="M2792" s="26"/>
      <c r="N2792" s="26"/>
      <c r="O2792" s="26"/>
      <c r="P2792" s="357">
        <v>10300</v>
      </c>
      <c r="Q2792" s="28">
        <v>0.1462</v>
      </c>
      <c r="U2792" s="29">
        <v>0.1</v>
      </c>
      <c r="W2792" s="741">
        <f t="shared" si="91"/>
        <v>1656.4459999999999</v>
      </c>
    </row>
    <row r="2793" spans="1:23" ht="15" customHeight="1">
      <c r="A2793" s="3">
        <v>39811</v>
      </c>
      <c r="B2793" s="4">
        <v>225</v>
      </c>
      <c r="D2793" s="5">
        <v>20625</v>
      </c>
      <c r="E2793" s="5">
        <f t="shared" ref="E2793:E2865" si="92">F2793-(B2793+D2793)</f>
        <v>24125</v>
      </c>
      <c r="F2793" s="5">
        <v>44975</v>
      </c>
      <c r="K2793" s="24">
        <v>900.5</v>
      </c>
      <c r="L2793" s="6">
        <v>875</v>
      </c>
      <c r="M2793" s="270">
        <f>L2793-K2793</f>
        <v>-25.5</v>
      </c>
      <c r="N2793" s="19"/>
      <c r="O2793" s="280"/>
      <c r="P2793" s="345">
        <v>10100</v>
      </c>
      <c r="Q2793" s="28">
        <v>0.14610000000000001</v>
      </c>
      <c r="U2793" s="29">
        <v>0.1</v>
      </c>
      <c r="W2793" s="741">
        <f t="shared" si="91"/>
        <v>1623.1710000000003</v>
      </c>
    </row>
    <row r="2794" spans="1:23" ht="15" customHeight="1">
      <c r="A2794" s="3">
        <v>39812</v>
      </c>
      <c r="B2794" s="4">
        <v>200</v>
      </c>
      <c r="D2794" s="5">
        <v>20750</v>
      </c>
      <c r="E2794" s="5">
        <f t="shared" si="92"/>
        <v>24400</v>
      </c>
      <c r="F2794" s="5">
        <v>45350</v>
      </c>
      <c r="K2794" s="24">
        <v>945</v>
      </c>
      <c r="L2794" s="6">
        <v>925</v>
      </c>
      <c r="M2794" s="270">
        <f t="shared" ref="M2794:M2857" si="93">L2794-K2794</f>
        <v>-20</v>
      </c>
      <c r="N2794" s="19"/>
      <c r="O2794" s="280"/>
      <c r="P2794" s="345">
        <v>10100</v>
      </c>
      <c r="Q2794" s="28">
        <v>0.14610000000000001</v>
      </c>
      <c r="U2794" s="29">
        <v>0.1</v>
      </c>
      <c r="W2794" s="741">
        <f t="shared" si="91"/>
        <v>1623.1710000000003</v>
      </c>
    </row>
    <row r="2795" spans="1:23" ht="15" customHeight="1" thickBot="1">
      <c r="A2795" s="12">
        <v>39813</v>
      </c>
      <c r="B2795" s="13">
        <v>200</v>
      </c>
      <c r="C2795" s="13"/>
      <c r="D2795" s="14">
        <v>20725</v>
      </c>
      <c r="E2795" s="14">
        <f t="shared" si="92"/>
        <v>24225</v>
      </c>
      <c r="F2795" s="14">
        <v>45150</v>
      </c>
      <c r="G2795" s="14"/>
      <c r="H2795" s="14"/>
      <c r="I2795" s="14"/>
      <c r="J2795" s="264"/>
      <c r="K2795" s="25">
        <v>949</v>
      </c>
      <c r="L2795" s="15">
        <v>925</v>
      </c>
      <c r="M2795" s="271">
        <f t="shared" si="93"/>
        <v>-24</v>
      </c>
      <c r="N2795" s="20">
        <f>AVERAGE(K2773:K2795)</f>
        <v>962.88095238095241</v>
      </c>
      <c r="O2795" s="286">
        <f>AVERAGE(K2535:K2795)</f>
        <v>2084.7637795275591</v>
      </c>
      <c r="P2795" s="346">
        <v>10400</v>
      </c>
      <c r="Q2795" s="30">
        <v>0.1464</v>
      </c>
      <c r="R2795" s="30"/>
      <c r="S2795" s="30"/>
      <c r="T2795" s="30"/>
      <c r="U2795" s="31">
        <v>0.1</v>
      </c>
      <c r="V2795" s="46">
        <f>AVERAGE(P2773:P2795)</f>
        <v>9756.5217391304341</v>
      </c>
      <c r="W2795" s="741">
        <f t="shared" si="91"/>
        <v>1674.816</v>
      </c>
    </row>
    <row r="2796" spans="1:23" ht="15" customHeight="1">
      <c r="A2796" s="3">
        <v>39815</v>
      </c>
      <c r="B2796" s="4">
        <v>200</v>
      </c>
      <c r="D2796" s="5">
        <v>20750</v>
      </c>
      <c r="E2796" s="5">
        <f t="shared" si="92"/>
        <v>24200</v>
      </c>
      <c r="F2796" s="5">
        <v>45150</v>
      </c>
      <c r="K2796" s="24">
        <v>1040.5</v>
      </c>
      <c r="L2796" s="6">
        <v>1031</v>
      </c>
      <c r="M2796" s="270">
        <f t="shared" si="93"/>
        <v>-9.5</v>
      </c>
      <c r="N2796" s="21"/>
      <c r="O2796" s="284">
        <f>AVERAGE(K2796:K3054)</f>
        <v>1726.1146245059288</v>
      </c>
      <c r="P2796" s="396"/>
      <c r="Q2796" s="1044" t="s">
        <v>10</v>
      </c>
      <c r="R2796" s="1044"/>
      <c r="S2796" s="1044"/>
      <c r="T2796" s="1044"/>
      <c r="U2796" s="1044"/>
      <c r="V2796" s="395"/>
      <c r="W2796" s="741" t="e">
        <f t="shared" si="91"/>
        <v>#VALUE!</v>
      </c>
    </row>
    <row r="2797" spans="1:23" ht="15" customHeight="1">
      <c r="A2797" s="3">
        <v>39818</v>
      </c>
      <c r="B2797" s="4">
        <v>200</v>
      </c>
      <c r="D2797" s="5">
        <v>20750</v>
      </c>
      <c r="E2797" s="5">
        <f t="shared" si="92"/>
        <v>24200</v>
      </c>
      <c r="F2797" s="5">
        <v>45150</v>
      </c>
      <c r="K2797" s="24">
        <v>1079.5</v>
      </c>
      <c r="L2797" s="6">
        <v>1070</v>
      </c>
      <c r="M2797" s="270">
        <f t="shared" si="93"/>
        <v>-9.5</v>
      </c>
      <c r="N2797" s="19"/>
      <c r="O2797" s="280"/>
      <c r="P2797" s="345">
        <v>11400</v>
      </c>
      <c r="Q2797" s="28">
        <v>0.14660000000000001</v>
      </c>
      <c r="U2797" s="29">
        <v>0.1</v>
      </c>
      <c r="W2797" s="741">
        <f t="shared" ref="W2797:W2860" si="94">(P2797*Q2797)*(1+U2797)</f>
        <v>1838.3640000000003</v>
      </c>
    </row>
    <row r="2798" spans="1:23" ht="15" customHeight="1">
      <c r="A2798" s="3">
        <v>39819</v>
      </c>
      <c r="B2798" s="4">
        <v>200</v>
      </c>
      <c r="D2798" s="5">
        <v>20750</v>
      </c>
      <c r="E2798" s="5">
        <f t="shared" si="92"/>
        <v>23825</v>
      </c>
      <c r="F2798" s="5">
        <v>44775</v>
      </c>
      <c r="K2798" s="24">
        <v>1165</v>
      </c>
      <c r="L2798" s="6">
        <v>1151</v>
      </c>
      <c r="M2798" s="270">
        <f t="shared" si="93"/>
        <v>-14</v>
      </c>
      <c r="N2798" s="19"/>
      <c r="O2798" s="280"/>
      <c r="P2798" s="345">
        <v>12000</v>
      </c>
      <c r="Q2798" s="28">
        <v>0.14630000000000001</v>
      </c>
      <c r="U2798" s="29">
        <v>0.1</v>
      </c>
      <c r="W2798" s="741">
        <f t="shared" si="94"/>
        <v>1931.1600000000003</v>
      </c>
    </row>
    <row r="2799" spans="1:23" ht="15" customHeight="1">
      <c r="A2799" s="3">
        <v>39820</v>
      </c>
      <c r="B2799" s="4">
        <v>0</v>
      </c>
      <c r="D2799" s="5">
        <v>20750</v>
      </c>
      <c r="E2799" s="5">
        <f t="shared" si="92"/>
        <v>23700</v>
      </c>
      <c r="F2799" s="5">
        <v>44450</v>
      </c>
      <c r="K2799" s="24">
        <v>1177</v>
      </c>
      <c r="L2799" s="6">
        <v>1174</v>
      </c>
      <c r="M2799" s="270">
        <f t="shared" si="93"/>
        <v>-3</v>
      </c>
      <c r="N2799" s="19"/>
      <c r="O2799" s="280"/>
      <c r="P2799" s="345">
        <v>12400</v>
      </c>
      <c r="Q2799" s="28">
        <v>0.14630000000000001</v>
      </c>
      <c r="U2799" s="29">
        <v>0.1</v>
      </c>
      <c r="W2799" s="741">
        <f t="shared" si="94"/>
        <v>1995.5320000000004</v>
      </c>
    </row>
    <row r="2800" spans="1:23" ht="15" customHeight="1">
      <c r="A2800" s="3">
        <v>39821</v>
      </c>
      <c r="B2800" s="4">
        <v>0</v>
      </c>
      <c r="D2800" s="5">
        <v>20925</v>
      </c>
      <c r="E2800" s="5">
        <f t="shared" si="92"/>
        <v>23675</v>
      </c>
      <c r="F2800" s="5">
        <v>44600</v>
      </c>
      <c r="K2800" s="24">
        <v>1145.5</v>
      </c>
      <c r="L2800" s="6">
        <v>1145.5</v>
      </c>
      <c r="M2800" s="270">
        <f t="shared" si="93"/>
        <v>0</v>
      </c>
      <c r="N2800" s="19"/>
      <c r="O2800" s="280"/>
      <c r="P2800" s="345">
        <v>12100</v>
      </c>
      <c r="Q2800" s="28">
        <v>0.14630000000000001</v>
      </c>
      <c r="U2800" s="29">
        <v>0.1</v>
      </c>
      <c r="W2800" s="741">
        <f t="shared" si="94"/>
        <v>1947.2530000000004</v>
      </c>
    </row>
    <row r="2801" spans="1:26" ht="15" customHeight="1">
      <c r="A2801" s="3">
        <v>39822</v>
      </c>
      <c r="B2801" s="4">
        <v>0</v>
      </c>
      <c r="D2801" s="5">
        <v>21125</v>
      </c>
      <c r="E2801" s="5">
        <f t="shared" si="92"/>
        <v>23900</v>
      </c>
      <c r="F2801" s="5">
        <v>45025</v>
      </c>
      <c r="K2801" s="24">
        <v>1185</v>
      </c>
      <c r="L2801" s="6">
        <v>1200</v>
      </c>
      <c r="M2801" s="270">
        <f t="shared" si="93"/>
        <v>15</v>
      </c>
      <c r="N2801" s="19"/>
      <c r="O2801" s="280"/>
      <c r="P2801" s="345">
        <v>12000</v>
      </c>
      <c r="Q2801" s="28">
        <v>0.14630000000000001</v>
      </c>
      <c r="U2801" s="29">
        <v>0.1</v>
      </c>
      <c r="W2801" s="741">
        <f t="shared" si="94"/>
        <v>1931.1600000000003</v>
      </c>
    </row>
    <row r="2802" spans="1:26" ht="15" customHeight="1">
      <c r="A2802" s="3">
        <v>39825</v>
      </c>
      <c r="B2802" s="4">
        <v>100</v>
      </c>
      <c r="D2802" s="5">
        <v>21275</v>
      </c>
      <c r="E2802" s="5">
        <f t="shared" si="92"/>
        <v>23900</v>
      </c>
      <c r="F2802" s="5">
        <v>45275</v>
      </c>
      <c r="K2802" s="24">
        <v>1150</v>
      </c>
      <c r="L2802" s="6">
        <v>1140.5</v>
      </c>
      <c r="M2802" s="270">
        <f t="shared" si="93"/>
        <v>-9.5</v>
      </c>
      <c r="N2802" s="19"/>
      <c r="O2802" s="280"/>
      <c r="P2802" s="345">
        <v>12000</v>
      </c>
      <c r="Q2802" s="28">
        <v>0.14630000000000001</v>
      </c>
      <c r="U2802" s="29">
        <v>0.1</v>
      </c>
      <c r="W2802" s="741">
        <f t="shared" si="94"/>
        <v>1931.1600000000003</v>
      </c>
    </row>
    <row r="2803" spans="1:26" ht="15" customHeight="1">
      <c r="A2803" s="3">
        <v>39826</v>
      </c>
      <c r="B2803" s="4">
        <v>100</v>
      </c>
      <c r="D2803" s="5">
        <v>21725</v>
      </c>
      <c r="E2803" s="5">
        <f t="shared" si="92"/>
        <v>24025</v>
      </c>
      <c r="F2803" s="5">
        <v>45850</v>
      </c>
      <c r="K2803" s="24">
        <v>1080</v>
      </c>
      <c r="L2803" s="6">
        <v>1098</v>
      </c>
      <c r="M2803" s="270">
        <f t="shared" si="93"/>
        <v>18</v>
      </c>
      <c r="N2803" s="19"/>
      <c r="O2803" s="280"/>
      <c r="P2803" s="345">
        <v>12100</v>
      </c>
      <c r="Q2803" s="28">
        <v>0.14630000000000001</v>
      </c>
      <c r="U2803" s="29">
        <v>0.1</v>
      </c>
      <c r="W2803" s="741">
        <f t="shared" si="94"/>
        <v>1947.2530000000004</v>
      </c>
    </row>
    <row r="2804" spans="1:26" ht="15" customHeight="1">
      <c r="A2804" s="3">
        <v>39827</v>
      </c>
      <c r="B2804" s="4">
        <v>100</v>
      </c>
      <c r="D2804" s="5">
        <v>21875</v>
      </c>
      <c r="E2804" s="5">
        <f t="shared" si="92"/>
        <v>24175</v>
      </c>
      <c r="F2804" s="5">
        <v>46150</v>
      </c>
      <c r="K2804" s="24">
        <v>1136</v>
      </c>
      <c r="L2804" s="6">
        <v>1155</v>
      </c>
      <c r="M2804" s="270">
        <f t="shared" si="93"/>
        <v>19</v>
      </c>
      <c r="N2804" s="19"/>
      <c r="O2804" s="280"/>
      <c r="P2804" s="345">
        <v>12400</v>
      </c>
      <c r="Q2804" s="28">
        <v>0.14630000000000001</v>
      </c>
      <c r="U2804" s="29">
        <v>0.1</v>
      </c>
      <c r="W2804" s="741">
        <f t="shared" si="94"/>
        <v>1995.5320000000004</v>
      </c>
    </row>
    <row r="2805" spans="1:26" ht="15" customHeight="1">
      <c r="A2805" s="3">
        <v>39828</v>
      </c>
      <c r="B2805" s="4">
        <v>0</v>
      </c>
      <c r="D2805" s="5">
        <v>21875</v>
      </c>
      <c r="E2805" s="5">
        <f t="shared" si="92"/>
        <v>24075</v>
      </c>
      <c r="F2805" s="5">
        <v>45950</v>
      </c>
      <c r="K2805" s="24">
        <v>1130</v>
      </c>
      <c r="L2805" s="6">
        <v>1135</v>
      </c>
      <c r="M2805" s="270">
        <f t="shared" si="93"/>
        <v>5</v>
      </c>
      <c r="N2805" s="19"/>
      <c r="O2805" s="280"/>
      <c r="P2805" s="345">
        <v>12500</v>
      </c>
      <c r="Q2805" s="28">
        <v>0.14630000000000001</v>
      </c>
      <c r="U2805" s="29">
        <v>0.1</v>
      </c>
      <c r="W2805" s="741">
        <f t="shared" si="94"/>
        <v>2011.6250000000005</v>
      </c>
    </row>
    <row r="2806" spans="1:26" ht="15" customHeight="1">
      <c r="A2806" s="3">
        <v>39829</v>
      </c>
      <c r="B2806" s="4">
        <v>0</v>
      </c>
      <c r="D2806" s="5">
        <v>21875</v>
      </c>
      <c r="E2806" s="5">
        <f t="shared" si="92"/>
        <v>23925</v>
      </c>
      <c r="F2806" s="5">
        <v>45800</v>
      </c>
      <c r="K2806" s="24">
        <v>1162</v>
      </c>
      <c r="L2806" s="6">
        <v>1175</v>
      </c>
      <c r="M2806" s="270">
        <f t="shared" si="93"/>
        <v>13</v>
      </c>
      <c r="N2806" s="19"/>
      <c r="O2806" s="280"/>
      <c r="P2806" s="345">
        <v>12500</v>
      </c>
      <c r="Q2806" s="28">
        <v>0.14630000000000001</v>
      </c>
      <c r="U2806" s="29">
        <v>0.1</v>
      </c>
      <c r="W2806" s="741">
        <f t="shared" si="94"/>
        <v>2011.6250000000005</v>
      </c>
    </row>
    <row r="2807" spans="1:26" ht="15" customHeight="1">
      <c r="A2807" s="3">
        <v>39832</v>
      </c>
      <c r="B2807" s="4">
        <v>0</v>
      </c>
      <c r="D2807" s="5">
        <v>21875</v>
      </c>
      <c r="E2807" s="5">
        <f t="shared" si="92"/>
        <v>23650</v>
      </c>
      <c r="F2807" s="5">
        <v>45525</v>
      </c>
      <c r="K2807" s="24">
        <v>1131</v>
      </c>
      <c r="L2807" s="6">
        <v>1140</v>
      </c>
      <c r="M2807" s="270">
        <f t="shared" si="93"/>
        <v>9</v>
      </c>
      <c r="N2807" s="19"/>
      <c r="O2807" s="280"/>
      <c r="P2807" s="345">
        <v>12700</v>
      </c>
      <c r="Q2807" s="28">
        <v>0.14630000000000001</v>
      </c>
      <c r="U2807" s="29">
        <v>0.1</v>
      </c>
      <c r="W2807" s="741">
        <f t="shared" si="94"/>
        <v>2043.8110000000004</v>
      </c>
    </row>
    <row r="2808" spans="1:26" ht="15" customHeight="1">
      <c r="A2808" s="3">
        <v>39833</v>
      </c>
      <c r="B2808" s="4">
        <v>0</v>
      </c>
      <c r="D2808" s="5">
        <v>21875</v>
      </c>
      <c r="E2808" s="5">
        <f t="shared" si="92"/>
        <v>27825</v>
      </c>
      <c r="F2808" s="5">
        <v>49700</v>
      </c>
      <c r="K2808" s="24">
        <v>1145</v>
      </c>
      <c r="L2808" s="6">
        <v>1140</v>
      </c>
      <c r="M2808" s="270">
        <f t="shared" si="93"/>
        <v>-5</v>
      </c>
      <c r="N2808" s="19"/>
      <c r="O2808" s="280"/>
      <c r="P2808" s="345">
        <v>12700</v>
      </c>
      <c r="Q2808" s="28">
        <v>0.14630000000000001</v>
      </c>
      <c r="U2808" s="29">
        <v>0.1</v>
      </c>
      <c r="W2808" s="741">
        <f t="shared" si="94"/>
        <v>2043.8110000000004</v>
      </c>
    </row>
    <row r="2809" spans="1:26" ht="15" customHeight="1">
      <c r="A2809" s="3">
        <v>39834</v>
      </c>
      <c r="B2809" s="4">
        <v>0</v>
      </c>
      <c r="D2809" s="5">
        <v>21875</v>
      </c>
      <c r="E2809" s="5">
        <f t="shared" si="92"/>
        <v>27750</v>
      </c>
      <c r="F2809" s="5">
        <v>49625</v>
      </c>
      <c r="K2809" s="24">
        <v>1120.5</v>
      </c>
      <c r="L2809" s="6">
        <v>1120.5</v>
      </c>
      <c r="M2809" s="270">
        <f t="shared" si="93"/>
        <v>0</v>
      </c>
      <c r="N2809" s="19"/>
      <c r="O2809" s="280"/>
      <c r="P2809" s="345">
        <v>12800</v>
      </c>
      <c r="Q2809" s="28">
        <v>0.1462</v>
      </c>
      <c r="U2809" s="29">
        <v>0.1</v>
      </c>
      <c r="W2809" s="741">
        <f t="shared" si="94"/>
        <v>2058.4960000000001</v>
      </c>
    </row>
    <row r="2810" spans="1:26" ht="15" customHeight="1">
      <c r="A2810" s="3">
        <v>39835</v>
      </c>
      <c r="B2810" s="4">
        <v>0</v>
      </c>
      <c r="D2810" s="5">
        <v>21875</v>
      </c>
      <c r="E2810" s="5">
        <f t="shared" si="92"/>
        <v>28075</v>
      </c>
      <c r="F2810" s="5">
        <v>49950</v>
      </c>
      <c r="K2810" s="24">
        <v>1105.5</v>
      </c>
      <c r="L2810" s="6">
        <v>1110</v>
      </c>
      <c r="M2810" s="270">
        <f t="shared" si="93"/>
        <v>4.5</v>
      </c>
      <c r="N2810" s="19"/>
      <c r="O2810" s="280"/>
      <c r="P2810" s="345">
        <v>12800</v>
      </c>
      <c r="Q2810" s="28">
        <v>0.1462</v>
      </c>
      <c r="U2810" s="29">
        <v>0.1</v>
      </c>
      <c r="W2810" s="741">
        <f t="shared" si="94"/>
        <v>2058.4960000000001</v>
      </c>
    </row>
    <row r="2811" spans="1:26" ht="15" customHeight="1">
      <c r="A2811" s="3">
        <v>39836</v>
      </c>
      <c r="B2811" s="4">
        <v>0</v>
      </c>
      <c r="D2811" s="5">
        <v>22550</v>
      </c>
      <c r="E2811" s="5">
        <f t="shared" si="92"/>
        <v>27925</v>
      </c>
      <c r="F2811" s="5">
        <v>50475</v>
      </c>
      <c r="K2811" s="24">
        <v>1075</v>
      </c>
      <c r="L2811" s="6">
        <v>1071.5</v>
      </c>
      <c r="M2811" s="270">
        <f t="shared" si="93"/>
        <v>-3.5</v>
      </c>
      <c r="N2811" s="19"/>
      <c r="O2811" s="280"/>
      <c r="P2811" s="345">
        <v>12800</v>
      </c>
      <c r="Q2811" s="28">
        <v>0.14630000000000001</v>
      </c>
      <c r="U2811" s="29">
        <v>0.1</v>
      </c>
      <c r="V2811" s="44">
        <f>AVERAGE(P2796:P2811)</f>
        <v>12346.666666666666</v>
      </c>
      <c r="W2811" s="741">
        <f t="shared" si="94"/>
        <v>2059.9040000000005</v>
      </c>
    </row>
    <row r="2812" spans="1:26" ht="15" customHeight="1">
      <c r="A2812" s="3">
        <v>39839</v>
      </c>
      <c r="B2812" s="4">
        <v>0</v>
      </c>
      <c r="D2812" s="5">
        <v>22550</v>
      </c>
      <c r="E2812" s="5">
        <f t="shared" si="92"/>
        <v>27875</v>
      </c>
      <c r="F2812" s="5">
        <v>50425</v>
      </c>
      <c r="K2812" s="24">
        <v>1153</v>
      </c>
      <c r="L2812" s="6">
        <v>1150</v>
      </c>
      <c r="M2812" s="270">
        <f t="shared" si="93"/>
        <v>-3</v>
      </c>
      <c r="N2812" s="19"/>
      <c r="O2812" s="280"/>
      <c r="P2812" s="370"/>
      <c r="Q2812" s="996" t="s">
        <v>10</v>
      </c>
      <c r="R2812" s="996"/>
      <c r="S2812" s="996"/>
      <c r="T2812" s="996"/>
      <c r="U2812" s="996"/>
      <c r="V2812" s="364"/>
      <c r="W2812" s="741" t="e">
        <f t="shared" si="94"/>
        <v>#VALUE!</v>
      </c>
    </row>
    <row r="2813" spans="1:26" ht="15" customHeight="1">
      <c r="A2813" s="3">
        <v>39840</v>
      </c>
      <c r="B2813" s="4">
        <v>0</v>
      </c>
      <c r="D2813" s="5">
        <v>24125</v>
      </c>
      <c r="E2813" s="5">
        <f t="shared" si="92"/>
        <v>28000</v>
      </c>
      <c r="F2813" s="5">
        <v>52125</v>
      </c>
      <c r="K2813" s="24">
        <v>1150</v>
      </c>
      <c r="L2813" s="6">
        <v>1152</v>
      </c>
      <c r="M2813" s="270">
        <f t="shared" si="93"/>
        <v>2</v>
      </c>
      <c r="N2813" s="19"/>
      <c r="O2813" s="280"/>
      <c r="P2813" s="370"/>
      <c r="Q2813" s="996"/>
      <c r="R2813" s="996"/>
      <c r="S2813" s="996"/>
      <c r="T2813" s="996"/>
      <c r="U2813" s="996"/>
      <c r="V2813" s="364"/>
      <c r="W2813" s="741">
        <f t="shared" si="94"/>
        <v>0</v>
      </c>
    </row>
    <row r="2814" spans="1:26" ht="15" customHeight="1">
      <c r="A2814" s="3">
        <v>39841</v>
      </c>
      <c r="B2814" s="4">
        <v>0</v>
      </c>
      <c r="D2814" s="5">
        <v>24225</v>
      </c>
      <c r="E2814" s="5">
        <f t="shared" si="92"/>
        <v>27950</v>
      </c>
      <c r="F2814" s="5">
        <v>52175</v>
      </c>
      <c r="K2814" s="24">
        <v>1160</v>
      </c>
      <c r="L2814" s="6">
        <v>1160</v>
      </c>
      <c r="M2814" s="270">
        <f t="shared" si="93"/>
        <v>0</v>
      </c>
      <c r="N2814" s="19"/>
      <c r="O2814" s="280"/>
      <c r="P2814" s="370"/>
      <c r="Q2814" s="996"/>
      <c r="R2814" s="996"/>
      <c r="S2814" s="996"/>
      <c r="T2814" s="996"/>
      <c r="U2814" s="996"/>
      <c r="V2814" s="364"/>
      <c r="W2814" s="741">
        <f t="shared" si="94"/>
        <v>0</v>
      </c>
    </row>
    <row r="2815" spans="1:26" ht="15" customHeight="1">
      <c r="A2815" s="3">
        <v>39842</v>
      </c>
      <c r="B2815" s="4">
        <v>0</v>
      </c>
      <c r="D2815" s="5">
        <v>24300</v>
      </c>
      <c r="E2815" s="5">
        <f t="shared" si="92"/>
        <v>28225</v>
      </c>
      <c r="F2815" s="5">
        <v>52525</v>
      </c>
      <c r="K2815" s="24">
        <v>1145</v>
      </c>
      <c r="L2815" s="6">
        <v>1142</v>
      </c>
      <c r="M2815" s="270">
        <f t="shared" si="93"/>
        <v>-3</v>
      </c>
      <c r="N2815" s="19"/>
      <c r="O2815" s="280"/>
      <c r="P2815" s="370"/>
      <c r="Q2815" s="996"/>
      <c r="R2815" s="996"/>
      <c r="S2815" s="996"/>
      <c r="T2815" s="996"/>
      <c r="U2815" s="996"/>
      <c r="V2815" s="364"/>
      <c r="W2815" s="741">
        <f t="shared" si="94"/>
        <v>0</v>
      </c>
    </row>
    <row r="2816" spans="1:26" ht="15" customHeight="1" thickBot="1">
      <c r="A2816" s="12">
        <v>39843</v>
      </c>
      <c r="B2816" s="13">
        <v>0</v>
      </c>
      <c r="C2816" s="13"/>
      <c r="D2816" s="14">
        <v>24650</v>
      </c>
      <c r="E2816" s="14">
        <f t="shared" si="92"/>
        <v>28100</v>
      </c>
      <c r="F2816" s="14">
        <v>52750</v>
      </c>
      <c r="G2816" s="14"/>
      <c r="H2816" s="14"/>
      <c r="I2816" s="14"/>
      <c r="J2816" s="264"/>
      <c r="K2816" s="25">
        <v>1152</v>
      </c>
      <c r="L2816" s="15">
        <v>1151</v>
      </c>
      <c r="M2816" s="271">
        <f t="shared" si="93"/>
        <v>-1</v>
      </c>
      <c r="N2816" s="160">
        <f>AVERAGE(K2796:K2816)</f>
        <v>1132.7380952380952</v>
      </c>
      <c r="O2816" s="286">
        <f>AVERAGE(K2796:K2816)</f>
        <v>1132.7380952380952</v>
      </c>
      <c r="P2816" s="372"/>
      <c r="Q2816" s="1041"/>
      <c r="R2816" s="1041"/>
      <c r="S2816" s="1041"/>
      <c r="T2816" s="1041"/>
      <c r="U2816" s="1041"/>
      <c r="V2816" s="373"/>
      <c r="W2816" s="741">
        <f t="shared" si="94"/>
        <v>0</v>
      </c>
      <c r="Z2816" s="19"/>
    </row>
    <row r="2817" spans="1:23" ht="15" customHeight="1">
      <c r="A2817" s="36">
        <v>39846</v>
      </c>
      <c r="B2817" s="37">
        <v>0</v>
      </c>
      <c r="C2817" s="37"/>
      <c r="D2817" s="38">
        <v>25375</v>
      </c>
      <c r="E2817" s="38">
        <f t="shared" si="92"/>
        <v>28325</v>
      </c>
      <c r="F2817" s="38">
        <v>53700</v>
      </c>
      <c r="G2817" s="38"/>
      <c r="H2817" s="38"/>
      <c r="I2817" s="38"/>
      <c r="J2817" s="268"/>
      <c r="K2817" s="39">
        <v>1115.5</v>
      </c>
      <c r="L2817" s="40">
        <v>1116</v>
      </c>
      <c r="M2817" s="270">
        <f t="shared" si="93"/>
        <v>0.5</v>
      </c>
      <c r="N2817" s="21"/>
      <c r="O2817" s="283"/>
      <c r="P2817" s="348">
        <v>12900</v>
      </c>
      <c r="Q2817" s="41">
        <v>0.14630000000000001</v>
      </c>
      <c r="U2817" s="42">
        <v>0.1</v>
      </c>
      <c r="V2817" s="45"/>
      <c r="W2817" s="741">
        <f t="shared" si="94"/>
        <v>2075.9970000000003</v>
      </c>
    </row>
    <row r="2818" spans="1:23" ht="15" customHeight="1">
      <c r="A2818" s="3">
        <v>39847</v>
      </c>
      <c r="B2818" s="4">
        <v>0</v>
      </c>
      <c r="D2818" s="5">
        <v>25725</v>
      </c>
      <c r="E2818" s="5">
        <f t="shared" si="92"/>
        <v>28325</v>
      </c>
      <c r="F2818" s="5">
        <v>54050</v>
      </c>
      <c r="K2818" s="24">
        <v>1114</v>
      </c>
      <c r="L2818" s="6">
        <v>1120</v>
      </c>
      <c r="M2818" s="270">
        <f t="shared" si="93"/>
        <v>6</v>
      </c>
      <c r="N2818" s="19"/>
      <c r="O2818" s="280"/>
      <c r="P2818" s="345">
        <v>12800</v>
      </c>
      <c r="Q2818" s="28">
        <v>0.14599999999999999</v>
      </c>
      <c r="U2818" s="29">
        <v>0.1</v>
      </c>
      <c r="W2818" s="741">
        <f t="shared" si="94"/>
        <v>2055.6800000000003</v>
      </c>
    </row>
    <row r="2819" spans="1:23" ht="15" customHeight="1">
      <c r="A2819" s="3">
        <v>39848</v>
      </c>
      <c r="B2819" s="4">
        <v>0</v>
      </c>
      <c r="D2819" s="5">
        <v>25725</v>
      </c>
      <c r="E2819" s="5">
        <f t="shared" si="92"/>
        <v>28375</v>
      </c>
      <c r="F2819" s="5">
        <v>54100</v>
      </c>
      <c r="K2819" s="24">
        <v>1195</v>
      </c>
      <c r="L2819" s="6">
        <v>1200</v>
      </c>
      <c r="M2819" s="270">
        <f t="shared" si="93"/>
        <v>5</v>
      </c>
      <c r="N2819" s="19"/>
      <c r="O2819" s="280"/>
      <c r="P2819" s="345">
        <v>12900</v>
      </c>
      <c r="Q2819" s="28">
        <v>0.14630000000000001</v>
      </c>
      <c r="U2819" s="29">
        <v>0.1</v>
      </c>
      <c r="W2819" s="741">
        <f t="shared" si="94"/>
        <v>2075.9970000000003</v>
      </c>
    </row>
    <row r="2820" spans="1:23" ht="15" customHeight="1">
      <c r="A2820" s="3">
        <v>39849</v>
      </c>
      <c r="B2820" s="4">
        <v>0</v>
      </c>
      <c r="D2820" s="5">
        <v>26575</v>
      </c>
      <c r="E2820" s="5">
        <f t="shared" si="92"/>
        <v>28425</v>
      </c>
      <c r="F2820" s="5">
        <v>55000</v>
      </c>
      <c r="K2820" s="24">
        <v>1165</v>
      </c>
      <c r="L2820" s="6">
        <v>1171</v>
      </c>
      <c r="M2820" s="270">
        <f t="shared" si="93"/>
        <v>6</v>
      </c>
      <c r="N2820" s="19"/>
      <c r="O2820" s="280"/>
      <c r="P2820" s="345">
        <v>12800</v>
      </c>
      <c r="Q2820" s="28">
        <v>0.14630000000000001</v>
      </c>
      <c r="U2820" s="29">
        <v>0.1</v>
      </c>
      <c r="W2820" s="741">
        <f t="shared" si="94"/>
        <v>2059.9040000000005</v>
      </c>
    </row>
    <row r="2821" spans="1:23" ht="15" customHeight="1">
      <c r="A2821" s="3">
        <v>39850</v>
      </c>
      <c r="B2821" s="4">
        <v>0</v>
      </c>
      <c r="D2821" s="5">
        <v>26625</v>
      </c>
      <c r="E2821" s="5">
        <f t="shared" si="92"/>
        <v>28600</v>
      </c>
      <c r="F2821" s="5">
        <v>55225</v>
      </c>
      <c r="K2821" s="24">
        <v>1165</v>
      </c>
      <c r="L2821" s="6">
        <v>1170</v>
      </c>
      <c r="M2821" s="270">
        <f t="shared" si="93"/>
        <v>5</v>
      </c>
      <c r="N2821" s="19"/>
      <c r="O2821" s="280"/>
      <c r="P2821" s="345">
        <v>12800</v>
      </c>
      <c r="Q2821" s="28">
        <v>0.14630000000000001</v>
      </c>
      <c r="U2821" s="29">
        <v>0.1</v>
      </c>
      <c r="W2821" s="741">
        <f t="shared" si="94"/>
        <v>2059.9040000000005</v>
      </c>
    </row>
    <row r="2822" spans="1:23" ht="15" customHeight="1">
      <c r="A2822" s="3">
        <v>39853</v>
      </c>
      <c r="B2822" s="4">
        <v>0</v>
      </c>
      <c r="D2822" s="5">
        <v>26975</v>
      </c>
      <c r="E2822" s="5">
        <f t="shared" si="92"/>
        <v>28025</v>
      </c>
      <c r="F2822" s="5">
        <v>55000</v>
      </c>
      <c r="K2822" s="24">
        <v>1180</v>
      </c>
      <c r="L2822" s="6">
        <v>1180.5</v>
      </c>
      <c r="M2822" s="270">
        <f t="shared" si="93"/>
        <v>0.5</v>
      </c>
      <c r="N2822" s="19"/>
      <c r="O2822" s="280"/>
      <c r="P2822" s="345">
        <v>12800</v>
      </c>
      <c r="Q2822" s="28">
        <v>0.14630000000000001</v>
      </c>
      <c r="U2822" s="29">
        <v>0.1</v>
      </c>
      <c r="W2822" s="741">
        <f t="shared" si="94"/>
        <v>2059.9040000000005</v>
      </c>
    </row>
    <row r="2823" spans="1:23" ht="15" customHeight="1">
      <c r="A2823" s="3">
        <v>39854</v>
      </c>
      <c r="B2823" s="4">
        <v>0</v>
      </c>
      <c r="D2823" s="5">
        <v>26975</v>
      </c>
      <c r="E2823" s="5">
        <f t="shared" si="92"/>
        <v>27925</v>
      </c>
      <c r="F2823" s="5">
        <v>54900</v>
      </c>
      <c r="K2823" s="24">
        <v>1152</v>
      </c>
      <c r="L2823" s="6">
        <v>1162.5</v>
      </c>
      <c r="M2823" s="270">
        <f t="shared" si="93"/>
        <v>10.5</v>
      </c>
      <c r="N2823" s="19"/>
      <c r="O2823" s="280"/>
      <c r="P2823" s="345">
        <v>12800</v>
      </c>
      <c r="Q2823" s="28">
        <v>0.14649999999999999</v>
      </c>
      <c r="U2823" s="29">
        <v>0.1</v>
      </c>
      <c r="W2823" s="741">
        <f t="shared" si="94"/>
        <v>2062.7199999999998</v>
      </c>
    </row>
    <row r="2824" spans="1:23" ht="15" customHeight="1">
      <c r="A2824" s="3">
        <v>39855</v>
      </c>
      <c r="B2824" s="4">
        <v>100</v>
      </c>
      <c r="D2824" s="5">
        <v>27000</v>
      </c>
      <c r="E2824" s="5">
        <f t="shared" si="92"/>
        <v>27750</v>
      </c>
      <c r="F2824" s="5">
        <v>54850</v>
      </c>
      <c r="K2824" s="24">
        <v>1145</v>
      </c>
      <c r="L2824" s="6">
        <v>1153</v>
      </c>
      <c r="M2824" s="270">
        <f t="shared" si="93"/>
        <v>8</v>
      </c>
      <c r="N2824" s="19"/>
      <c r="O2824" s="280"/>
      <c r="P2824" s="345">
        <v>12700</v>
      </c>
      <c r="Q2824" s="28">
        <v>0.14630000000000001</v>
      </c>
      <c r="U2824" s="29">
        <v>0.1</v>
      </c>
      <c r="W2824" s="741">
        <f t="shared" si="94"/>
        <v>2043.8110000000004</v>
      </c>
    </row>
    <row r="2825" spans="1:23" ht="15" customHeight="1">
      <c r="A2825" s="3">
        <v>39856</v>
      </c>
      <c r="B2825" s="4">
        <v>100</v>
      </c>
      <c r="D2825" s="5">
        <v>27000</v>
      </c>
      <c r="E2825" s="5">
        <f t="shared" si="92"/>
        <v>28475</v>
      </c>
      <c r="F2825" s="5">
        <v>55575</v>
      </c>
      <c r="K2825" s="24">
        <v>1135</v>
      </c>
      <c r="L2825" s="6">
        <v>1150</v>
      </c>
      <c r="M2825" s="270">
        <f t="shared" si="93"/>
        <v>15</v>
      </c>
      <c r="N2825" s="19"/>
      <c r="O2825" s="280"/>
      <c r="P2825" s="345">
        <v>12500</v>
      </c>
      <c r="Q2825" s="28">
        <v>0.14630000000000001</v>
      </c>
      <c r="U2825" s="29">
        <v>0.1</v>
      </c>
      <c r="W2825" s="741">
        <f t="shared" si="94"/>
        <v>2011.6250000000005</v>
      </c>
    </row>
    <row r="2826" spans="1:23" ht="15" customHeight="1">
      <c r="A2826" s="3">
        <v>39857</v>
      </c>
      <c r="B2826" s="4">
        <v>200</v>
      </c>
      <c r="D2826" s="5">
        <v>27550</v>
      </c>
      <c r="E2826" s="5">
        <f t="shared" si="92"/>
        <v>28425</v>
      </c>
      <c r="F2826" s="5">
        <v>56175</v>
      </c>
      <c r="K2826" s="24">
        <v>1145</v>
      </c>
      <c r="L2826" s="6">
        <v>1160</v>
      </c>
      <c r="M2826" s="270">
        <f t="shared" si="93"/>
        <v>15</v>
      </c>
      <c r="N2826" s="19"/>
      <c r="O2826" s="280"/>
      <c r="P2826" s="345">
        <v>12200</v>
      </c>
      <c r="Q2826" s="28">
        <v>0.14630000000000001</v>
      </c>
      <c r="U2826" s="29">
        <v>0.1</v>
      </c>
      <c r="W2826" s="741">
        <f t="shared" si="94"/>
        <v>1963.3460000000002</v>
      </c>
    </row>
    <row r="2827" spans="1:23" ht="15" customHeight="1">
      <c r="A2827" s="3">
        <v>39860</v>
      </c>
      <c r="B2827" s="4">
        <v>200</v>
      </c>
      <c r="D2827" s="5">
        <v>27600</v>
      </c>
      <c r="E2827" s="5">
        <f t="shared" si="92"/>
        <v>28325</v>
      </c>
      <c r="F2827" s="5">
        <v>56125</v>
      </c>
      <c r="K2827" s="24">
        <v>1135.5</v>
      </c>
      <c r="L2827" s="6">
        <v>1140</v>
      </c>
      <c r="M2827" s="270">
        <f t="shared" si="93"/>
        <v>4.5</v>
      </c>
      <c r="N2827" s="19"/>
      <c r="O2827" s="280"/>
      <c r="P2827" s="345">
        <v>12000</v>
      </c>
      <c r="Q2827" s="28">
        <v>0.1462</v>
      </c>
      <c r="U2827" s="29">
        <v>0.1</v>
      </c>
      <c r="W2827" s="741">
        <f t="shared" si="94"/>
        <v>1929.84</v>
      </c>
    </row>
    <row r="2828" spans="1:23" ht="15" customHeight="1">
      <c r="A2828" s="3">
        <v>39861</v>
      </c>
      <c r="B2828" s="4">
        <v>200</v>
      </c>
      <c r="D2828" s="5">
        <v>27650</v>
      </c>
      <c r="E2828" s="5">
        <f t="shared" si="92"/>
        <v>28075</v>
      </c>
      <c r="F2828" s="5">
        <v>55925</v>
      </c>
      <c r="K2828" s="24">
        <v>1102.5</v>
      </c>
      <c r="L2828" s="6">
        <v>1111.5</v>
      </c>
      <c r="M2828" s="270">
        <f t="shared" si="93"/>
        <v>9</v>
      </c>
      <c r="N2828" s="19"/>
      <c r="O2828" s="280"/>
      <c r="P2828" s="345">
        <v>11550</v>
      </c>
      <c r="Q2828" s="28">
        <v>0.14630000000000001</v>
      </c>
      <c r="U2828" s="29">
        <v>0.1</v>
      </c>
      <c r="W2828" s="741">
        <f t="shared" si="94"/>
        <v>1858.7415000000003</v>
      </c>
    </row>
    <row r="2829" spans="1:23" ht="15" customHeight="1">
      <c r="A2829" s="3">
        <v>39862</v>
      </c>
      <c r="B2829" s="4">
        <v>100</v>
      </c>
      <c r="D2829" s="5">
        <v>27650</v>
      </c>
      <c r="E2829" s="5">
        <f t="shared" si="92"/>
        <v>28050</v>
      </c>
      <c r="F2829" s="5">
        <v>55800</v>
      </c>
      <c r="K2829" s="24">
        <v>1060</v>
      </c>
      <c r="L2829" s="6">
        <v>1070</v>
      </c>
      <c r="M2829" s="270">
        <f t="shared" si="93"/>
        <v>10</v>
      </c>
      <c r="N2829" s="19"/>
      <c r="O2829" s="280"/>
      <c r="P2829" s="345">
        <v>11300</v>
      </c>
      <c r="Q2829" s="28">
        <v>0.1462</v>
      </c>
      <c r="U2829" s="29">
        <v>0.1</v>
      </c>
      <c r="W2829" s="741">
        <f t="shared" si="94"/>
        <v>1817.2660000000001</v>
      </c>
    </row>
    <row r="2830" spans="1:23" ht="15" customHeight="1">
      <c r="A2830" s="3">
        <v>39863</v>
      </c>
      <c r="B2830" s="4">
        <v>100</v>
      </c>
      <c r="D2830" s="5">
        <v>27725</v>
      </c>
      <c r="E2830" s="5">
        <f t="shared" si="92"/>
        <v>27825</v>
      </c>
      <c r="F2830" s="5">
        <v>55650</v>
      </c>
      <c r="K2830" s="24">
        <v>1085</v>
      </c>
      <c r="L2830" s="6">
        <v>1095</v>
      </c>
      <c r="M2830" s="270">
        <f t="shared" si="93"/>
        <v>10</v>
      </c>
      <c r="N2830" s="19"/>
      <c r="O2830" s="280"/>
      <c r="P2830" s="345">
        <v>10600</v>
      </c>
      <c r="Q2830" s="28">
        <v>0.14630000000000001</v>
      </c>
      <c r="U2830" s="29">
        <v>0.1</v>
      </c>
      <c r="W2830" s="741">
        <f t="shared" si="94"/>
        <v>1705.8580000000004</v>
      </c>
    </row>
    <row r="2831" spans="1:23" ht="15" customHeight="1">
      <c r="A2831" s="3">
        <v>39864</v>
      </c>
      <c r="B2831" s="4">
        <v>200</v>
      </c>
      <c r="D2831" s="5">
        <v>28225</v>
      </c>
      <c r="E2831" s="5">
        <f t="shared" si="92"/>
        <v>28000</v>
      </c>
      <c r="F2831" s="5">
        <v>56425</v>
      </c>
      <c r="K2831" s="24">
        <v>1015.5</v>
      </c>
      <c r="L2831" s="6">
        <v>1029</v>
      </c>
      <c r="M2831" s="270">
        <f t="shared" si="93"/>
        <v>13.5</v>
      </c>
      <c r="N2831" s="19"/>
      <c r="O2831" s="280"/>
      <c r="P2831" s="345">
        <v>10600</v>
      </c>
      <c r="Q2831" s="28">
        <v>0.14630000000000001</v>
      </c>
      <c r="U2831" s="29">
        <v>0.1</v>
      </c>
      <c r="W2831" s="741">
        <f t="shared" si="94"/>
        <v>1705.8580000000004</v>
      </c>
    </row>
    <row r="2832" spans="1:23" ht="15" customHeight="1">
      <c r="A2832" s="3">
        <v>39867</v>
      </c>
      <c r="B2832" s="4">
        <v>550</v>
      </c>
      <c r="D2832" s="5">
        <v>28250</v>
      </c>
      <c r="E2832" s="5">
        <f t="shared" si="92"/>
        <v>27950</v>
      </c>
      <c r="F2832" s="5">
        <v>56750</v>
      </c>
      <c r="K2832" s="24">
        <v>1026</v>
      </c>
      <c r="L2832" s="6">
        <v>1035</v>
      </c>
      <c r="M2832" s="270">
        <f t="shared" si="93"/>
        <v>9</v>
      </c>
      <c r="N2832" s="19"/>
      <c r="O2832" s="280"/>
      <c r="P2832" s="345">
        <v>11000</v>
      </c>
      <c r="Q2832" s="28">
        <v>0.14630000000000001</v>
      </c>
      <c r="U2832" s="29">
        <v>0.1</v>
      </c>
      <c r="W2832" s="741">
        <f t="shared" si="94"/>
        <v>1770.2300000000002</v>
      </c>
    </row>
    <row r="2833" spans="1:23" ht="15" customHeight="1">
      <c r="A2833" s="3">
        <v>39868</v>
      </c>
      <c r="B2833" s="4">
        <v>1450</v>
      </c>
      <c r="D2833" s="5">
        <v>28625</v>
      </c>
      <c r="E2833" s="5">
        <f t="shared" si="92"/>
        <v>27875</v>
      </c>
      <c r="F2833" s="5">
        <v>57950</v>
      </c>
      <c r="K2833" s="24">
        <v>991.5</v>
      </c>
      <c r="L2833" s="6">
        <v>1000</v>
      </c>
      <c r="M2833" s="270">
        <f t="shared" si="93"/>
        <v>8.5</v>
      </c>
      <c r="N2833" s="19"/>
      <c r="O2833" s="280"/>
      <c r="P2833" s="345">
        <v>11250</v>
      </c>
      <c r="Q2833" s="28">
        <v>0.14630000000000001</v>
      </c>
      <c r="U2833" s="29">
        <v>0.1</v>
      </c>
      <c r="W2833" s="741">
        <f t="shared" si="94"/>
        <v>1810.4625000000003</v>
      </c>
    </row>
    <row r="2834" spans="1:23" ht="15" customHeight="1">
      <c r="A2834" s="3">
        <v>39869</v>
      </c>
      <c r="B2834" s="4">
        <v>1450</v>
      </c>
      <c r="D2834" s="5">
        <v>28925</v>
      </c>
      <c r="E2834" s="5">
        <f t="shared" si="92"/>
        <v>28200</v>
      </c>
      <c r="F2834" s="5">
        <v>58575</v>
      </c>
      <c r="K2834" s="24">
        <v>1008</v>
      </c>
      <c r="L2834" s="6">
        <v>1022</v>
      </c>
      <c r="M2834" s="270">
        <f t="shared" si="93"/>
        <v>14</v>
      </c>
      <c r="N2834" s="19"/>
      <c r="O2834" s="280"/>
      <c r="P2834" s="345">
        <v>11250</v>
      </c>
      <c r="Q2834" s="28">
        <v>0.14630000000000001</v>
      </c>
      <c r="U2834" s="29">
        <v>0.1</v>
      </c>
      <c r="W2834" s="741">
        <f t="shared" si="94"/>
        <v>1810.4625000000003</v>
      </c>
    </row>
    <row r="2835" spans="1:23" ht="15" customHeight="1">
      <c r="A2835" s="3">
        <v>39870</v>
      </c>
      <c r="B2835" s="4">
        <v>1325</v>
      </c>
      <c r="D2835" s="5">
        <v>29425</v>
      </c>
      <c r="E2835" s="5">
        <f t="shared" si="92"/>
        <v>28650</v>
      </c>
      <c r="F2835" s="5">
        <v>59400</v>
      </c>
      <c r="K2835" s="24">
        <v>1050</v>
      </c>
      <c r="L2835" s="6">
        <v>1050</v>
      </c>
      <c r="M2835" s="270">
        <f t="shared" si="93"/>
        <v>0</v>
      </c>
      <c r="N2835" s="19"/>
      <c r="O2835" s="280"/>
      <c r="P2835" s="345">
        <v>11300</v>
      </c>
      <c r="Q2835" s="28">
        <v>0.14630000000000001</v>
      </c>
      <c r="U2835" s="29">
        <v>0.1</v>
      </c>
      <c r="W2835" s="741">
        <f t="shared" si="94"/>
        <v>1818.5090000000002</v>
      </c>
    </row>
    <row r="2836" spans="1:23" ht="15" customHeight="1" thickBot="1">
      <c r="A2836" s="12">
        <v>39871</v>
      </c>
      <c r="B2836" s="13">
        <v>1300</v>
      </c>
      <c r="C2836" s="13"/>
      <c r="D2836" s="14">
        <v>30025</v>
      </c>
      <c r="E2836" s="14">
        <f t="shared" si="92"/>
        <v>29175</v>
      </c>
      <c r="F2836" s="14">
        <v>60500</v>
      </c>
      <c r="G2836" s="14"/>
      <c r="H2836" s="14"/>
      <c r="I2836" s="14"/>
      <c r="J2836" s="264"/>
      <c r="K2836" s="25">
        <v>1025</v>
      </c>
      <c r="L2836" s="15">
        <v>1031</v>
      </c>
      <c r="M2836" s="271">
        <f t="shared" si="93"/>
        <v>6</v>
      </c>
      <c r="N2836" s="160">
        <f>AVERAGE(K2817:K2836)</f>
        <v>1100.5250000000001</v>
      </c>
      <c r="O2836" s="286">
        <f>AVERAGE(K2796:K2836)</f>
        <v>1117.0243902439024</v>
      </c>
      <c r="P2836" s="346">
        <v>11300</v>
      </c>
      <c r="Q2836" s="30">
        <v>0.14630000000000001</v>
      </c>
      <c r="R2836" s="30"/>
      <c r="S2836" s="30"/>
      <c r="T2836" s="30"/>
      <c r="U2836" s="31">
        <v>0.1</v>
      </c>
      <c r="V2836" s="46">
        <f>AVERAGE(P2817:P2836)</f>
        <v>11967.5</v>
      </c>
      <c r="W2836" s="741">
        <f t="shared" si="94"/>
        <v>1818.5090000000002</v>
      </c>
    </row>
    <row r="2837" spans="1:23" ht="15" customHeight="1">
      <c r="A2837" s="3">
        <v>39874</v>
      </c>
      <c r="B2837" s="4">
        <v>1075</v>
      </c>
      <c r="D2837" s="5">
        <v>30375</v>
      </c>
      <c r="E2837" s="5">
        <f t="shared" si="92"/>
        <v>29025</v>
      </c>
      <c r="F2837" s="5">
        <v>60475</v>
      </c>
      <c r="K2837" s="24">
        <v>1024</v>
      </c>
      <c r="L2837" s="6">
        <v>1033</v>
      </c>
      <c r="M2837" s="270">
        <f t="shared" si="93"/>
        <v>9</v>
      </c>
      <c r="N2837" s="21"/>
      <c r="O2837" s="283"/>
      <c r="P2837" s="348">
        <v>11300</v>
      </c>
      <c r="Q2837" s="41">
        <v>0.14610000000000001</v>
      </c>
      <c r="U2837" s="29">
        <v>0.1</v>
      </c>
      <c r="V2837" s="45"/>
      <c r="W2837" s="741">
        <f t="shared" si="94"/>
        <v>1816.0230000000001</v>
      </c>
    </row>
    <row r="2838" spans="1:23" ht="15" customHeight="1">
      <c r="A2838" s="3">
        <v>39875</v>
      </c>
      <c r="B2838" s="4">
        <v>1075</v>
      </c>
      <c r="D2838" s="5">
        <v>30425</v>
      </c>
      <c r="E2838" s="5">
        <f t="shared" si="92"/>
        <v>29250</v>
      </c>
      <c r="F2838" s="5">
        <v>60750</v>
      </c>
      <c r="K2838" s="24">
        <v>1042</v>
      </c>
      <c r="L2838" s="6">
        <v>1052</v>
      </c>
      <c r="M2838" s="270">
        <f t="shared" si="93"/>
        <v>10</v>
      </c>
      <c r="N2838" s="19"/>
      <c r="O2838" s="280"/>
      <c r="P2838" s="345">
        <v>11300</v>
      </c>
      <c r="Q2838" s="28">
        <v>0.14610000000000001</v>
      </c>
      <c r="U2838" s="29">
        <v>0.1</v>
      </c>
      <c r="W2838" s="741">
        <f t="shared" si="94"/>
        <v>1816.0230000000001</v>
      </c>
    </row>
    <row r="2839" spans="1:23" ht="15" customHeight="1">
      <c r="A2839" s="3">
        <v>39876</v>
      </c>
      <c r="B2839" s="4">
        <v>100</v>
      </c>
      <c r="D2839" s="5">
        <v>30425</v>
      </c>
      <c r="E2839" s="5">
        <f t="shared" si="92"/>
        <v>29200</v>
      </c>
      <c r="F2839" s="5">
        <v>59725</v>
      </c>
      <c r="K2839" s="24">
        <v>1104</v>
      </c>
      <c r="L2839" s="6">
        <v>1105</v>
      </c>
      <c r="M2839" s="270">
        <f t="shared" si="93"/>
        <v>1</v>
      </c>
      <c r="N2839" s="19"/>
      <c r="O2839" s="280"/>
      <c r="P2839" s="345">
        <v>11300</v>
      </c>
      <c r="Q2839" s="28">
        <v>0.1462</v>
      </c>
      <c r="U2839" s="29">
        <v>0.1</v>
      </c>
      <c r="W2839" s="741">
        <f t="shared" si="94"/>
        <v>1817.2660000000001</v>
      </c>
    </row>
    <row r="2840" spans="1:23" ht="15" customHeight="1">
      <c r="A2840" s="3">
        <v>39877</v>
      </c>
      <c r="B2840" s="4">
        <v>100</v>
      </c>
      <c r="D2840" s="5">
        <v>30425</v>
      </c>
      <c r="E2840" s="5">
        <f t="shared" si="92"/>
        <v>29000</v>
      </c>
      <c r="F2840" s="5">
        <v>59525</v>
      </c>
      <c r="K2840" s="24">
        <v>1160.5</v>
      </c>
      <c r="L2840" s="6">
        <v>1167</v>
      </c>
      <c r="M2840" s="270">
        <f t="shared" si="93"/>
        <v>6.5</v>
      </c>
      <c r="N2840" s="19"/>
      <c r="O2840" s="280"/>
      <c r="P2840" s="345">
        <v>11400</v>
      </c>
      <c r="Q2840" s="28">
        <v>0.14610000000000001</v>
      </c>
      <c r="U2840" s="29">
        <v>0.1</v>
      </c>
      <c r="W2840" s="741">
        <f t="shared" si="94"/>
        <v>1832.0940000000003</v>
      </c>
    </row>
    <row r="2841" spans="1:23" ht="15" customHeight="1">
      <c r="A2841" s="3">
        <v>39878</v>
      </c>
      <c r="B2841" s="4">
        <v>100</v>
      </c>
      <c r="D2841" s="5">
        <v>30925</v>
      </c>
      <c r="E2841" s="5">
        <f t="shared" si="92"/>
        <v>29025</v>
      </c>
      <c r="F2841" s="5">
        <v>60050</v>
      </c>
      <c r="K2841" s="24">
        <v>1190</v>
      </c>
      <c r="L2841" s="6">
        <v>1200</v>
      </c>
      <c r="M2841" s="270">
        <f t="shared" si="93"/>
        <v>10</v>
      </c>
      <c r="N2841" s="19"/>
      <c r="O2841" s="280"/>
      <c r="P2841" s="345">
        <v>11600</v>
      </c>
      <c r="Q2841" s="28">
        <v>0.1462</v>
      </c>
      <c r="U2841" s="29">
        <v>0.1</v>
      </c>
      <c r="W2841" s="741">
        <f t="shared" si="94"/>
        <v>1865.5120000000002</v>
      </c>
    </row>
    <row r="2842" spans="1:23" ht="15" customHeight="1">
      <c r="A2842" s="3">
        <v>39881</v>
      </c>
      <c r="B2842" s="4">
        <v>0</v>
      </c>
      <c r="D2842" s="5">
        <v>30925</v>
      </c>
      <c r="E2842" s="5">
        <f t="shared" si="92"/>
        <v>29300</v>
      </c>
      <c r="F2842" s="5">
        <v>60225</v>
      </c>
      <c r="K2842" s="24">
        <v>1216</v>
      </c>
      <c r="L2842" s="6">
        <v>1226</v>
      </c>
      <c r="M2842" s="270">
        <f t="shared" si="93"/>
        <v>10</v>
      </c>
      <c r="N2842" s="19"/>
      <c r="O2842" s="280"/>
      <c r="P2842" s="345">
        <v>11800</v>
      </c>
      <c r="Q2842" s="28">
        <v>0.1462</v>
      </c>
      <c r="U2842" s="29">
        <v>0.1</v>
      </c>
      <c r="W2842" s="741">
        <f t="shared" si="94"/>
        <v>1897.6759999999999</v>
      </c>
    </row>
    <row r="2843" spans="1:23" ht="15" customHeight="1">
      <c r="A2843" s="3">
        <v>39882</v>
      </c>
      <c r="B2843" s="4">
        <v>125</v>
      </c>
      <c r="D2843" s="5">
        <v>30925</v>
      </c>
      <c r="E2843" s="5">
        <f t="shared" si="92"/>
        <v>28925</v>
      </c>
      <c r="F2843" s="5">
        <v>59975</v>
      </c>
      <c r="K2843" s="24">
        <v>1250</v>
      </c>
      <c r="L2843" s="6">
        <v>1256</v>
      </c>
      <c r="M2843" s="270">
        <f t="shared" si="93"/>
        <v>6</v>
      </c>
      <c r="N2843" s="19"/>
      <c r="O2843" s="280"/>
      <c r="P2843" s="345">
        <v>11900</v>
      </c>
      <c r="Q2843" s="28">
        <v>0.1462</v>
      </c>
      <c r="U2843" s="29">
        <v>0.1</v>
      </c>
      <c r="W2843" s="741">
        <f t="shared" si="94"/>
        <v>1913.758</v>
      </c>
    </row>
    <row r="2844" spans="1:23" ht="15" customHeight="1">
      <c r="A2844" s="3">
        <v>39883</v>
      </c>
      <c r="B2844" s="4">
        <v>125</v>
      </c>
      <c r="D2844" s="5">
        <v>30925</v>
      </c>
      <c r="E2844" s="5">
        <f t="shared" si="92"/>
        <v>28450</v>
      </c>
      <c r="F2844" s="5">
        <v>59500</v>
      </c>
      <c r="K2844" s="24">
        <v>1280</v>
      </c>
      <c r="L2844" s="6">
        <v>1285</v>
      </c>
      <c r="M2844" s="270">
        <f t="shared" si="93"/>
        <v>5</v>
      </c>
      <c r="N2844" s="19"/>
      <c r="O2844" s="280"/>
      <c r="P2844" s="345">
        <v>12200</v>
      </c>
      <c r="Q2844" s="28">
        <v>0.1462</v>
      </c>
      <c r="U2844" s="29">
        <v>0.1</v>
      </c>
      <c r="W2844" s="741">
        <f t="shared" si="94"/>
        <v>1962.0039999999999</v>
      </c>
    </row>
    <row r="2845" spans="1:23" ht="15" customHeight="1">
      <c r="A2845" s="3">
        <v>39884</v>
      </c>
      <c r="B2845" s="4">
        <v>125</v>
      </c>
      <c r="D2845" s="5">
        <v>30925</v>
      </c>
      <c r="E2845" s="5">
        <f t="shared" si="92"/>
        <v>27950</v>
      </c>
      <c r="F2845" s="5">
        <v>59000</v>
      </c>
      <c r="K2845" s="24">
        <v>1230.5</v>
      </c>
      <c r="L2845" s="6">
        <v>1240</v>
      </c>
      <c r="M2845" s="270">
        <f t="shared" si="93"/>
        <v>9.5</v>
      </c>
      <c r="N2845" s="19"/>
      <c r="O2845" s="280"/>
      <c r="P2845" s="345">
        <v>12200</v>
      </c>
      <c r="Q2845" s="28">
        <v>0.1462</v>
      </c>
      <c r="U2845" s="29">
        <v>0.1</v>
      </c>
      <c r="W2845" s="741">
        <f t="shared" si="94"/>
        <v>1962.0039999999999</v>
      </c>
    </row>
    <row r="2846" spans="1:23" ht="15" customHeight="1">
      <c r="A2846" s="3">
        <v>39885</v>
      </c>
      <c r="B2846" s="4">
        <v>0</v>
      </c>
      <c r="D2846" s="5">
        <v>31000</v>
      </c>
      <c r="E2846" s="5">
        <f t="shared" si="92"/>
        <v>27925</v>
      </c>
      <c r="F2846" s="5">
        <v>58925</v>
      </c>
      <c r="K2846" s="24">
        <v>1266.5</v>
      </c>
      <c r="L2846" s="6">
        <v>1280</v>
      </c>
      <c r="M2846" s="270">
        <f t="shared" si="93"/>
        <v>13.5</v>
      </c>
      <c r="N2846" s="19"/>
      <c r="O2846" s="280"/>
      <c r="P2846" s="345">
        <v>12200</v>
      </c>
      <c r="Q2846" s="28">
        <v>0.1462</v>
      </c>
      <c r="U2846" s="29">
        <v>0.1</v>
      </c>
      <c r="W2846" s="741">
        <f t="shared" si="94"/>
        <v>1962.0039999999999</v>
      </c>
    </row>
    <row r="2847" spans="1:23" ht="15" customHeight="1">
      <c r="A2847" s="3">
        <v>39888</v>
      </c>
      <c r="B2847" s="4">
        <v>0</v>
      </c>
      <c r="D2847" s="5">
        <v>31075</v>
      </c>
      <c r="E2847" s="5">
        <f t="shared" si="92"/>
        <v>28075</v>
      </c>
      <c r="F2847" s="5">
        <v>59150</v>
      </c>
      <c r="K2847" s="24">
        <v>1285</v>
      </c>
      <c r="L2847" s="6">
        <v>1288</v>
      </c>
      <c r="M2847" s="270">
        <f t="shared" si="93"/>
        <v>3</v>
      </c>
      <c r="N2847" s="19"/>
      <c r="O2847" s="280"/>
      <c r="P2847" s="345">
        <v>12200</v>
      </c>
      <c r="Q2847" s="28">
        <v>0.1462</v>
      </c>
      <c r="U2847" s="29">
        <v>0.1</v>
      </c>
      <c r="W2847" s="741">
        <f t="shared" si="94"/>
        <v>1962.0039999999999</v>
      </c>
    </row>
    <row r="2848" spans="1:23" ht="15" customHeight="1">
      <c r="A2848" s="3">
        <v>39889</v>
      </c>
      <c r="B2848" s="4">
        <v>0</v>
      </c>
      <c r="D2848" s="5">
        <v>31175</v>
      </c>
      <c r="E2848" s="5">
        <f t="shared" si="92"/>
        <v>27850</v>
      </c>
      <c r="F2848" s="5">
        <v>59025</v>
      </c>
      <c r="K2848" s="24">
        <v>1333.5</v>
      </c>
      <c r="L2848" s="6">
        <v>1338</v>
      </c>
      <c r="M2848" s="270">
        <f t="shared" si="93"/>
        <v>4.5</v>
      </c>
      <c r="N2848" s="19"/>
      <c r="O2848" s="280"/>
      <c r="P2848" s="345">
        <v>12300</v>
      </c>
      <c r="Q2848" s="28">
        <v>0.1462</v>
      </c>
      <c r="U2848" s="29">
        <v>0.1</v>
      </c>
      <c r="W2848" s="741">
        <f t="shared" si="94"/>
        <v>1978.0860000000002</v>
      </c>
    </row>
    <row r="2849" spans="1:26" ht="15" customHeight="1">
      <c r="A2849" s="3">
        <v>39890</v>
      </c>
      <c r="B2849" s="4">
        <v>0</v>
      </c>
      <c r="D2849" s="5">
        <v>32250</v>
      </c>
      <c r="E2849" s="5">
        <f t="shared" si="92"/>
        <v>28100</v>
      </c>
      <c r="F2849" s="5">
        <v>60350</v>
      </c>
      <c r="K2849" s="24">
        <v>1320.5</v>
      </c>
      <c r="L2849" s="6">
        <v>1333.5</v>
      </c>
      <c r="M2849" s="270">
        <f t="shared" si="93"/>
        <v>13</v>
      </c>
      <c r="N2849" s="19"/>
      <c r="O2849" s="280"/>
      <c r="P2849" s="345">
        <v>12600</v>
      </c>
      <c r="Q2849" s="28">
        <v>0.14630000000000001</v>
      </c>
      <c r="U2849" s="29">
        <v>0.1</v>
      </c>
      <c r="W2849" s="741">
        <f t="shared" si="94"/>
        <v>2027.7180000000003</v>
      </c>
    </row>
    <row r="2850" spans="1:26" ht="15" customHeight="1">
      <c r="A2850" s="3">
        <v>39891</v>
      </c>
      <c r="B2850" s="4">
        <v>0</v>
      </c>
      <c r="D2850" s="5">
        <v>32350</v>
      </c>
      <c r="E2850" s="5">
        <f t="shared" si="92"/>
        <v>27750</v>
      </c>
      <c r="F2850" s="5">
        <v>60100</v>
      </c>
      <c r="K2850" s="24">
        <v>1335</v>
      </c>
      <c r="L2850" s="6">
        <v>1341</v>
      </c>
      <c r="M2850" s="270">
        <f t="shared" si="93"/>
        <v>6</v>
      </c>
      <c r="N2850" s="19"/>
      <c r="O2850" s="280"/>
      <c r="P2850" s="345">
        <v>12700</v>
      </c>
      <c r="Q2850" s="28">
        <v>0.14630000000000001</v>
      </c>
      <c r="U2850" s="29">
        <v>0.1</v>
      </c>
      <c r="W2850" s="741">
        <f t="shared" si="94"/>
        <v>2043.8110000000004</v>
      </c>
    </row>
    <row r="2851" spans="1:26" ht="15" customHeight="1">
      <c r="A2851" s="3">
        <v>39892</v>
      </c>
      <c r="B2851" s="4">
        <v>0</v>
      </c>
      <c r="D2851" s="5">
        <v>32250</v>
      </c>
      <c r="E2851" s="5">
        <f t="shared" si="92"/>
        <v>27825</v>
      </c>
      <c r="F2851" s="5">
        <v>60075</v>
      </c>
      <c r="K2851" s="24">
        <v>1302</v>
      </c>
      <c r="L2851" s="6">
        <v>1311</v>
      </c>
      <c r="M2851" s="270">
        <f t="shared" si="93"/>
        <v>9</v>
      </c>
      <c r="N2851" s="19"/>
      <c r="O2851" s="280"/>
      <c r="P2851" s="345">
        <v>12800</v>
      </c>
      <c r="Q2851" s="28">
        <v>0.14649999999999999</v>
      </c>
      <c r="U2851" s="29">
        <v>0.1</v>
      </c>
      <c r="W2851" s="741">
        <f t="shared" si="94"/>
        <v>2062.7199999999998</v>
      </c>
    </row>
    <row r="2852" spans="1:26" ht="15" customHeight="1">
      <c r="A2852" s="3">
        <v>39895</v>
      </c>
      <c r="B2852" s="4">
        <v>0</v>
      </c>
      <c r="D2852" s="5">
        <v>32100</v>
      </c>
      <c r="E2852" s="5">
        <f t="shared" si="92"/>
        <v>26750</v>
      </c>
      <c r="F2852" s="5">
        <v>58850</v>
      </c>
      <c r="K2852" s="24">
        <v>1341</v>
      </c>
      <c r="L2852" s="6">
        <v>1351</v>
      </c>
      <c r="M2852" s="270">
        <f t="shared" si="93"/>
        <v>10</v>
      </c>
      <c r="N2852" s="19"/>
      <c r="O2852" s="280"/>
      <c r="P2852" s="345">
        <v>13000</v>
      </c>
      <c r="Q2852" s="28">
        <v>0.14649999999999999</v>
      </c>
      <c r="U2852" s="29">
        <v>0.1</v>
      </c>
      <c r="W2852" s="741">
        <f t="shared" si="94"/>
        <v>2094.9500000000003</v>
      </c>
    </row>
    <row r="2853" spans="1:26" ht="15" customHeight="1">
      <c r="A2853" s="3">
        <v>39896</v>
      </c>
      <c r="B2853" s="4">
        <v>0</v>
      </c>
      <c r="D2853" s="5">
        <v>32075</v>
      </c>
      <c r="E2853" s="5">
        <f t="shared" si="92"/>
        <v>26875</v>
      </c>
      <c r="F2853" s="5">
        <v>58950</v>
      </c>
      <c r="K2853" s="24">
        <v>1251</v>
      </c>
      <c r="L2853" s="6">
        <v>1263</v>
      </c>
      <c r="M2853" s="270">
        <f t="shared" si="93"/>
        <v>12</v>
      </c>
      <c r="N2853" s="19"/>
      <c r="O2853" s="280"/>
      <c r="P2853" s="345">
        <v>13100</v>
      </c>
      <c r="Q2853" s="28">
        <v>0.1464</v>
      </c>
      <c r="U2853" s="29">
        <v>0.1</v>
      </c>
      <c r="W2853" s="741">
        <f t="shared" si="94"/>
        <v>2109.6240000000003</v>
      </c>
    </row>
    <row r="2854" spans="1:26" ht="15" customHeight="1">
      <c r="A2854" s="3">
        <v>39897</v>
      </c>
      <c r="B2854" s="4">
        <v>0</v>
      </c>
      <c r="D2854" s="5">
        <v>33500</v>
      </c>
      <c r="E2854" s="5">
        <f t="shared" si="92"/>
        <v>26500</v>
      </c>
      <c r="F2854" s="5">
        <v>60000</v>
      </c>
      <c r="K2854" s="24">
        <v>1252</v>
      </c>
      <c r="L2854" s="6">
        <v>1263</v>
      </c>
      <c r="M2854" s="270">
        <f t="shared" si="93"/>
        <v>11</v>
      </c>
      <c r="N2854" s="19"/>
      <c r="O2854" s="280"/>
      <c r="P2854" s="345">
        <v>12900</v>
      </c>
      <c r="Q2854" s="28">
        <v>0.1464</v>
      </c>
      <c r="U2854" s="29">
        <v>0.1</v>
      </c>
      <c r="W2854" s="741">
        <f t="shared" si="94"/>
        <v>2077.4160000000002</v>
      </c>
    </row>
    <row r="2855" spans="1:26" ht="15" customHeight="1">
      <c r="A2855" s="3">
        <v>39898</v>
      </c>
      <c r="B2855" s="4">
        <v>0</v>
      </c>
      <c r="D2855" s="5">
        <v>33825</v>
      </c>
      <c r="E2855" s="5">
        <f t="shared" si="92"/>
        <v>26825</v>
      </c>
      <c r="F2855" s="5">
        <v>60650</v>
      </c>
      <c r="K2855" s="24">
        <v>1310.5</v>
      </c>
      <c r="L2855" s="6">
        <v>1325</v>
      </c>
      <c r="M2855" s="270">
        <f t="shared" si="93"/>
        <v>14.5</v>
      </c>
      <c r="N2855" s="19"/>
      <c r="O2855" s="280"/>
      <c r="P2855" s="345">
        <v>12900</v>
      </c>
      <c r="Q2855" s="28">
        <v>0.1464</v>
      </c>
      <c r="U2855" s="29">
        <v>0.1</v>
      </c>
      <c r="W2855" s="741">
        <f t="shared" si="94"/>
        <v>2077.4160000000002</v>
      </c>
    </row>
    <row r="2856" spans="1:26" ht="15" customHeight="1">
      <c r="A2856" s="3">
        <v>39899</v>
      </c>
      <c r="B2856" s="4">
        <v>0</v>
      </c>
      <c r="D2856" s="5">
        <v>33900</v>
      </c>
      <c r="E2856" s="5">
        <f t="shared" si="92"/>
        <v>26750</v>
      </c>
      <c r="F2856" s="5">
        <v>60650</v>
      </c>
      <c r="K2856" s="24">
        <v>1255</v>
      </c>
      <c r="L2856" s="6">
        <v>1263</v>
      </c>
      <c r="M2856" s="270">
        <f t="shared" si="93"/>
        <v>8</v>
      </c>
      <c r="N2856" s="19"/>
      <c r="O2856" s="280"/>
      <c r="P2856" s="345">
        <v>13000</v>
      </c>
      <c r="Q2856" s="28">
        <v>0.1464</v>
      </c>
      <c r="U2856" s="29">
        <v>0.1</v>
      </c>
      <c r="W2856" s="741">
        <f t="shared" si="94"/>
        <v>2093.5200000000004</v>
      </c>
    </row>
    <row r="2857" spans="1:26" ht="15" customHeight="1">
      <c r="A2857" s="3">
        <v>39902</v>
      </c>
      <c r="B2857" s="4">
        <v>0</v>
      </c>
      <c r="D2857" s="5">
        <v>33775</v>
      </c>
      <c r="E2857" s="5">
        <f t="shared" si="92"/>
        <v>27875</v>
      </c>
      <c r="F2857" s="5">
        <v>61650</v>
      </c>
      <c r="K2857" s="24">
        <v>1235</v>
      </c>
      <c r="L2857" s="6">
        <v>1250</v>
      </c>
      <c r="M2857" s="270">
        <f t="shared" si="93"/>
        <v>15</v>
      </c>
      <c r="N2857" s="19"/>
      <c r="O2857" s="280"/>
      <c r="P2857" s="345">
        <v>12850</v>
      </c>
      <c r="Q2857" s="28">
        <v>0.1464</v>
      </c>
      <c r="U2857" s="29">
        <v>0.1</v>
      </c>
      <c r="W2857" s="741">
        <f t="shared" si="94"/>
        <v>2069.364</v>
      </c>
    </row>
    <row r="2858" spans="1:26" ht="15" customHeight="1" thickBot="1">
      <c r="A2858" s="12">
        <v>39903</v>
      </c>
      <c r="B2858" s="13">
        <v>350</v>
      </c>
      <c r="C2858" s="13"/>
      <c r="D2858" s="14">
        <v>33700</v>
      </c>
      <c r="E2858" s="14">
        <f t="shared" si="92"/>
        <v>27975</v>
      </c>
      <c r="F2858" s="14">
        <v>62025</v>
      </c>
      <c r="G2858" s="14"/>
      <c r="H2858" s="14"/>
      <c r="I2858" s="14"/>
      <c r="J2858" s="264"/>
      <c r="K2858" s="25">
        <v>1272</v>
      </c>
      <c r="L2858" s="15">
        <v>1300</v>
      </c>
      <c r="M2858" s="271">
        <f t="shared" ref="M2858:M2865" si="95">L2858-K2858</f>
        <v>28</v>
      </c>
      <c r="N2858" s="160">
        <f>AVERAGE(K2837:K2858)</f>
        <v>1238.909090909091</v>
      </c>
      <c r="O2858" s="286">
        <f>AVERAGE(K2796:K2858)</f>
        <v>1159.5873015873017</v>
      </c>
      <c r="P2858" s="346">
        <v>12650</v>
      </c>
      <c r="Q2858" s="30">
        <v>0.14630000000000001</v>
      </c>
      <c r="R2858" s="30"/>
      <c r="S2858" s="30"/>
      <c r="T2858" s="30"/>
      <c r="U2858" s="31">
        <v>0.1</v>
      </c>
      <c r="V2858" s="46">
        <f>AVERAGE(P2837:P2858)</f>
        <v>12281.818181818182</v>
      </c>
      <c r="W2858" s="741">
        <f t="shared" si="94"/>
        <v>2035.7645000000005</v>
      </c>
    </row>
    <row r="2859" spans="1:26" ht="15" customHeight="1">
      <c r="A2859" s="3">
        <v>39904</v>
      </c>
      <c r="B2859" s="4">
        <v>350</v>
      </c>
      <c r="D2859" s="5">
        <v>33550</v>
      </c>
      <c r="E2859" s="5">
        <f t="shared" si="92"/>
        <v>27725</v>
      </c>
      <c r="F2859" s="5">
        <v>61625</v>
      </c>
      <c r="K2859" s="24">
        <v>1242</v>
      </c>
      <c r="L2859" s="6">
        <v>1253</v>
      </c>
      <c r="M2859" s="270">
        <f t="shared" si="95"/>
        <v>11</v>
      </c>
      <c r="N2859" s="21"/>
      <c r="O2859" s="283"/>
      <c r="P2859" s="345">
        <v>12650</v>
      </c>
      <c r="Q2859" s="28">
        <v>0.14630000000000001</v>
      </c>
      <c r="U2859" s="29">
        <v>0.1</v>
      </c>
      <c r="V2859" s="45"/>
      <c r="W2859" s="741">
        <f t="shared" si="94"/>
        <v>2035.7645000000005</v>
      </c>
      <c r="Z2859" s="19"/>
    </row>
    <row r="2860" spans="1:26" ht="15" customHeight="1">
      <c r="A2860" s="3">
        <v>39905</v>
      </c>
      <c r="B2860" s="4">
        <v>350</v>
      </c>
      <c r="D2860" s="5">
        <v>33375</v>
      </c>
      <c r="E2860" s="5">
        <f t="shared" si="92"/>
        <v>27750</v>
      </c>
      <c r="F2860" s="5">
        <v>61475</v>
      </c>
      <c r="K2860" s="24">
        <v>1259</v>
      </c>
      <c r="L2860" s="6">
        <v>1266</v>
      </c>
      <c r="M2860" s="270">
        <f t="shared" si="95"/>
        <v>7</v>
      </c>
      <c r="N2860" s="19"/>
      <c r="O2860" s="280"/>
      <c r="P2860" s="345">
        <v>12400</v>
      </c>
      <c r="Q2860" s="28">
        <v>0.14630000000000001</v>
      </c>
      <c r="U2860" s="29">
        <v>0.1</v>
      </c>
      <c r="W2860" s="741">
        <f t="shared" si="94"/>
        <v>1995.5320000000004</v>
      </c>
    </row>
    <row r="2861" spans="1:26" ht="15" customHeight="1">
      <c r="A2861" s="3">
        <v>39906</v>
      </c>
      <c r="B2861" s="4">
        <v>350</v>
      </c>
      <c r="D2861" s="5">
        <v>33225</v>
      </c>
      <c r="E2861" s="5">
        <f t="shared" si="92"/>
        <v>27525</v>
      </c>
      <c r="F2861" s="5">
        <v>61100</v>
      </c>
      <c r="K2861" s="24">
        <v>1283</v>
      </c>
      <c r="L2861" s="6">
        <v>1281</v>
      </c>
      <c r="M2861" s="270">
        <f t="shared" si="95"/>
        <v>-2</v>
      </c>
      <c r="N2861" s="19"/>
      <c r="O2861" s="280"/>
      <c r="P2861" s="345">
        <v>12400</v>
      </c>
      <c r="Q2861" s="28">
        <v>0.14630000000000001</v>
      </c>
      <c r="U2861" s="29">
        <v>0.1</v>
      </c>
      <c r="W2861" s="741">
        <f t="shared" ref="W2861:W2924" si="96">(P2861*Q2861)*(1+U2861)</f>
        <v>1995.5320000000004</v>
      </c>
    </row>
    <row r="2862" spans="1:26" ht="15" customHeight="1">
      <c r="A2862" s="3">
        <v>39909</v>
      </c>
      <c r="B2862" s="4">
        <v>350</v>
      </c>
      <c r="D2862" s="5">
        <v>33075</v>
      </c>
      <c r="E2862" s="5">
        <f t="shared" si="92"/>
        <v>27600</v>
      </c>
      <c r="F2862" s="5">
        <v>61025</v>
      </c>
      <c r="K2862" s="24">
        <v>1312</v>
      </c>
      <c r="L2862" s="6">
        <v>1315.5</v>
      </c>
      <c r="M2862" s="270">
        <f t="shared" si="95"/>
        <v>3.5</v>
      </c>
      <c r="N2862" s="19"/>
      <c r="O2862" s="280"/>
      <c r="P2862" s="345"/>
      <c r="Q2862" s="996" t="s">
        <v>10</v>
      </c>
      <c r="R2862" s="996"/>
      <c r="S2862" s="996"/>
      <c r="T2862" s="996"/>
      <c r="U2862" s="996"/>
      <c r="W2862" s="741" t="e">
        <f t="shared" si="96"/>
        <v>#VALUE!</v>
      </c>
    </row>
    <row r="2863" spans="1:26" ht="15" customHeight="1">
      <c r="A2863" s="3">
        <v>39910</v>
      </c>
      <c r="B2863" s="4">
        <v>0</v>
      </c>
      <c r="D2863" s="5">
        <v>33625</v>
      </c>
      <c r="E2863" s="5">
        <f t="shared" si="92"/>
        <v>26725</v>
      </c>
      <c r="F2863" s="5">
        <v>60350</v>
      </c>
      <c r="K2863" s="24">
        <v>1315</v>
      </c>
      <c r="L2863" s="6">
        <v>1320</v>
      </c>
      <c r="M2863" s="270">
        <f t="shared" si="95"/>
        <v>5</v>
      </c>
      <c r="N2863" s="19"/>
      <c r="O2863" s="280"/>
      <c r="P2863" s="345">
        <v>12600</v>
      </c>
      <c r="Q2863" s="28">
        <v>0.14630000000000001</v>
      </c>
      <c r="U2863" s="29">
        <v>0.1</v>
      </c>
      <c r="W2863" s="741">
        <f t="shared" si="96"/>
        <v>2027.7180000000003</v>
      </c>
    </row>
    <row r="2864" spans="1:26" ht="15" customHeight="1">
      <c r="A2864" s="3">
        <v>39911</v>
      </c>
      <c r="B2864" s="4">
        <v>0</v>
      </c>
      <c r="D2864" s="5">
        <v>33850</v>
      </c>
      <c r="E2864" s="5">
        <f t="shared" si="92"/>
        <v>26550</v>
      </c>
      <c r="F2864" s="5">
        <v>60400</v>
      </c>
      <c r="K2864" s="24">
        <v>1302.5</v>
      </c>
      <c r="L2864" s="6">
        <v>1310.5</v>
      </c>
      <c r="M2864" s="270">
        <f t="shared" si="95"/>
        <v>8</v>
      </c>
      <c r="N2864" s="19"/>
      <c r="O2864" s="280"/>
      <c r="P2864" s="345">
        <v>12750</v>
      </c>
      <c r="Q2864" s="28">
        <v>0.14630000000000001</v>
      </c>
      <c r="U2864" s="29">
        <v>0.1</v>
      </c>
      <c r="W2864" s="741">
        <f t="shared" si="96"/>
        <v>2051.8575000000005</v>
      </c>
    </row>
    <row r="2865" spans="1:23" ht="15" customHeight="1">
      <c r="A2865" s="3">
        <v>39912</v>
      </c>
      <c r="B2865" s="4">
        <v>0</v>
      </c>
      <c r="D2865" s="5">
        <v>33900</v>
      </c>
      <c r="E2865" s="5">
        <f t="shared" si="92"/>
        <v>26375</v>
      </c>
      <c r="F2865" s="5">
        <v>60275</v>
      </c>
      <c r="K2865" s="24">
        <v>1352.5</v>
      </c>
      <c r="L2865" s="6">
        <v>1355.5</v>
      </c>
      <c r="M2865" s="270">
        <f t="shared" si="95"/>
        <v>3</v>
      </c>
      <c r="N2865" s="19"/>
      <c r="O2865" s="280"/>
      <c r="P2865" s="345">
        <v>12750</v>
      </c>
      <c r="Q2865" s="28">
        <v>0.14630000000000001</v>
      </c>
      <c r="U2865" s="29">
        <v>0.1</v>
      </c>
      <c r="W2865" s="741">
        <f t="shared" si="96"/>
        <v>2051.8575000000005</v>
      </c>
    </row>
    <row r="2866" spans="1:23" ht="15" customHeight="1">
      <c r="A2866" s="3">
        <v>39913</v>
      </c>
      <c r="C2866" s="368"/>
      <c r="D2866" s="368"/>
      <c r="E2866" s="368"/>
      <c r="F2866" s="368"/>
      <c r="G2866" s="1007" t="s">
        <v>44</v>
      </c>
      <c r="H2866" s="1007"/>
      <c r="I2866" s="1007"/>
      <c r="J2866" s="1007"/>
      <c r="K2866" s="368"/>
      <c r="L2866" s="368"/>
      <c r="M2866" s="368"/>
      <c r="N2866" s="19"/>
      <c r="O2866" s="280"/>
      <c r="P2866" s="345">
        <v>12900</v>
      </c>
      <c r="Q2866" s="28">
        <v>0.14630000000000001</v>
      </c>
      <c r="U2866" s="29">
        <v>0.1</v>
      </c>
      <c r="W2866" s="741">
        <f t="shared" si="96"/>
        <v>2075.9970000000003</v>
      </c>
    </row>
    <row r="2867" spans="1:23" ht="15" customHeight="1">
      <c r="A2867" s="3">
        <v>39916</v>
      </c>
      <c r="B2867" s="368"/>
      <c r="C2867" s="368"/>
      <c r="D2867" s="368"/>
      <c r="E2867" s="368"/>
      <c r="F2867" s="368"/>
      <c r="G2867" s="1007"/>
      <c r="H2867" s="1007"/>
      <c r="I2867" s="1007"/>
      <c r="J2867" s="1007"/>
      <c r="K2867" s="368"/>
      <c r="L2867" s="368"/>
      <c r="M2867" s="368"/>
      <c r="N2867" s="19"/>
      <c r="O2867" s="280"/>
      <c r="P2867" s="345">
        <v>12900</v>
      </c>
      <c r="Q2867" s="28">
        <v>0.14630000000000001</v>
      </c>
      <c r="U2867" s="29">
        <v>0.1</v>
      </c>
      <c r="W2867" s="741">
        <f t="shared" si="96"/>
        <v>2075.9970000000003</v>
      </c>
    </row>
    <row r="2868" spans="1:23" ht="15" customHeight="1">
      <c r="A2868" s="3">
        <v>39917</v>
      </c>
      <c r="B2868" s="4">
        <v>0</v>
      </c>
      <c r="D2868" s="5">
        <v>34225</v>
      </c>
      <c r="E2868" s="5">
        <f t="shared" ref="E2868:E2954" si="97">F2868-(B2868+D2868)</f>
        <v>26575</v>
      </c>
      <c r="F2868" s="5">
        <v>60800</v>
      </c>
      <c r="K2868" s="24">
        <v>1425</v>
      </c>
      <c r="L2868" s="6">
        <v>1429</v>
      </c>
      <c r="M2868" s="270">
        <f t="shared" ref="M2868:M2895" si="98">L2868-K2868</f>
        <v>4</v>
      </c>
      <c r="N2868" s="19"/>
      <c r="O2868" s="280"/>
      <c r="P2868" s="345">
        <v>12900</v>
      </c>
      <c r="Q2868" s="28">
        <v>0.14630000000000001</v>
      </c>
      <c r="U2868" s="29">
        <v>0.1</v>
      </c>
      <c r="W2868" s="741">
        <f t="shared" si="96"/>
        <v>2075.9970000000003</v>
      </c>
    </row>
    <row r="2869" spans="1:23" ht="15" customHeight="1">
      <c r="A2869" s="3">
        <v>39918</v>
      </c>
      <c r="B2869" s="4">
        <v>0</v>
      </c>
      <c r="D2869" s="5">
        <v>34300</v>
      </c>
      <c r="E2869" s="5">
        <f t="shared" si="97"/>
        <v>26075</v>
      </c>
      <c r="F2869" s="5">
        <v>60375</v>
      </c>
      <c r="K2869" s="24">
        <v>1502</v>
      </c>
      <c r="L2869" s="6">
        <v>1506.5</v>
      </c>
      <c r="M2869" s="270">
        <f t="shared" si="98"/>
        <v>4.5</v>
      </c>
      <c r="N2869" s="19"/>
      <c r="O2869" s="280"/>
      <c r="P2869" s="345">
        <v>13000</v>
      </c>
      <c r="Q2869" s="28">
        <v>0.1464</v>
      </c>
      <c r="U2869" s="29">
        <v>0.1</v>
      </c>
      <c r="W2869" s="741">
        <f t="shared" si="96"/>
        <v>2093.5200000000004</v>
      </c>
    </row>
    <row r="2870" spans="1:23" ht="15" customHeight="1">
      <c r="A2870" s="3">
        <v>39919</v>
      </c>
      <c r="B2870" s="4">
        <v>0</v>
      </c>
      <c r="D2870" s="5">
        <v>34425</v>
      </c>
      <c r="E2870" s="5">
        <f t="shared" si="97"/>
        <v>25900</v>
      </c>
      <c r="F2870" s="5">
        <v>60325</v>
      </c>
      <c r="K2870" s="24">
        <v>1525</v>
      </c>
      <c r="L2870" s="6">
        <v>1519</v>
      </c>
      <c r="M2870" s="270">
        <f t="shared" si="98"/>
        <v>-6</v>
      </c>
      <c r="N2870" s="19"/>
      <c r="O2870" s="280"/>
      <c r="P2870" s="345">
        <v>13000</v>
      </c>
      <c r="Q2870" s="28">
        <v>0.1464</v>
      </c>
      <c r="U2870" s="29">
        <v>0.1</v>
      </c>
      <c r="W2870" s="741">
        <f t="shared" si="96"/>
        <v>2093.5200000000004</v>
      </c>
    </row>
    <row r="2871" spans="1:23" ht="15" customHeight="1">
      <c r="A2871" s="3">
        <v>39920</v>
      </c>
      <c r="B2871" s="4">
        <v>0</v>
      </c>
      <c r="D2871" s="5">
        <v>34775</v>
      </c>
      <c r="E2871" s="5">
        <f t="shared" si="97"/>
        <v>25900</v>
      </c>
      <c r="F2871" s="5">
        <v>60675</v>
      </c>
      <c r="K2871" s="24">
        <v>1525</v>
      </c>
      <c r="L2871" s="6">
        <v>1510</v>
      </c>
      <c r="M2871" s="270">
        <f t="shared" si="98"/>
        <v>-15</v>
      </c>
      <c r="N2871" s="19"/>
      <c r="O2871" s="280"/>
      <c r="P2871" s="345">
        <v>12800</v>
      </c>
      <c r="Q2871" s="28">
        <v>0.1464</v>
      </c>
      <c r="U2871" s="29">
        <v>0.1</v>
      </c>
      <c r="W2871" s="741">
        <f t="shared" si="96"/>
        <v>2061.3120000000004</v>
      </c>
    </row>
    <row r="2872" spans="1:23" ht="15" customHeight="1">
      <c r="A2872" s="3">
        <v>39923</v>
      </c>
      <c r="B2872" s="4">
        <v>0</v>
      </c>
      <c r="D2872" s="5">
        <v>35250</v>
      </c>
      <c r="E2872" s="5">
        <f t="shared" si="97"/>
        <v>26025</v>
      </c>
      <c r="F2872" s="5">
        <v>61275</v>
      </c>
      <c r="K2872" s="24">
        <v>1509</v>
      </c>
      <c r="L2872" s="6">
        <v>1493</v>
      </c>
      <c r="M2872" s="270">
        <f t="shared" si="98"/>
        <v>-16</v>
      </c>
      <c r="N2872" s="19"/>
      <c r="O2872" s="280"/>
      <c r="P2872" s="345">
        <v>12800</v>
      </c>
      <c r="Q2872" s="28">
        <v>0.1464</v>
      </c>
      <c r="U2872" s="29">
        <v>0.1</v>
      </c>
      <c r="W2872" s="741">
        <f t="shared" si="96"/>
        <v>2061.3120000000004</v>
      </c>
    </row>
    <row r="2873" spans="1:23" ht="15" customHeight="1">
      <c r="A2873" s="3">
        <v>39924</v>
      </c>
      <c r="B2873" s="4">
        <v>0</v>
      </c>
      <c r="D2873" s="5">
        <v>37425</v>
      </c>
      <c r="E2873" s="5">
        <f t="shared" si="97"/>
        <v>26000</v>
      </c>
      <c r="F2873" s="5">
        <v>63425</v>
      </c>
      <c r="K2873" s="24">
        <v>1438</v>
      </c>
      <c r="L2873" s="6">
        <v>1430</v>
      </c>
      <c r="M2873" s="270">
        <f t="shared" si="98"/>
        <v>-8</v>
      </c>
      <c r="N2873" s="19"/>
      <c r="O2873" s="280"/>
      <c r="P2873" s="345">
        <v>12300</v>
      </c>
      <c r="Q2873" s="28">
        <v>0.14649999999999999</v>
      </c>
      <c r="U2873" s="29">
        <v>0.1</v>
      </c>
      <c r="W2873" s="741">
        <f t="shared" si="96"/>
        <v>1982.145</v>
      </c>
    </row>
    <row r="2874" spans="1:23" ht="15" customHeight="1">
      <c r="A2874" s="3">
        <v>39925</v>
      </c>
      <c r="B2874" s="4">
        <v>0</v>
      </c>
      <c r="D2874" s="5">
        <v>37550</v>
      </c>
      <c r="E2874" s="5">
        <f t="shared" si="97"/>
        <v>25950</v>
      </c>
      <c r="F2874" s="5">
        <v>63500</v>
      </c>
      <c r="K2874" s="24">
        <v>1443</v>
      </c>
      <c r="L2874" s="6">
        <v>1440</v>
      </c>
      <c r="M2874" s="270">
        <f t="shared" si="98"/>
        <v>-3</v>
      </c>
      <c r="N2874" s="19"/>
      <c r="O2874" s="280"/>
      <c r="P2874" s="345">
        <v>12100</v>
      </c>
      <c r="Q2874" s="28">
        <v>0.14649999999999999</v>
      </c>
      <c r="U2874" s="29">
        <v>0.1</v>
      </c>
      <c r="W2874" s="741">
        <f t="shared" si="96"/>
        <v>1949.915</v>
      </c>
    </row>
    <row r="2875" spans="1:23" ht="15" customHeight="1">
      <c r="A2875" s="3">
        <v>39926</v>
      </c>
      <c r="B2875" s="4">
        <v>0</v>
      </c>
      <c r="D2875" s="5">
        <v>37750</v>
      </c>
      <c r="E2875" s="5">
        <f t="shared" si="97"/>
        <v>25900</v>
      </c>
      <c r="F2875" s="5">
        <v>63650</v>
      </c>
      <c r="K2875" s="24">
        <v>1461.5</v>
      </c>
      <c r="L2875" s="6">
        <v>1457</v>
      </c>
      <c r="M2875" s="270">
        <f t="shared" si="98"/>
        <v>-4.5</v>
      </c>
      <c r="N2875" s="19"/>
      <c r="O2875" s="280"/>
      <c r="P2875" s="345">
        <v>12000</v>
      </c>
      <c r="Q2875" s="28">
        <v>0.1464</v>
      </c>
      <c r="U2875" s="29">
        <v>0.1</v>
      </c>
      <c r="W2875" s="741">
        <f t="shared" si="96"/>
        <v>1932.48</v>
      </c>
    </row>
    <row r="2876" spans="1:23" ht="15" customHeight="1">
      <c r="A2876" s="3">
        <v>39927</v>
      </c>
      <c r="B2876" s="4">
        <v>0</v>
      </c>
      <c r="D2876" s="5">
        <v>45575</v>
      </c>
      <c r="E2876" s="5">
        <f t="shared" si="97"/>
        <v>26150</v>
      </c>
      <c r="F2876" s="5">
        <v>71725</v>
      </c>
      <c r="K2876" s="24">
        <v>1410.5</v>
      </c>
      <c r="L2876" s="6">
        <v>1415</v>
      </c>
      <c r="M2876" s="270">
        <f t="shared" si="98"/>
        <v>4.5</v>
      </c>
      <c r="N2876" s="19"/>
      <c r="O2876" s="280"/>
      <c r="P2876" s="345">
        <v>12000</v>
      </c>
      <c r="Q2876" s="28">
        <v>0.14649999999999999</v>
      </c>
      <c r="U2876" s="29">
        <v>0.1</v>
      </c>
      <c r="W2876" s="741">
        <f t="shared" si="96"/>
        <v>1933.8000000000002</v>
      </c>
    </row>
    <row r="2877" spans="1:23" ht="15" customHeight="1">
      <c r="A2877" s="3">
        <v>39930</v>
      </c>
      <c r="B2877" s="4">
        <v>100</v>
      </c>
      <c r="D2877" s="5">
        <v>45400</v>
      </c>
      <c r="E2877" s="5">
        <f t="shared" si="97"/>
        <v>26075</v>
      </c>
      <c r="F2877" s="5">
        <v>71575</v>
      </c>
      <c r="K2877" s="24">
        <v>1375</v>
      </c>
      <c r="L2877" s="6">
        <v>1362</v>
      </c>
      <c r="M2877" s="270">
        <f t="shared" si="98"/>
        <v>-13</v>
      </c>
      <c r="N2877" s="19"/>
      <c r="O2877" s="280"/>
      <c r="P2877" s="345">
        <v>12000</v>
      </c>
      <c r="Q2877" s="28">
        <v>0.14649999999999999</v>
      </c>
      <c r="U2877" s="29">
        <v>0.1</v>
      </c>
      <c r="W2877" s="741">
        <f t="shared" si="96"/>
        <v>1933.8000000000002</v>
      </c>
    </row>
    <row r="2878" spans="1:23" ht="15" customHeight="1">
      <c r="A2878" s="3">
        <v>39931</v>
      </c>
      <c r="B2878" s="4">
        <v>100</v>
      </c>
      <c r="D2878" s="5">
        <v>45125</v>
      </c>
      <c r="E2878" s="5">
        <f t="shared" si="97"/>
        <v>26075</v>
      </c>
      <c r="F2878" s="5">
        <v>71300</v>
      </c>
      <c r="K2878" s="24">
        <v>1309</v>
      </c>
      <c r="L2878" s="6">
        <v>1309</v>
      </c>
      <c r="M2878" s="270">
        <f t="shared" si="98"/>
        <v>0</v>
      </c>
      <c r="N2878" s="19"/>
      <c r="O2878" s="280"/>
      <c r="P2878" s="345">
        <v>11800</v>
      </c>
      <c r="Q2878" s="28">
        <v>0.14649999999999999</v>
      </c>
      <c r="U2878" s="29">
        <v>0.1</v>
      </c>
      <c r="W2878" s="741">
        <f t="shared" si="96"/>
        <v>1901.57</v>
      </c>
    </row>
    <row r="2879" spans="1:23" ht="15" customHeight="1">
      <c r="A2879" s="3">
        <v>39932</v>
      </c>
      <c r="B2879" s="4">
        <v>100</v>
      </c>
      <c r="D2879" s="5">
        <v>45100</v>
      </c>
      <c r="E2879" s="5">
        <f t="shared" si="97"/>
        <v>26050</v>
      </c>
      <c r="F2879" s="5">
        <v>71250</v>
      </c>
      <c r="K2879" s="24">
        <v>1318</v>
      </c>
      <c r="L2879" s="6">
        <v>1309</v>
      </c>
      <c r="M2879" s="270">
        <f t="shared" si="98"/>
        <v>-9</v>
      </c>
      <c r="N2879" s="19"/>
      <c r="O2879" s="280"/>
      <c r="P2879" s="345">
        <v>11700</v>
      </c>
      <c r="Q2879" s="28">
        <v>0.14649999999999999</v>
      </c>
      <c r="U2879" s="29">
        <v>0.1</v>
      </c>
      <c r="W2879" s="741">
        <f t="shared" si="96"/>
        <v>1885.4550000000002</v>
      </c>
    </row>
    <row r="2880" spans="1:23" ht="15" customHeight="1" thickBot="1">
      <c r="A2880" s="12">
        <v>39933</v>
      </c>
      <c r="B2880" s="13">
        <v>25</v>
      </c>
      <c r="C2880" s="13"/>
      <c r="D2880" s="14">
        <v>45075</v>
      </c>
      <c r="E2880" s="14">
        <f t="shared" si="97"/>
        <v>26550</v>
      </c>
      <c r="F2880" s="14">
        <v>71650</v>
      </c>
      <c r="G2880" s="14"/>
      <c r="H2880" s="14"/>
      <c r="I2880" s="14"/>
      <c r="J2880" s="264"/>
      <c r="K2880" s="25">
        <v>1355</v>
      </c>
      <c r="L2880" s="15">
        <v>1350</v>
      </c>
      <c r="M2880" s="271">
        <f t="shared" si="98"/>
        <v>-5</v>
      </c>
      <c r="N2880" s="160">
        <f>AVERAGE(K2859:K2880)</f>
        <v>1383.1</v>
      </c>
      <c r="O2880" s="286">
        <f>AVERAGE(K2796:K2880)</f>
        <v>1213.4457831325301</v>
      </c>
      <c r="P2880" s="346">
        <v>11900</v>
      </c>
      <c r="Q2880" s="30">
        <v>0.14649999999999999</v>
      </c>
      <c r="U2880" s="29">
        <v>0.1</v>
      </c>
      <c r="V2880" s="46">
        <f>AVERAGE(P2860:P2880)</f>
        <v>12450</v>
      </c>
      <c r="W2880" s="741">
        <f t="shared" si="96"/>
        <v>1917.6849999999999</v>
      </c>
    </row>
    <row r="2881" spans="1:23" ht="15" customHeight="1">
      <c r="A2881" s="3">
        <v>39934</v>
      </c>
      <c r="B2881" s="4">
        <v>0</v>
      </c>
      <c r="D2881" s="5">
        <v>45200</v>
      </c>
      <c r="E2881" s="5">
        <f t="shared" si="97"/>
        <v>27125</v>
      </c>
      <c r="F2881" s="5">
        <v>72325</v>
      </c>
      <c r="K2881" s="24">
        <v>1334.5</v>
      </c>
      <c r="L2881" s="6">
        <v>1350</v>
      </c>
      <c r="M2881" s="270">
        <f t="shared" si="98"/>
        <v>15.5</v>
      </c>
      <c r="N2881" s="7"/>
      <c r="O2881" s="277"/>
      <c r="P2881" s="345"/>
      <c r="Q2881" s="1010" t="s">
        <v>10</v>
      </c>
      <c r="R2881" s="1010"/>
      <c r="S2881" s="1010"/>
      <c r="T2881" s="1010"/>
      <c r="U2881" s="1010"/>
      <c r="V2881" s="45"/>
      <c r="W2881" s="741" t="e">
        <f t="shared" si="96"/>
        <v>#VALUE!</v>
      </c>
    </row>
    <row r="2882" spans="1:23" ht="15" customHeight="1">
      <c r="A2882" s="3">
        <v>39937</v>
      </c>
      <c r="C2882" s="368"/>
      <c r="D2882" s="368"/>
      <c r="E2882" s="368"/>
      <c r="F2882" s="368"/>
      <c r="G2882" s="1007" t="s">
        <v>10</v>
      </c>
      <c r="H2882" s="1007"/>
      <c r="I2882" s="1007"/>
      <c r="J2882" s="1007"/>
      <c r="K2882" s="368"/>
      <c r="L2882" s="368"/>
      <c r="M2882" s="368"/>
      <c r="N2882" s="7"/>
      <c r="O2882" s="277"/>
      <c r="P2882" s="345">
        <v>12200</v>
      </c>
      <c r="Q2882" s="28">
        <v>0.14649999999999999</v>
      </c>
      <c r="U2882" s="29">
        <v>0.1</v>
      </c>
      <c r="W2882" s="741">
        <f t="shared" si="96"/>
        <v>1966.0300000000002</v>
      </c>
    </row>
    <row r="2883" spans="1:23" ht="15" customHeight="1">
      <c r="A2883" s="3">
        <v>39938</v>
      </c>
      <c r="B2883" s="4">
        <v>0</v>
      </c>
      <c r="D2883" s="5">
        <v>45450</v>
      </c>
      <c r="E2883" s="5">
        <f t="shared" si="97"/>
        <v>26800</v>
      </c>
      <c r="F2883" s="5">
        <v>72250</v>
      </c>
      <c r="K2883" s="24">
        <v>1426.5</v>
      </c>
      <c r="L2883" s="6">
        <v>1431</v>
      </c>
      <c r="M2883" s="270">
        <f t="shared" si="98"/>
        <v>4.5</v>
      </c>
      <c r="N2883" s="19"/>
      <c r="O2883" s="280"/>
      <c r="P2883" s="345">
        <v>12300</v>
      </c>
      <c r="Q2883" s="28">
        <v>0.1467</v>
      </c>
      <c r="U2883" s="29">
        <v>0.1</v>
      </c>
      <c r="W2883" s="741">
        <f t="shared" si="96"/>
        <v>1984.8510000000001</v>
      </c>
    </row>
    <row r="2884" spans="1:23" ht="15" customHeight="1">
      <c r="A2884" s="3">
        <v>39939</v>
      </c>
      <c r="B2884" s="4">
        <v>200</v>
      </c>
      <c r="D2884" s="5">
        <v>45825</v>
      </c>
      <c r="E2884" s="5">
        <f t="shared" si="97"/>
        <v>27025</v>
      </c>
      <c r="F2884" s="5">
        <v>73050</v>
      </c>
      <c r="K2884" s="24">
        <v>1408</v>
      </c>
      <c r="L2884" s="6">
        <v>1417</v>
      </c>
      <c r="M2884" s="270">
        <f t="shared" si="98"/>
        <v>9</v>
      </c>
      <c r="N2884" s="19"/>
      <c r="O2884" s="280"/>
      <c r="P2884" s="345">
        <v>12200</v>
      </c>
      <c r="Q2884" s="28">
        <v>0.14660000000000001</v>
      </c>
      <c r="U2884" s="29">
        <v>0.1</v>
      </c>
      <c r="W2884" s="741">
        <f t="shared" si="96"/>
        <v>1967.3720000000003</v>
      </c>
    </row>
    <row r="2885" spans="1:23" ht="15" customHeight="1">
      <c r="A2885" s="3">
        <v>39940</v>
      </c>
      <c r="B2885" s="4">
        <v>200</v>
      </c>
      <c r="D2885" s="5">
        <v>45975</v>
      </c>
      <c r="E2885" s="5">
        <f t="shared" si="97"/>
        <v>27025</v>
      </c>
      <c r="F2885" s="5">
        <v>73200</v>
      </c>
      <c r="K2885" s="24">
        <v>1481</v>
      </c>
      <c r="L2885" s="6">
        <v>1490</v>
      </c>
      <c r="M2885" s="270">
        <f t="shared" si="98"/>
        <v>9</v>
      </c>
      <c r="N2885" s="19"/>
      <c r="O2885" s="280"/>
      <c r="P2885" s="345">
        <v>12200</v>
      </c>
      <c r="Q2885" s="28">
        <v>0.1467</v>
      </c>
      <c r="U2885" s="29">
        <v>0.1</v>
      </c>
      <c r="W2885" s="741">
        <f t="shared" si="96"/>
        <v>1968.7140000000002</v>
      </c>
    </row>
    <row r="2886" spans="1:23" ht="15" customHeight="1">
      <c r="A2886" s="3">
        <v>39941</v>
      </c>
      <c r="B2886" s="4">
        <v>200</v>
      </c>
      <c r="D2886" s="5">
        <v>46125</v>
      </c>
      <c r="E2886" s="5">
        <f t="shared" si="97"/>
        <v>27000</v>
      </c>
      <c r="F2886" s="5">
        <v>73325</v>
      </c>
      <c r="K2886" s="24">
        <v>1473.5</v>
      </c>
      <c r="L2886" s="6">
        <v>1484.5</v>
      </c>
      <c r="M2886" s="270">
        <f t="shared" si="98"/>
        <v>11</v>
      </c>
      <c r="N2886" s="19"/>
      <c r="O2886" s="280"/>
      <c r="P2886" s="345">
        <v>12100</v>
      </c>
      <c r="Q2886" s="28">
        <v>0.14660000000000001</v>
      </c>
      <c r="U2886" s="29">
        <v>0.1</v>
      </c>
      <c r="W2886" s="741">
        <f t="shared" si="96"/>
        <v>1951.2460000000003</v>
      </c>
    </row>
    <row r="2887" spans="1:23" ht="15" customHeight="1">
      <c r="A2887" s="3">
        <v>39942</v>
      </c>
      <c r="B2887" s="4">
        <v>0</v>
      </c>
      <c r="D2887" s="5">
        <v>46125</v>
      </c>
      <c r="E2887" s="5">
        <f t="shared" si="97"/>
        <v>26975</v>
      </c>
      <c r="F2887" s="5">
        <v>73100</v>
      </c>
      <c r="K2887" s="24">
        <v>1440.5</v>
      </c>
      <c r="L2887" s="6">
        <v>1140.5</v>
      </c>
      <c r="M2887" s="270">
        <f t="shared" si="98"/>
        <v>-300</v>
      </c>
      <c r="N2887" s="19"/>
      <c r="O2887" s="280"/>
      <c r="P2887" s="345">
        <v>12000</v>
      </c>
      <c r="Q2887" s="28">
        <v>0.14649999999999999</v>
      </c>
      <c r="U2887" s="29">
        <v>0.1</v>
      </c>
      <c r="W2887" s="741">
        <f t="shared" si="96"/>
        <v>1933.8000000000002</v>
      </c>
    </row>
    <row r="2888" spans="1:23" ht="15" customHeight="1">
      <c r="A2888" s="3">
        <v>39945</v>
      </c>
      <c r="B2888" s="4">
        <v>0</v>
      </c>
      <c r="D2888" s="5">
        <v>46125</v>
      </c>
      <c r="E2888" s="5">
        <f t="shared" si="97"/>
        <v>27275</v>
      </c>
      <c r="F2888" s="5">
        <v>73400</v>
      </c>
      <c r="K2888" s="24">
        <v>1461</v>
      </c>
      <c r="L2888" s="6">
        <v>1468.5</v>
      </c>
      <c r="M2888" s="270">
        <f t="shared" si="98"/>
        <v>7.5</v>
      </c>
      <c r="N2888" s="19"/>
      <c r="O2888" s="280"/>
      <c r="P2888" s="345">
        <v>11900</v>
      </c>
      <c r="Q2888" s="28">
        <v>0.14649999999999999</v>
      </c>
      <c r="U2888" s="29">
        <v>0.1</v>
      </c>
      <c r="W2888" s="741">
        <f t="shared" si="96"/>
        <v>1917.6849999999999</v>
      </c>
    </row>
    <row r="2889" spans="1:23" ht="15" customHeight="1">
      <c r="A2889" s="3">
        <v>39946</v>
      </c>
      <c r="B2889" s="4">
        <v>0</v>
      </c>
      <c r="D2889" s="5">
        <v>46125</v>
      </c>
      <c r="E2889" s="5">
        <f t="shared" si="97"/>
        <v>27375</v>
      </c>
      <c r="F2889" s="5">
        <v>73500</v>
      </c>
      <c r="K2889" s="24">
        <v>1451</v>
      </c>
      <c r="L2889" s="6">
        <v>1441</v>
      </c>
      <c r="M2889" s="270">
        <f t="shared" si="98"/>
        <v>-10</v>
      </c>
      <c r="N2889" s="19"/>
      <c r="O2889" s="280"/>
      <c r="P2889" s="345">
        <v>11900</v>
      </c>
      <c r="Q2889" s="28">
        <v>0.14660000000000001</v>
      </c>
      <c r="U2889" s="29">
        <v>0.1</v>
      </c>
      <c r="W2889" s="741">
        <f t="shared" si="96"/>
        <v>1918.9940000000004</v>
      </c>
    </row>
    <row r="2890" spans="1:23" ht="15" customHeight="1">
      <c r="A2890" s="3">
        <v>39947</v>
      </c>
      <c r="B2890" s="4">
        <v>0</v>
      </c>
      <c r="D2890" s="5">
        <v>46450</v>
      </c>
      <c r="E2890" s="5">
        <f t="shared" si="97"/>
        <v>27050</v>
      </c>
      <c r="F2890" s="5">
        <v>73500</v>
      </c>
      <c r="K2890" s="24">
        <v>1395</v>
      </c>
      <c r="L2890" s="6">
        <v>1386</v>
      </c>
      <c r="M2890" s="270">
        <f t="shared" si="98"/>
        <v>-9</v>
      </c>
      <c r="N2890" s="19"/>
      <c r="O2890" s="280"/>
      <c r="P2890" s="345">
        <v>11900</v>
      </c>
      <c r="Q2890" s="28">
        <v>0.14660000000000001</v>
      </c>
      <c r="U2890" s="29">
        <v>0.1</v>
      </c>
      <c r="W2890" s="741">
        <f t="shared" si="96"/>
        <v>1918.9940000000004</v>
      </c>
    </row>
    <row r="2891" spans="1:23" ht="15" customHeight="1">
      <c r="A2891" s="3">
        <v>39948</v>
      </c>
      <c r="B2891" s="4">
        <v>0</v>
      </c>
      <c r="D2891" s="5">
        <v>46450</v>
      </c>
      <c r="E2891" s="5">
        <f t="shared" si="97"/>
        <v>26800</v>
      </c>
      <c r="F2891" s="5">
        <v>73250</v>
      </c>
      <c r="K2891" s="24">
        <v>1422.5</v>
      </c>
      <c r="L2891" s="6">
        <v>1435</v>
      </c>
      <c r="M2891" s="270">
        <f t="shared" si="98"/>
        <v>12.5</v>
      </c>
      <c r="N2891" s="19"/>
      <c r="O2891" s="280"/>
      <c r="P2891" s="345">
        <v>11900</v>
      </c>
      <c r="Q2891" s="28">
        <v>0.14649999999999999</v>
      </c>
      <c r="U2891" s="29">
        <v>0.1</v>
      </c>
      <c r="W2891" s="741">
        <f t="shared" si="96"/>
        <v>1917.6849999999999</v>
      </c>
    </row>
    <row r="2892" spans="1:23" ht="15" customHeight="1">
      <c r="A2892" s="3">
        <v>39951</v>
      </c>
      <c r="B2892" s="4">
        <v>0</v>
      </c>
      <c r="D2892" s="5">
        <v>46500</v>
      </c>
      <c r="E2892" s="5">
        <f t="shared" si="97"/>
        <v>27425</v>
      </c>
      <c r="F2892" s="5">
        <v>73925</v>
      </c>
      <c r="K2892" s="24">
        <v>1460</v>
      </c>
      <c r="L2892" s="6">
        <v>1470</v>
      </c>
      <c r="M2892" s="270">
        <f t="shared" si="98"/>
        <v>10</v>
      </c>
      <c r="N2892" s="19"/>
      <c r="O2892" s="280"/>
      <c r="P2892" s="345">
        <v>11900</v>
      </c>
      <c r="Q2892" s="28">
        <v>0.14649999999999999</v>
      </c>
      <c r="U2892" s="29">
        <v>0.1</v>
      </c>
      <c r="W2892" s="741">
        <f t="shared" si="96"/>
        <v>1917.6849999999999</v>
      </c>
    </row>
    <row r="2893" spans="1:23" ht="15" customHeight="1">
      <c r="A2893" s="3">
        <v>39952</v>
      </c>
      <c r="B2893" s="4">
        <v>0</v>
      </c>
      <c r="D2893" s="5">
        <v>46950</v>
      </c>
      <c r="E2893" s="5">
        <f t="shared" si="97"/>
        <v>27425</v>
      </c>
      <c r="F2893" s="5">
        <v>74375</v>
      </c>
      <c r="K2893" s="24">
        <v>1527.5</v>
      </c>
      <c r="L2893" s="6">
        <v>1540</v>
      </c>
      <c r="M2893" s="270">
        <f t="shared" si="98"/>
        <v>12.5</v>
      </c>
      <c r="N2893" s="19"/>
      <c r="O2893" s="280"/>
      <c r="P2893" s="345">
        <v>11900</v>
      </c>
      <c r="Q2893" s="28">
        <v>0.14649999999999999</v>
      </c>
      <c r="U2893" s="29">
        <v>0.1</v>
      </c>
      <c r="W2893" s="741">
        <f t="shared" si="96"/>
        <v>1917.6849999999999</v>
      </c>
    </row>
    <row r="2894" spans="1:23" ht="15" customHeight="1">
      <c r="A2894" s="3">
        <v>39953</v>
      </c>
      <c r="B2894" s="4">
        <v>0</v>
      </c>
      <c r="D2894" s="5">
        <v>46950</v>
      </c>
      <c r="E2894" s="5">
        <f t="shared" si="97"/>
        <v>27400</v>
      </c>
      <c r="F2894" s="5">
        <v>74350</v>
      </c>
      <c r="K2894" s="24">
        <v>1436</v>
      </c>
      <c r="L2894" s="6">
        <v>1453</v>
      </c>
      <c r="M2894" s="270">
        <f t="shared" si="98"/>
        <v>17</v>
      </c>
      <c r="N2894" s="19"/>
      <c r="O2894" s="280"/>
      <c r="P2894" s="345">
        <v>11900</v>
      </c>
      <c r="Q2894" s="28">
        <v>0.14649999999999999</v>
      </c>
      <c r="U2894" s="29">
        <v>0.1</v>
      </c>
      <c r="W2894" s="741">
        <f t="shared" si="96"/>
        <v>1917.6849999999999</v>
      </c>
    </row>
    <row r="2895" spans="1:23" ht="15" customHeight="1">
      <c r="A2895" s="3">
        <v>39954</v>
      </c>
      <c r="B2895" s="4">
        <v>0</v>
      </c>
      <c r="D2895" s="5">
        <v>46975</v>
      </c>
      <c r="E2895" s="5">
        <f t="shared" si="97"/>
        <v>27300</v>
      </c>
      <c r="F2895" s="5">
        <v>74275</v>
      </c>
      <c r="K2895" s="24">
        <v>1420</v>
      </c>
      <c r="L2895" s="6">
        <v>1420.5</v>
      </c>
      <c r="M2895" s="270">
        <f t="shared" si="98"/>
        <v>0.5</v>
      </c>
      <c r="N2895" s="19"/>
      <c r="O2895" s="280"/>
      <c r="P2895" s="345">
        <v>11900</v>
      </c>
      <c r="Q2895" s="28">
        <v>0.14649999999999999</v>
      </c>
      <c r="U2895" s="29">
        <v>0.1</v>
      </c>
      <c r="W2895" s="741">
        <f t="shared" si="96"/>
        <v>1917.6849999999999</v>
      </c>
    </row>
    <row r="2896" spans="1:23" ht="15" customHeight="1">
      <c r="A2896" s="3">
        <v>39955</v>
      </c>
      <c r="B2896" s="4">
        <v>0</v>
      </c>
      <c r="D2896" s="5">
        <v>47200</v>
      </c>
      <c r="E2896" s="5">
        <f t="shared" si="97"/>
        <v>27325</v>
      </c>
      <c r="F2896" s="5">
        <v>74525</v>
      </c>
      <c r="K2896" s="24">
        <v>1422.5</v>
      </c>
      <c r="L2896" s="6">
        <v>1425</v>
      </c>
      <c r="M2896" s="270">
        <f>L2896-K2896</f>
        <v>2.5</v>
      </c>
      <c r="N2896" s="19"/>
      <c r="O2896" s="280"/>
      <c r="P2896" s="345">
        <v>11900</v>
      </c>
      <c r="Q2896" s="28">
        <v>0.14649999999999999</v>
      </c>
      <c r="U2896" s="29">
        <v>0.1</v>
      </c>
      <c r="W2896" s="741">
        <f t="shared" si="96"/>
        <v>1917.6849999999999</v>
      </c>
    </row>
    <row r="2897" spans="1:26" ht="15" customHeight="1">
      <c r="A2897" s="3">
        <v>39956</v>
      </c>
      <c r="C2897" s="368"/>
      <c r="D2897" s="368"/>
      <c r="E2897" s="368"/>
      <c r="F2897" s="368"/>
      <c r="G2897" s="1007" t="s">
        <v>59</v>
      </c>
      <c r="H2897" s="1007"/>
      <c r="I2897" s="1007"/>
      <c r="J2897" s="1007"/>
      <c r="K2897" s="368"/>
      <c r="L2897" s="368"/>
      <c r="M2897" s="368"/>
      <c r="N2897" s="19"/>
      <c r="O2897" s="280"/>
      <c r="P2897" s="345">
        <v>11900</v>
      </c>
      <c r="Q2897" s="28">
        <v>0.14660000000000001</v>
      </c>
      <c r="U2897" s="29">
        <v>0.1</v>
      </c>
      <c r="W2897" s="741">
        <f t="shared" si="96"/>
        <v>1918.9940000000004</v>
      </c>
    </row>
    <row r="2898" spans="1:26" ht="15" customHeight="1">
      <c r="A2898" s="3">
        <v>39959</v>
      </c>
      <c r="B2898" s="4">
        <v>0</v>
      </c>
      <c r="D2898" s="5">
        <v>47375</v>
      </c>
      <c r="E2898" s="5">
        <f t="shared" si="97"/>
        <v>27725</v>
      </c>
      <c r="F2898" s="5">
        <v>75100</v>
      </c>
      <c r="K2898" s="24">
        <v>1409</v>
      </c>
      <c r="L2898" s="6">
        <v>1414</v>
      </c>
      <c r="M2898" s="270">
        <f>L2898-K2898</f>
        <v>5</v>
      </c>
      <c r="N2898" s="19"/>
      <c r="O2898" s="280"/>
      <c r="P2898" s="345">
        <v>11900</v>
      </c>
      <c r="Q2898" s="28">
        <v>0.14649999999999999</v>
      </c>
      <c r="U2898" s="29">
        <v>0.1</v>
      </c>
      <c r="W2898" s="741">
        <f t="shared" si="96"/>
        <v>1917.6849999999999</v>
      </c>
    </row>
    <row r="2899" spans="1:26" ht="15" customHeight="1">
      <c r="A2899" s="3">
        <v>39960</v>
      </c>
      <c r="B2899" s="4">
        <v>0</v>
      </c>
      <c r="D2899" s="5">
        <v>47550</v>
      </c>
      <c r="E2899" s="5">
        <f t="shared" si="97"/>
        <v>28200</v>
      </c>
      <c r="F2899" s="5">
        <v>75750</v>
      </c>
      <c r="K2899" s="24">
        <v>1427.5</v>
      </c>
      <c r="L2899" s="6">
        <v>1436</v>
      </c>
      <c r="M2899" s="270">
        <f t="shared" ref="M2899:M2962" si="99">L2899-K2899</f>
        <v>8.5</v>
      </c>
      <c r="N2899" s="19"/>
      <c r="O2899" s="280"/>
      <c r="P2899" s="345">
        <v>11900</v>
      </c>
      <c r="Q2899" s="28">
        <v>0.14630000000000001</v>
      </c>
      <c r="U2899" s="29">
        <v>0.1</v>
      </c>
      <c r="V2899" s="44">
        <f>AVERAGE(P2881:P2899)</f>
        <v>11988.888888888889</v>
      </c>
      <c r="W2899" s="741">
        <f t="shared" si="96"/>
        <v>1915.0670000000005</v>
      </c>
    </row>
    <row r="2900" spans="1:26" ht="15" customHeight="1">
      <c r="A2900" s="3">
        <v>39961</v>
      </c>
      <c r="B2900" s="4">
        <v>0</v>
      </c>
      <c r="D2900" s="5">
        <v>47925</v>
      </c>
      <c r="E2900" s="5">
        <f t="shared" si="97"/>
        <v>28150</v>
      </c>
      <c r="F2900" s="5">
        <v>76075</v>
      </c>
      <c r="K2900" s="24">
        <v>1437</v>
      </c>
      <c r="L2900" s="6">
        <v>1444</v>
      </c>
      <c r="M2900" s="270">
        <f t="shared" si="99"/>
        <v>7</v>
      </c>
      <c r="N2900" s="19"/>
      <c r="O2900" s="280"/>
      <c r="P2900" s="363"/>
      <c r="Q2900" s="996" t="s">
        <v>10</v>
      </c>
      <c r="R2900" s="996"/>
      <c r="S2900" s="996"/>
      <c r="T2900" s="996"/>
      <c r="U2900" s="996"/>
      <c r="V2900" s="364"/>
      <c r="W2900" s="741" t="e">
        <f t="shared" si="96"/>
        <v>#VALUE!</v>
      </c>
    </row>
    <row r="2901" spans="1:26" ht="15" customHeight="1" thickBot="1">
      <c r="A2901" s="12">
        <v>39962</v>
      </c>
      <c r="B2901" s="13">
        <v>0</v>
      </c>
      <c r="C2901" s="13"/>
      <c r="D2901" s="14">
        <v>48875</v>
      </c>
      <c r="E2901" s="14">
        <f t="shared" si="97"/>
        <v>27200</v>
      </c>
      <c r="F2901" s="14">
        <v>76075</v>
      </c>
      <c r="G2901" s="14"/>
      <c r="H2901" s="14"/>
      <c r="I2901" s="14"/>
      <c r="J2901" s="264"/>
      <c r="K2901" s="25">
        <v>1530</v>
      </c>
      <c r="L2901" s="15">
        <v>1535</v>
      </c>
      <c r="M2901" s="271">
        <f t="shared" si="99"/>
        <v>5</v>
      </c>
      <c r="N2901" s="160">
        <f>AVERAGE(K2881:K2901)</f>
        <v>1440.1578947368421</v>
      </c>
      <c r="O2901" s="286">
        <f>AVERAGE(K2796:K2901)</f>
        <v>1255.6764705882354</v>
      </c>
      <c r="P2901" s="367"/>
      <c r="Q2901" s="1041"/>
      <c r="R2901" s="1041"/>
      <c r="S2901" s="1041"/>
      <c r="T2901" s="1041"/>
      <c r="U2901" s="1041"/>
      <c r="V2901" s="373"/>
      <c r="W2901" s="741">
        <f t="shared" si="96"/>
        <v>0</v>
      </c>
    </row>
    <row r="2902" spans="1:26" ht="15" customHeight="1">
      <c r="A2902" s="3">
        <v>39965</v>
      </c>
      <c r="B2902" s="4">
        <v>0</v>
      </c>
      <c r="D2902" s="5">
        <v>48875</v>
      </c>
      <c r="E2902" s="5">
        <f t="shared" si="97"/>
        <v>28575</v>
      </c>
      <c r="F2902" s="5">
        <v>77450</v>
      </c>
      <c r="K2902" s="24">
        <v>1640</v>
      </c>
      <c r="L2902" s="6">
        <v>1640</v>
      </c>
      <c r="M2902" s="270">
        <f t="shared" si="99"/>
        <v>0</v>
      </c>
      <c r="N2902" s="21"/>
      <c r="O2902" s="283"/>
      <c r="P2902" s="345">
        <v>12100</v>
      </c>
      <c r="Q2902" s="28">
        <v>0.1464</v>
      </c>
      <c r="U2902" s="29">
        <v>0.1</v>
      </c>
      <c r="W2902" s="741">
        <f t="shared" si="96"/>
        <v>1948.5840000000003</v>
      </c>
      <c r="Z2902" s="19"/>
    </row>
    <row r="2903" spans="1:26" ht="15" customHeight="1">
      <c r="A2903" s="3">
        <v>39966</v>
      </c>
      <c r="B2903" s="4">
        <v>0</v>
      </c>
      <c r="D2903" s="5">
        <v>50275</v>
      </c>
      <c r="E2903" s="5">
        <f t="shared" si="97"/>
        <v>29725</v>
      </c>
      <c r="F2903" s="5">
        <v>80000</v>
      </c>
      <c r="K2903" s="24">
        <v>1627.5</v>
      </c>
      <c r="L2903" s="6">
        <v>1641</v>
      </c>
      <c r="M2903" s="270">
        <f t="shared" si="99"/>
        <v>13.5</v>
      </c>
      <c r="N2903" s="19"/>
      <c r="O2903" s="280"/>
      <c r="P2903" s="345">
        <v>12400</v>
      </c>
      <c r="Q2903" s="28">
        <v>0.14649999999999999</v>
      </c>
      <c r="U2903" s="29">
        <v>0.1</v>
      </c>
      <c r="W2903" s="741">
        <f t="shared" si="96"/>
        <v>1998.26</v>
      </c>
    </row>
    <row r="2904" spans="1:26" ht="15" customHeight="1">
      <c r="A2904" s="3">
        <v>39967</v>
      </c>
      <c r="B2904" s="4">
        <v>0</v>
      </c>
      <c r="D2904" s="5">
        <v>51225</v>
      </c>
      <c r="E2904" s="5">
        <f t="shared" si="97"/>
        <v>29600</v>
      </c>
      <c r="F2904" s="5">
        <v>80825</v>
      </c>
      <c r="K2904" s="24">
        <v>1612.5</v>
      </c>
      <c r="L2904" s="6">
        <v>1625.5</v>
      </c>
      <c r="M2904" s="270">
        <f t="shared" si="99"/>
        <v>13</v>
      </c>
      <c r="N2904" s="19"/>
      <c r="O2904" s="280"/>
      <c r="P2904" s="345">
        <v>12450</v>
      </c>
      <c r="Q2904" s="28">
        <v>0.1464</v>
      </c>
      <c r="U2904" s="29">
        <v>0.1</v>
      </c>
      <c r="W2904" s="741">
        <f t="shared" si="96"/>
        <v>2004.9480000000003</v>
      </c>
    </row>
    <row r="2905" spans="1:26" ht="15" customHeight="1">
      <c r="A2905" s="3">
        <v>39968</v>
      </c>
      <c r="B2905" s="4">
        <v>0</v>
      </c>
      <c r="D2905" s="5">
        <v>51625</v>
      </c>
      <c r="E2905" s="5">
        <f t="shared" si="97"/>
        <v>29550</v>
      </c>
      <c r="F2905" s="5">
        <v>81175</v>
      </c>
      <c r="K2905" s="24">
        <v>1565.5</v>
      </c>
      <c r="L2905" s="6">
        <v>1581</v>
      </c>
      <c r="M2905" s="270">
        <f t="shared" si="99"/>
        <v>15.5</v>
      </c>
      <c r="N2905" s="19"/>
      <c r="O2905" s="280"/>
      <c r="P2905" s="345">
        <v>12400</v>
      </c>
      <c r="Q2905" s="28">
        <v>0.1464</v>
      </c>
      <c r="U2905" s="29">
        <v>0.1</v>
      </c>
      <c r="W2905" s="741">
        <f t="shared" si="96"/>
        <v>1996.8960000000004</v>
      </c>
    </row>
    <row r="2906" spans="1:26" ht="15" customHeight="1">
      <c r="A2906" s="3">
        <v>39969</v>
      </c>
      <c r="B2906" s="4">
        <v>0</v>
      </c>
      <c r="D2906" s="5">
        <v>51650</v>
      </c>
      <c r="E2906" s="5">
        <f t="shared" si="97"/>
        <v>29525</v>
      </c>
      <c r="F2906" s="5">
        <v>81175</v>
      </c>
      <c r="K2906" s="24">
        <v>1654.5</v>
      </c>
      <c r="L2906" s="6">
        <v>1670</v>
      </c>
      <c r="M2906" s="270">
        <f t="shared" si="99"/>
        <v>15.5</v>
      </c>
      <c r="N2906" s="19"/>
      <c r="O2906" s="280"/>
      <c r="P2906" s="345">
        <v>12500</v>
      </c>
      <c r="Q2906" s="28">
        <v>0.14630000000000001</v>
      </c>
      <c r="U2906" s="29">
        <v>0.1</v>
      </c>
      <c r="W2906" s="741">
        <f t="shared" si="96"/>
        <v>2011.6250000000005</v>
      </c>
    </row>
    <row r="2907" spans="1:26" ht="15" customHeight="1">
      <c r="A2907" s="3">
        <v>39972</v>
      </c>
      <c r="B2907" s="4">
        <v>0</v>
      </c>
      <c r="D2907" s="5">
        <v>51650</v>
      </c>
      <c r="E2907" s="5">
        <f t="shared" si="97"/>
        <v>29475</v>
      </c>
      <c r="F2907" s="5">
        <v>81125</v>
      </c>
      <c r="K2907" s="24">
        <v>1616</v>
      </c>
      <c r="L2907" s="6">
        <v>1645</v>
      </c>
      <c r="M2907" s="270">
        <f t="shared" si="99"/>
        <v>29</v>
      </c>
      <c r="N2907" s="19"/>
      <c r="O2907" s="280"/>
      <c r="P2907" s="345">
        <v>12750</v>
      </c>
      <c r="Q2907" s="28">
        <v>0.14630000000000001</v>
      </c>
      <c r="U2907" s="29">
        <v>0.1</v>
      </c>
      <c r="W2907" s="741">
        <f t="shared" si="96"/>
        <v>2051.8575000000005</v>
      </c>
    </row>
    <row r="2908" spans="1:26" ht="15" customHeight="1">
      <c r="A2908" s="3">
        <v>39973</v>
      </c>
      <c r="B2908" s="4">
        <v>0</v>
      </c>
      <c r="D2908" s="5">
        <v>51875</v>
      </c>
      <c r="E2908" s="5">
        <f t="shared" si="97"/>
        <v>29450</v>
      </c>
      <c r="F2908" s="5">
        <v>81325</v>
      </c>
      <c r="K2908" s="24">
        <v>1690</v>
      </c>
      <c r="L2908" s="6">
        <v>1695</v>
      </c>
      <c r="M2908" s="270">
        <f t="shared" si="99"/>
        <v>5</v>
      </c>
      <c r="N2908" s="19"/>
      <c r="O2908" s="280"/>
      <c r="P2908" s="345">
        <v>12750</v>
      </c>
      <c r="Q2908" s="28">
        <v>0.14630000000000001</v>
      </c>
      <c r="U2908" s="29">
        <v>0.1</v>
      </c>
      <c r="W2908" s="741">
        <f t="shared" si="96"/>
        <v>2051.8575000000005</v>
      </c>
    </row>
    <row r="2909" spans="1:26" ht="15" customHeight="1">
      <c r="A2909" s="3">
        <v>39974</v>
      </c>
      <c r="B2909" s="4">
        <v>0</v>
      </c>
      <c r="D2909" s="5">
        <v>52200</v>
      </c>
      <c r="E2909" s="5">
        <f t="shared" si="97"/>
        <v>29450</v>
      </c>
      <c r="F2909" s="5">
        <v>81650</v>
      </c>
      <c r="K2909" s="24">
        <v>1744.5</v>
      </c>
      <c r="L2909" s="6">
        <v>1766</v>
      </c>
      <c r="M2909" s="270">
        <f t="shared" si="99"/>
        <v>21.5</v>
      </c>
      <c r="N2909" s="19"/>
      <c r="O2909" s="280"/>
      <c r="P2909" s="345">
        <v>13050</v>
      </c>
      <c r="Q2909" s="28">
        <v>0.14630000000000001</v>
      </c>
      <c r="U2909" s="29">
        <v>0.1</v>
      </c>
      <c r="W2909" s="741">
        <f t="shared" si="96"/>
        <v>2100.1365000000005</v>
      </c>
    </row>
    <row r="2910" spans="1:26" ht="15" customHeight="1">
      <c r="A2910" s="3">
        <v>39975</v>
      </c>
      <c r="B2910" s="4">
        <v>6250</v>
      </c>
      <c r="D2910" s="5">
        <v>42850</v>
      </c>
      <c r="E2910" s="5">
        <f t="shared" si="97"/>
        <v>32650</v>
      </c>
      <c r="F2910" s="5">
        <v>81750</v>
      </c>
      <c r="K2910" s="24">
        <v>1787</v>
      </c>
      <c r="L2910" s="6">
        <v>1809.5</v>
      </c>
      <c r="M2910" s="270">
        <f t="shared" si="99"/>
        <v>22.5</v>
      </c>
      <c r="N2910" s="19"/>
      <c r="O2910" s="280"/>
      <c r="P2910" s="345">
        <v>13200</v>
      </c>
      <c r="Q2910" s="28">
        <v>0.14630000000000001</v>
      </c>
      <c r="U2910" s="29">
        <v>0.1</v>
      </c>
      <c r="W2910" s="741">
        <f t="shared" si="96"/>
        <v>2124.2760000000003</v>
      </c>
    </row>
    <row r="2911" spans="1:26" ht="15" customHeight="1">
      <c r="A2911" s="3">
        <v>39976</v>
      </c>
      <c r="B2911" s="4">
        <v>6250</v>
      </c>
      <c r="D2911" s="5">
        <v>42975</v>
      </c>
      <c r="E2911" s="5">
        <f t="shared" si="97"/>
        <v>32900</v>
      </c>
      <c r="F2911" s="5">
        <v>82125</v>
      </c>
      <c r="K2911" s="24">
        <v>1796.5</v>
      </c>
      <c r="L2911" s="6">
        <v>1817</v>
      </c>
      <c r="M2911" s="270">
        <f t="shared" si="99"/>
        <v>20.5</v>
      </c>
      <c r="N2911" s="19"/>
      <c r="O2911" s="280"/>
      <c r="P2911" s="345">
        <v>13450</v>
      </c>
      <c r="Q2911" s="28">
        <v>0.14630000000000001</v>
      </c>
      <c r="U2911" s="29">
        <v>0.1</v>
      </c>
      <c r="W2911" s="741">
        <f t="shared" si="96"/>
        <v>2164.5085000000004</v>
      </c>
    </row>
    <row r="2912" spans="1:26" ht="15" customHeight="1">
      <c r="A2912" s="3">
        <v>39979</v>
      </c>
      <c r="B2912" s="4">
        <v>0</v>
      </c>
      <c r="D2912" s="5">
        <v>52600</v>
      </c>
      <c r="E2912" s="5">
        <f t="shared" si="97"/>
        <v>29725</v>
      </c>
      <c r="F2912" s="5">
        <v>82325</v>
      </c>
      <c r="K2912" s="24">
        <v>1720</v>
      </c>
      <c r="L2912" s="6">
        <v>1745</v>
      </c>
      <c r="M2912" s="270">
        <f t="shared" si="99"/>
        <v>25</v>
      </c>
      <c r="N2912" s="19"/>
      <c r="O2912" s="280"/>
      <c r="P2912" s="345">
        <v>13650</v>
      </c>
      <c r="Q2912" s="28">
        <v>0.14630000000000001</v>
      </c>
      <c r="U2912" s="29">
        <v>0.1</v>
      </c>
      <c r="W2912" s="741">
        <f t="shared" si="96"/>
        <v>2196.6945000000005</v>
      </c>
    </row>
    <row r="2913" spans="1:26" ht="15" customHeight="1">
      <c r="A2913" s="3">
        <v>39980</v>
      </c>
      <c r="B2913" s="4">
        <v>0</v>
      </c>
      <c r="D2913" s="5">
        <v>54050</v>
      </c>
      <c r="E2913" s="5">
        <f t="shared" si="97"/>
        <v>29775</v>
      </c>
      <c r="F2913" s="5">
        <v>83825</v>
      </c>
      <c r="K2913" s="24">
        <v>1690</v>
      </c>
      <c r="L2913" s="6">
        <v>1706</v>
      </c>
      <c r="M2913" s="270">
        <f t="shared" si="99"/>
        <v>16</v>
      </c>
      <c r="N2913" s="19"/>
      <c r="O2913" s="280"/>
      <c r="P2913" s="345">
        <v>13600</v>
      </c>
      <c r="Q2913" s="28">
        <v>0.14630000000000001</v>
      </c>
      <c r="U2913" s="29">
        <v>0.1</v>
      </c>
      <c r="W2913" s="741">
        <f t="shared" si="96"/>
        <v>2188.6480000000006</v>
      </c>
    </row>
    <row r="2914" spans="1:26" ht="15" customHeight="1">
      <c r="A2914" s="3">
        <v>39981</v>
      </c>
      <c r="B2914" s="4">
        <v>0</v>
      </c>
      <c r="D2914" s="5">
        <v>54125</v>
      </c>
      <c r="E2914" s="5">
        <f t="shared" si="97"/>
        <v>30075</v>
      </c>
      <c r="F2914" s="5">
        <v>84200</v>
      </c>
      <c r="K2914" s="24">
        <v>1610</v>
      </c>
      <c r="L2914" s="6">
        <v>1630</v>
      </c>
      <c r="M2914" s="270">
        <f t="shared" si="99"/>
        <v>20</v>
      </c>
      <c r="N2914" s="19"/>
      <c r="O2914" s="280"/>
      <c r="P2914" s="345">
        <v>13500</v>
      </c>
      <c r="Q2914" s="28">
        <v>0.14630000000000001</v>
      </c>
      <c r="U2914" s="29">
        <v>0.1</v>
      </c>
      <c r="W2914" s="741">
        <f t="shared" si="96"/>
        <v>2172.5550000000003</v>
      </c>
    </row>
    <row r="2915" spans="1:26" ht="15" customHeight="1">
      <c r="A2915" s="3">
        <v>39982</v>
      </c>
      <c r="B2915" s="4">
        <v>0</v>
      </c>
      <c r="D2915" s="5">
        <v>54200</v>
      </c>
      <c r="E2915" s="5">
        <f t="shared" si="97"/>
        <v>30175</v>
      </c>
      <c r="F2915" s="5">
        <v>84375</v>
      </c>
      <c r="K2915" s="24">
        <v>1639</v>
      </c>
      <c r="L2915" s="6">
        <v>1660</v>
      </c>
      <c r="M2915" s="270">
        <f t="shared" si="99"/>
        <v>21</v>
      </c>
      <c r="N2915" s="19"/>
      <c r="O2915" s="280"/>
      <c r="P2915" s="345">
        <v>13500</v>
      </c>
      <c r="Q2915" s="28">
        <v>0.14630000000000001</v>
      </c>
      <c r="U2915" s="29">
        <v>0.1</v>
      </c>
      <c r="W2915" s="741">
        <f t="shared" si="96"/>
        <v>2172.5550000000003</v>
      </c>
    </row>
    <row r="2916" spans="1:26" ht="15" customHeight="1">
      <c r="A2916" s="3">
        <v>39983</v>
      </c>
      <c r="B2916" s="4">
        <v>0</v>
      </c>
      <c r="D2916" s="5">
        <v>55200</v>
      </c>
      <c r="E2916" s="5">
        <f t="shared" si="97"/>
        <v>30600</v>
      </c>
      <c r="F2916" s="5">
        <v>85800</v>
      </c>
      <c r="K2916" s="24">
        <v>1700</v>
      </c>
      <c r="L2916" s="6">
        <v>1714</v>
      </c>
      <c r="M2916" s="270">
        <f t="shared" si="99"/>
        <v>14</v>
      </c>
      <c r="N2916" s="19"/>
      <c r="O2916" s="280"/>
      <c r="P2916" s="345">
        <v>13600</v>
      </c>
      <c r="Q2916" s="28">
        <v>0.14630000000000001</v>
      </c>
      <c r="U2916" s="29">
        <v>0.1</v>
      </c>
      <c r="W2916" s="741">
        <f t="shared" si="96"/>
        <v>2188.6480000000006</v>
      </c>
      <c r="Z2916" s="19"/>
    </row>
    <row r="2917" spans="1:26" ht="15" customHeight="1">
      <c r="A2917" s="3">
        <v>39986</v>
      </c>
      <c r="B2917" s="4">
        <v>0</v>
      </c>
      <c r="D2917" s="5">
        <v>55325</v>
      </c>
      <c r="E2917" s="5">
        <f t="shared" si="97"/>
        <v>30850</v>
      </c>
      <c r="F2917" s="5">
        <v>86175</v>
      </c>
      <c r="K2917" s="24">
        <v>1600</v>
      </c>
      <c r="L2917" s="6">
        <v>1617</v>
      </c>
      <c r="M2917" s="270">
        <f t="shared" si="99"/>
        <v>17</v>
      </c>
      <c r="N2917" s="19"/>
      <c r="O2917" s="280"/>
      <c r="P2917" s="345">
        <v>13550</v>
      </c>
      <c r="Q2917" s="28">
        <v>0.14630000000000001</v>
      </c>
      <c r="U2917" s="29">
        <v>0.1</v>
      </c>
      <c r="W2917" s="741">
        <f t="shared" si="96"/>
        <v>2180.6015000000002</v>
      </c>
    </row>
    <row r="2918" spans="1:26" ht="15" customHeight="1">
      <c r="A2918" s="3">
        <v>39987</v>
      </c>
      <c r="B2918" s="4">
        <v>0</v>
      </c>
      <c r="D2918" s="5">
        <v>55950</v>
      </c>
      <c r="E2918" s="5">
        <f t="shared" si="97"/>
        <v>30950</v>
      </c>
      <c r="F2918" s="5">
        <v>86900</v>
      </c>
      <c r="K2918" s="24">
        <v>1633</v>
      </c>
      <c r="L2918" s="6">
        <v>1650</v>
      </c>
      <c r="M2918" s="270">
        <f t="shared" si="99"/>
        <v>17</v>
      </c>
      <c r="N2918" s="19"/>
      <c r="O2918" s="280"/>
      <c r="P2918" s="345">
        <v>13500</v>
      </c>
      <c r="Q2918" s="28">
        <v>0.14630000000000001</v>
      </c>
      <c r="U2918" s="29">
        <v>0.1</v>
      </c>
      <c r="W2918" s="741">
        <f t="shared" si="96"/>
        <v>2172.5550000000003</v>
      </c>
    </row>
    <row r="2919" spans="1:26" ht="15" customHeight="1">
      <c r="A2919" s="3">
        <v>39988</v>
      </c>
      <c r="B2919" s="4">
        <v>0</v>
      </c>
      <c r="D2919" s="5">
        <v>56375</v>
      </c>
      <c r="E2919" s="5">
        <f t="shared" si="97"/>
        <v>31225</v>
      </c>
      <c r="F2919" s="5">
        <v>87600</v>
      </c>
      <c r="K2919" s="24">
        <v>1645</v>
      </c>
      <c r="L2919" s="6">
        <v>1660</v>
      </c>
      <c r="M2919" s="270">
        <f t="shared" si="99"/>
        <v>15</v>
      </c>
      <c r="N2919" s="19"/>
      <c r="O2919" s="280"/>
      <c r="P2919" s="345">
        <v>13450</v>
      </c>
      <c r="Q2919" s="28">
        <v>0.14630000000000001</v>
      </c>
      <c r="U2919" s="29">
        <v>0.1</v>
      </c>
      <c r="W2919" s="741">
        <f t="shared" si="96"/>
        <v>2164.5085000000004</v>
      </c>
    </row>
    <row r="2920" spans="1:26" ht="15" customHeight="1">
      <c r="A2920" s="3">
        <v>39989</v>
      </c>
      <c r="B2920" s="4">
        <v>0</v>
      </c>
      <c r="D2920" s="5">
        <v>57075</v>
      </c>
      <c r="E2920" s="5">
        <f t="shared" si="97"/>
        <v>31225</v>
      </c>
      <c r="F2920" s="5">
        <v>88300</v>
      </c>
      <c r="K2920" s="24">
        <v>1710</v>
      </c>
      <c r="L2920" s="6">
        <v>1720</v>
      </c>
      <c r="M2920" s="270">
        <f t="shared" si="99"/>
        <v>10</v>
      </c>
      <c r="N2920" s="19"/>
      <c r="O2920" s="280"/>
      <c r="P2920" s="345">
        <v>13525</v>
      </c>
      <c r="Q2920" s="28">
        <v>0.1464</v>
      </c>
      <c r="U2920" s="29">
        <v>0.1</v>
      </c>
      <c r="W2920" s="741">
        <f t="shared" si="96"/>
        <v>2178.0660000000003</v>
      </c>
    </row>
    <row r="2921" spans="1:26" ht="15" customHeight="1">
      <c r="A2921" s="3">
        <v>39990</v>
      </c>
      <c r="B2921" s="4">
        <v>0</v>
      </c>
      <c r="D2921" s="5">
        <v>57150</v>
      </c>
      <c r="E2921" s="5">
        <f t="shared" si="97"/>
        <v>31425</v>
      </c>
      <c r="F2921" s="5">
        <v>88575</v>
      </c>
      <c r="K2921" s="24">
        <v>1718</v>
      </c>
      <c r="L2921" s="6">
        <v>1734</v>
      </c>
      <c r="M2921" s="270">
        <f t="shared" si="99"/>
        <v>16</v>
      </c>
      <c r="N2921" s="19"/>
      <c r="O2921" s="280"/>
      <c r="P2921" s="345">
        <v>13650</v>
      </c>
      <c r="Q2921" s="28">
        <v>0.14630000000000001</v>
      </c>
      <c r="U2921" s="29">
        <v>0.1</v>
      </c>
      <c r="W2921" s="741">
        <f t="shared" si="96"/>
        <v>2196.6945000000005</v>
      </c>
    </row>
    <row r="2922" spans="1:26" ht="15" customHeight="1">
      <c r="A2922" s="3">
        <v>39993</v>
      </c>
      <c r="B2922" s="4">
        <v>0</v>
      </c>
      <c r="D2922" s="5">
        <v>57400</v>
      </c>
      <c r="E2922" s="5">
        <f t="shared" si="97"/>
        <v>31800</v>
      </c>
      <c r="F2922" s="5">
        <v>89200</v>
      </c>
      <c r="K2922" s="24">
        <v>1709</v>
      </c>
      <c r="L2922" s="6">
        <v>1720</v>
      </c>
      <c r="M2922" s="270">
        <f t="shared" si="99"/>
        <v>11</v>
      </c>
      <c r="N2922" s="19"/>
      <c r="O2922" s="280"/>
      <c r="P2922" s="345">
        <v>13650</v>
      </c>
      <c r="Q2922" s="28">
        <v>0.14630000000000001</v>
      </c>
      <c r="U2922" s="29">
        <v>0.1</v>
      </c>
      <c r="W2922" s="741">
        <f t="shared" si="96"/>
        <v>2196.6945000000005</v>
      </c>
    </row>
    <row r="2923" spans="1:26" ht="15" customHeight="1" thickBot="1">
      <c r="A2923" s="12">
        <v>39994</v>
      </c>
      <c r="B2923" s="13">
        <v>0</v>
      </c>
      <c r="C2923" s="13"/>
      <c r="D2923" s="14">
        <v>57800</v>
      </c>
      <c r="E2923" s="14">
        <f t="shared" si="97"/>
        <v>31925</v>
      </c>
      <c r="F2923" s="14">
        <v>89725</v>
      </c>
      <c r="G2923" s="14"/>
      <c r="H2923" s="14"/>
      <c r="I2923" s="14"/>
      <c r="J2923" s="264"/>
      <c r="K2923" s="25">
        <v>1730</v>
      </c>
      <c r="L2923" s="15">
        <v>1735</v>
      </c>
      <c r="M2923" s="271">
        <f t="shared" si="99"/>
        <v>5</v>
      </c>
      <c r="N2923" s="160">
        <f>AVERAGE(K2902:K2923)</f>
        <v>1674.4545454545455</v>
      </c>
      <c r="O2923" s="286">
        <f>AVERAGE(K2796:K2923)</f>
        <v>1329.9758064516129</v>
      </c>
      <c r="P2923" s="346">
        <v>13600</v>
      </c>
      <c r="Q2923" s="30">
        <v>0.14630000000000001</v>
      </c>
      <c r="R2923" s="30"/>
      <c r="S2923" s="30"/>
      <c r="T2923" s="30"/>
      <c r="U2923" s="31">
        <v>0.1</v>
      </c>
      <c r="V2923" s="46">
        <f>AVERAGE(P2902:P2923)</f>
        <v>13173.863636363636</v>
      </c>
      <c r="W2923" s="741">
        <f t="shared" si="96"/>
        <v>2188.6480000000006</v>
      </c>
    </row>
    <row r="2924" spans="1:26" ht="15" customHeight="1">
      <c r="A2924" s="3">
        <v>39995</v>
      </c>
      <c r="B2924" s="4">
        <v>0</v>
      </c>
      <c r="D2924" s="5">
        <v>58200</v>
      </c>
      <c r="E2924" s="5">
        <f t="shared" si="97"/>
        <v>33450</v>
      </c>
      <c r="F2924" s="5">
        <v>91650</v>
      </c>
      <c r="K2924" s="24">
        <v>1695</v>
      </c>
      <c r="L2924" s="6">
        <v>1706</v>
      </c>
      <c r="M2924" s="270">
        <f t="shared" si="99"/>
        <v>11</v>
      </c>
      <c r="N2924" s="21"/>
      <c r="O2924" s="283"/>
      <c r="P2924" s="345">
        <v>13450</v>
      </c>
      <c r="Q2924" s="28">
        <v>0.1464</v>
      </c>
      <c r="U2924" s="29">
        <v>0.1</v>
      </c>
      <c r="W2924" s="741">
        <f t="shared" si="96"/>
        <v>2165.9880000000003</v>
      </c>
    </row>
    <row r="2925" spans="1:26" ht="15" customHeight="1">
      <c r="A2925" s="3">
        <v>39996</v>
      </c>
      <c r="B2925" s="4">
        <v>0</v>
      </c>
      <c r="D2925" s="5">
        <v>58800</v>
      </c>
      <c r="E2925" s="5">
        <f t="shared" si="97"/>
        <v>32850</v>
      </c>
      <c r="F2925" s="5">
        <v>91650</v>
      </c>
      <c r="K2925" s="24">
        <v>1708</v>
      </c>
      <c r="L2925" s="6">
        <v>1730</v>
      </c>
      <c r="M2925" s="270">
        <f t="shared" si="99"/>
        <v>22</v>
      </c>
      <c r="N2925" s="19"/>
      <c r="O2925" s="280"/>
      <c r="P2925" s="345">
        <v>13675</v>
      </c>
      <c r="Q2925" s="28">
        <v>0.14630000000000001</v>
      </c>
      <c r="U2925" s="29">
        <v>0.1</v>
      </c>
      <c r="W2925" s="741">
        <f t="shared" ref="W2925:W2988" si="100">(P2925*Q2925)*(1+U2925)</f>
        <v>2200.7177500000003</v>
      </c>
    </row>
    <row r="2926" spans="1:26" ht="15" customHeight="1">
      <c r="A2926" s="3">
        <v>39997</v>
      </c>
      <c r="B2926" s="4">
        <v>0</v>
      </c>
      <c r="D2926" s="5">
        <v>59050</v>
      </c>
      <c r="E2926" s="5">
        <f t="shared" si="97"/>
        <v>33450</v>
      </c>
      <c r="F2926" s="5">
        <v>92500</v>
      </c>
      <c r="K2926" s="24">
        <v>1690.5</v>
      </c>
      <c r="L2926" s="6">
        <v>1715</v>
      </c>
      <c r="M2926" s="270">
        <f t="shared" si="99"/>
        <v>24.5</v>
      </c>
      <c r="N2926" s="19"/>
      <c r="O2926" s="280"/>
      <c r="P2926" s="345">
        <v>13550</v>
      </c>
      <c r="Q2926" s="28">
        <v>0.1464</v>
      </c>
      <c r="U2926" s="29">
        <v>0.1</v>
      </c>
      <c r="W2926" s="741">
        <f t="shared" si="100"/>
        <v>2182.0920000000001</v>
      </c>
    </row>
    <row r="2927" spans="1:26" ht="15" customHeight="1">
      <c r="A2927" s="3">
        <v>40000</v>
      </c>
      <c r="B2927" s="4">
        <v>0</v>
      </c>
      <c r="D2927" s="5">
        <v>59175</v>
      </c>
      <c r="E2927" s="5">
        <f t="shared" si="97"/>
        <v>33525</v>
      </c>
      <c r="F2927" s="5">
        <v>92700</v>
      </c>
      <c r="K2927" s="24">
        <v>1653</v>
      </c>
      <c r="L2927" s="6">
        <v>1662</v>
      </c>
      <c r="M2927" s="270">
        <f t="shared" si="99"/>
        <v>9</v>
      </c>
      <c r="N2927" s="19"/>
      <c r="O2927" s="280"/>
      <c r="P2927" s="345">
        <v>13550</v>
      </c>
      <c r="Q2927" s="28">
        <v>0.1464</v>
      </c>
      <c r="U2927" s="29">
        <v>0.1</v>
      </c>
      <c r="W2927" s="741">
        <f t="shared" si="100"/>
        <v>2182.0920000000001</v>
      </c>
    </row>
    <row r="2928" spans="1:26" ht="15" customHeight="1">
      <c r="A2928" s="3">
        <v>40001</v>
      </c>
      <c r="B2928" s="4">
        <v>0</v>
      </c>
      <c r="D2928" s="5">
        <v>59175</v>
      </c>
      <c r="E2928" s="5">
        <f t="shared" si="97"/>
        <v>33575</v>
      </c>
      <c r="F2928" s="5">
        <v>92750</v>
      </c>
      <c r="K2928" s="24">
        <v>1714.5</v>
      </c>
      <c r="L2928" s="6">
        <v>1727</v>
      </c>
      <c r="M2928" s="270">
        <f t="shared" si="99"/>
        <v>12.5</v>
      </c>
      <c r="N2928" s="19"/>
      <c r="O2928" s="280"/>
      <c r="P2928" s="345">
        <v>13400</v>
      </c>
      <c r="Q2928" s="28">
        <v>0.14630000000000001</v>
      </c>
      <c r="U2928" s="29">
        <v>0.1</v>
      </c>
      <c r="W2928" s="741">
        <f t="shared" si="100"/>
        <v>2156.4620000000004</v>
      </c>
    </row>
    <row r="2929" spans="1:23" ht="15" customHeight="1">
      <c r="A2929" s="3">
        <v>40002</v>
      </c>
      <c r="B2929" s="4">
        <v>0</v>
      </c>
      <c r="D2929" s="5">
        <v>59175</v>
      </c>
      <c r="E2929" s="5">
        <f t="shared" si="97"/>
        <v>33775</v>
      </c>
      <c r="F2929" s="5">
        <v>92950</v>
      </c>
      <c r="K2929" s="24">
        <v>1625</v>
      </c>
      <c r="L2929" s="6">
        <v>1640</v>
      </c>
      <c r="M2929" s="270">
        <f t="shared" si="99"/>
        <v>15</v>
      </c>
      <c r="N2929" s="19"/>
      <c r="O2929" s="280"/>
      <c r="P2929" s="345">
        <v>13400</v>
      </c>
      <c r="Q2929" s="28">
        <v>0.1464</v>
      </c>
      <c r="U2929" s="29">
        <v>0.1</v>
      </c>
      <c r="W2929" s="741">
        <f t="shared" si="100"/>
        <v>2157.9360000000001</v>
      </c>
    </row>
    <row r="2930" spans="1:23" ht="15" customHeight="1">
      <c r="A2930" s="3">
        <v>40003</v>
      </c>
      <c r="B2930" s="4">
        <v>0</v>
      </c>
      <c r="D2930" s="5">
        <v>59425</v>
      </c>
      <c r="E2930" s="5">
        <f t="shared" si="97"/>
        <v>33775</v>
      </c>
      <c r="F2930" s="5">
        <v>93200</v>
      </c>
      <c r="K2930" s="24">
        <v>1594.5</v>
      </c>
      <c r="L2930" s="6">
        <v>1621</v>
      </c>
      <c r="M2930" s="270">
        <f t="shared" si="99"/>
        <v>26.5</v>
      </c>
      <c r="N2930" s="19"/>
      <c r="O2930" s="280"/>
      <c r="P2930" s="345">
        <v>13350</v>
      </c>
      <c r="Q2930" s="28">
        <v>0.1464</v>
      </c>
      <c r="U2930" s="29">
        <v>0.1</v>
      </c>
      <c r="W2930" s="741">
        <f t="shared" si="100"/>
        <v>2149.884</v>
      </c>
    </row>
    <row r="2931" spans="1:23" ht="15" customHeight="1">
      <c r="A2931" s="3">
        <v>40004</v>
      </c>
      <c r="B2931" s="4">
        <v>0</v>
      </c>
      <c r="D2931" s="5">
        <v>59550</v>
      </c>
      <c r="E2931" s="5">
        <f t="shared" si="97"/>
        <v>34075</v>
      </c>
      <c r="F2931" s="5">
        <v>93625</v>
      </c>
      <c r="K2931" s="24">
        <v>1594</v>
      </c>
      <c r="L2931" s="6">
        <v>1615</v>
      </c>
      <c r="M2931" s="270">
        <f t="shared" si="99"/>
        <v>21</v>
      </c>
      <c r="N2931" s="19"/>
      <c r="O2931" s="280"/>
      <c r="P2931" s="345">
        <v>13350</v>
      </c>
      <c r="Q2931" s="28">
        <v>0.1464</v>
      </c>
      <c r="U2931" s="29">
        <v>0.1</v>
      </c>
      <c r="W2931" s="741">
        <f t="shared" si="100"/>
        <v>2149.884</v>
      </c>
    </row>
    <row r="2932" spans="1:23" ht="15" customHeight="1">
      <c r="A2932" s="3">
        <v>40007</v>
      </c>
      <c r="B2932" s="4">
        <v>0</v>
      </c>
      <c r="D2932" s="5">
        <v>59575</v>
      </c>
      <c r="E2932" s="5">
        <f t="shared" si="97"/>
        <v>33875</v>
      </c>
      <c r="F2932" s="5">
        <v>93450</v>
      </c>
      <c r="K2932" s="24">
        <v>1567</v>
      </c>
      <c r="L2932" s="6">
        <v>1595</v>
      </c>
      <c r="M2932" s="270">
        <f t="shared" si="99"/>
        <v>28</v>
      </c>
      <c r="N2932" s="19"/>
      <c r="O2932" s="280"/>
      <c r="P2932" s="345">
        <v>13350</v>
      </c>
      <c r="Q2932" s="28">
        <v>0.1464</v>
      </c>
      <c r="U2932" s="29">
        <v>0.1</v>
      </c>
      <c r="W2932" s="741">
        <f t="shared" si="100"/>
        <v>2149.884</v>
      </c>
    </row>
    <row r="2933" spans="1:23" ht="15" customHeight="1">
      <c r="A2933" s="3">
        <v>40008</v>
      </c>
      <c r="B2933" s="4">
        <v>0</v>
      </c>
      <c r="D2933" s="5">
        <v>59850</v>
      </c>
      <c r="E2933" s="5">
        <f t="shared" si="97"/>
        <v>33975</v>
      </c>
      <c r="F2933" s="5">
        <v>93825</v>
      </c>
      <c r="K2933" s="24">
        <v>1569</v>
      </c>
      <c r="L2933" s="6">
        <v>1590</v>
      </c>
      <c r="M2933" s="270">
        <f t="shared" si="99"/>
        <v>21</v>
      </c>
      <c r="N2933" s="19"/>
      <c r="O2933" s="280"/>
      <c r="P2933" s="345">
        <v>13125</v>
      </c>
      <c r="Q2933" s="28">
        <v>0.1464</v>
      </c>
      <c r="U2933" s="29">
        <v>0.1</v>
      </c>
      <c r="W2933" s="741">
        <f t="shared" si="100"/>
        <v>2113.65</v>
      </c>
    </row>
    <row r="2934" spans="1:23" ht="15" customHeight="1">
      <c r="A2934" s="3">
        <v>40009</v>
      </c>
      <c r="B2934" s="4">
        <v>0</v>
      </c>
      <c r="D2934" s="5">
        <v>59600</v>
      </c>
      <c r="E2934" s="5">
        <f t="shared" si="97"/>
        <v>34025</v>
      </c>
      <c r="F2934" s="5">
        <v>93625</v>
      </c>
      <c r="K2934" s="24">
        <v>1611</v>
      </c>
      <c r="L2934" s="6">
        <v>1635</v>
      </c>
      <c r="M2934" s="270">
        <f t="shared" si="99"/>
        <v>24</v>
      </c>
      <c r="N2934" s="19"/>
      <c r="O2934" s="280"/>
      <c r="P2934" s="345">
        <v>13125</v>
      </c>
      <c r="Q2934" s="28">
        <v>0.1464</v>
      </c>
      <c r="U2934" s="29">
        <v>0.1</v>
      </c>
      <c r="W2934" s="741">
        <f t="shared" si="100"/>
        <v>2113.65</v>
      </c>
    </row>
    <row r="2935" spans="1:23" ht="15" customHeight="1">
      <c r="A2935" s="3">
        <v>40010</v>
      </c>
      <c r="B2935" s="4">
        <v>0</v>
      </c>
      <c r="D2935" s="5">
        <v>60350</v>
      </c>
      <c r="E2935" s="5">
        <f t="shared" si="97"/>
        <v>33950</v>
      </c>
      <c r="F2935" s="5">
        <v>94300</v>
      </c>
      <c r="K2935" s="24">
        <v>1600.5</v>
      </c>
      <c r="L2935" s="6">
        <v>1620</v>
      </c>
      <c r="M2935" s="270">
        <f t="shared" si="99"/>
        <v>19.5</v>
      </c>
      <c r="N2935" s="19"/>
      <c r="O2935" s="280"/>
      <c r="P2935" s="345">
        <v>13250</v>
      </c>
      <c r="Q2935" s="28">
        <v>0.1464</v>
      </c>
      <c r="U2935" s="29">
        <v>0.1</v>
      </c>
      <c r="W2935" s="741">
        <f t="shared" si="100"/>
        <v>2133.7800000000002</v>
      </c>
    </row>
    <row r="2936" spans="1:23" ht="15" customHeight="1">
      <c r="A2936" s="3">
        <v>40011</v>
      </c>
      <c r="B2936" s="4">
        <v>0</v>
      </c>
      <c r="D2936" s="5">
        <v>60450</v>
      </c>
      <c r="E2936" s="5">
        <f t="shared" si="97"/>
        <v>34200</v>
      </c>
      <c r="F2936" s="5">
        <v>94650</v>
      </c>
      <c r="K2936" s="24">
        <v>1604</v>
      </c>
      <c r="L2936" s="6">
        <v>1623</v>
      </c>
      <c r="M2936" s="270">
        <f t="shared" si="99"/>
        <v>19</v>
      </c>
      <c r="N2936" s="19"/>
      <c r="O2936" s="280"/>
      <c r="P2936" s="345">
        <v>13200</v>
      </c>
      <c r="Q2936" s="28">
        <v>0.1464</v>
      </c>
      <c r="U2936" s="29">
        <v>0.1</v>
      </c>
      <c r="W2936" s="741">
        <f t="shared" si="100"/>
        <v>2125.7280000000001</v>
      </c>
    </row>
    <row r="2937" spans="1:23" ht="15" customHeight="1">
      <c r="A2937" s="3">
        <v>40014</v>
      </c>
      <c r="B2937" s="4">
        <v>0</v>
      </c>
      <c r="D2937" s="5">
        <v>60575</v>
      </c>
      <c r="E2937" s="5">
        <f t="shared" si="97"/>
        <v>34325</v>
      </c>
      <c r="F2937" s="5">
        <v>94900</v>
      </c>
      <c r="K2937" s="24">
        <v>1699</v>
      </c>
      <c r="L2937" s="6">
        <v>1718.5</v>
      </c>
      <c r="M2937" s="270">
        <f t="shared" si="99"/>
        <v>19.5</v>
      </c>
      <c r="N2937" s="19"/>
      <c r="O2937" s="280"/>
      <c r="P2937" s="345">
        <v>13400</v>
      </c>
      <c r="Q2937" s="28">
        <v>0.1464</v>
      </c>
      <c r="U2937" s="29">
        <v>0.1</v>
      </c>
      <c r="W2937" s="741">
        <f t="shared" si="100"/>
        <v>2157.9360000000001</v>
      </c>
    </row>
    <row r="2938" spans="1:23" ht="15" customHeight="1">
      <c r="A2938" s="3">
        <v>40015</v>
      </c>
      <c r="B2938" s="4">
        <v>0</v>
      </c>
      <c r="D2938" s="5">
        <v>60725</v>
      </c>
      <c r="E2938" s="5">
        <f t="shared" si="97"/>
        <v>34325</v>
      </c>
      <c r="F2938" s="5">
        <v>95050</v>
      </c>
      <c r="K2938" s="24">
        <v>1674.5</v>
      </c>
      <c r="L2938" s="6">
        <v>1698</v>
      </c>
      <c r="M2938" s="270">
        <f t="shared" si="99"/>
        <v>23.5</v>
      </c>
      <c r="N2938" s="19"/>
      <c r="O2938" s="280"/>
      <c r="P2938" s="345">
        <v>13450</v>
      </c>
      <c r="Q2938" s="28">
        <v>0.1464</v>
      </c>
      <c r="U2938" s="29">
        <v>0.1</v>
      </c>
      <c r="W2938" s="741">
        <f t="shared" si="100"/>
        <v>2165.9880000000003</v>
      </c>
    </row>
    <row r="2939" spans="1:23" ht="15" customHeight="1">
      <c r="A2939" s="3">
        <v>40016</v>
      </c>
      <c r="B2939" s="4">
        <v>0</v>
      </c>
      <c r="D2939" s="5">
        <v>60625</v>
      </c>
      <c r="E2939" s="5">
        <f t="shared" si="97"/>
        <v>34325</v>
      </c>
      <c r="F2939" s="5">
        <v>94950</v>
      </c>
      <c r="K2939" s="24">
        <v>1658</v>
      </c>
      <c r="L2939" s="6">
        <v>1680</v>
      </c>
      <c r="M2939" s="270">
        <f t="shared" si="99"/>
        <v>22</v>
      </c>
      <c r="N2939" s="19"/>
      <c r="O2939" s="280"/>
      <c r="P2939" s="345">
        <v>13400</v>
      </c>
      <c r="Q2939" s="28">
        <v>0.1464</v>
      </c>
      <c r="U2939" s="29">
        <v>0.1</v>
      </c>
      <c r="W2939" s="741">
        <f t="shared" si="100"/>
        <v>2157.9360000000001</v>
      </c>
    </row>
    <row r="2940" spans="1:23" ht="15" customHeight="1">
      <c r="A2940" s="3">
        <v>40017</v>
      </c>
      <c r="B2940" s="4">
        <v>0</v>
      </c>
      <c r="D2940" s="5">
        <v>61075</v>
      </c>
      <c r="E2940" s="5">
        <f t="shared" si="97"/>
        <v>34350</v>
      </c>
      <c r="F2940" s="5">
        <v>95425</v>
      </c>
      <c r="K2940" s="24">
        <v>1699</v>
      </c>
      <c r="L2940" s="6">
        <v>1720</v>
      </c>
      <c r="M2940" s="270">
        <f t="shared" si="99"/>
        <v>21</v>
      </c>
      <c r="N2940" s="19"/>
      <c r="O2940" s="280"/>
      <c r="P2940" s="345">
        <v>13400</v>
      </c>
      <c r="Q2940" s="28">
        <v>0.1464</v>
      </c>
      <c r="U2940" s="29">
        <v>0.1</v>
      </c>
      <c r="W2940" s="741">
        <f t="shared" si="100"/>
        <v>2157.9360000000001</v>
      </c>
    </row>
    <row r="2941" spans="1:23" ht="15" customHeight="1">
      <c r="A2941" s="3">
        <v>40018</v>
      </c>
      <c r="B2941" s="4">
        <v>0</v>
      </c>
      <c r="D2941" s="5">
        <v>61150</v>
      </c>
      <c r="E2941" s="5">
        <f t="shared" si="97"/>
        <v>34350</v>
      </c>
      <c r="F2941" s="5">
        <v>95500</v>
      </c>
      <c r="K2941" s="24">
        <v>1739</v>
      </c>
      <c r="L2941" s="6">
        <v>1758</v>
      </c>
      <c r="M2941" s="270">
        <f t="shared" si="99"/>
        <v>19</v>
      </c>
      <c r="N2941" s="19"/>
      <c r="O2941" s="280"/>
      <c r="P2941" s="345">
        <v>13400</v>
      </c>
      <c r="Q2941" s="28">
        <v>0.1464</v>
      </c>
      <c r="U2941" s="29">
        <v>0.1</v>
      </c>
      <c r="W2941" s="741">
        <f t="shared" si="100"/>
        <v>2157.9360000000001</v>
      </c>
    </row>
    <row r="2942" spans="1:23" ht="15" customHeight="1">
      <c r="A2942" s="3">
        <v>40021</v>
      </c>
      <c r="B2942" s="4">
        <v>0</v>
      </c>
      <c r="D2942" s="5">
        <v>61050</v>
      </c>
      <c r="E2942" s="5">
        <f t="shared" si="97"/>
        <v>34600</v>
      </c>
      <c r="F2942" s="5">
        <v>95650</v>
      </c>
      <c r="K2942" s="24">
        <v>1789</v>
      </c>
      <c r="L2942" s="6">
        <v>1799.5</v>
      </c>
      <c r="M2942" s="270">
        <f t="shared" si="99"/>
        <v>10.5</v>
      </c>
      <c r="N2942" s="19"/>
      <c r="O2942" s="280"/>
      <c r="P2942" s="345">
        <v>13450</v>
      </c>
      <c r="Q2942" s="28">
        <v>0.1464</v>
      </c>
      <c r="U2942" s="29">
        <v>0.1</v>
      </c>
      <c r="W2942" s="741">
        <f t="shared" si="100"/>
        <v>2165.9880000000003</v>
      </c>
    </row>
    <row r="2943" spans="1:23" ht="15" customHeight="1">
      <c r="A2943" s="3">
        <v>40022</v>
      </c>
      <c r="B2943" s="4">
        <v>0</v>
      </c>
      <c r="D2943" s="5">
        <v>63675</v>
      </c>
      <c r="E2943" s="5">
        <f t="shared" si="97"/>
        <v>34875</v>
      </c>
      <c r="F2943" s="5">
        <v>98550</v>
      </c>
      <c r="K2943" s="24">
        <v>1774</v>
      </c>
      <c r="L2943" s="6">
        <v>1795</v>
      </c>
      <c r="M2943" s="270">
        <f t="shared" si="99"/>
        <v>21</v>
      </c>
      <c r="N2943" s="19"/>
      <c r="O2943" s="280"/>
      <c r="P2943" s="345">
        <v>13600</v>
      </c>
      <c r="Q2943" s="28">
        <v>0.1464</v>
      </c>
      <c r="U2943" s="29">
        <v>0.1</v>
      </c>
      <c r="W2943" s="741">
        <f t="shared" si="100"/>
        <v>2190.1440000000002</v>
      </c>
    </row>
    <row r="2944" spans="1:23" ht="15" customHeight="1">
      <c r="A2944" s="3">
        <v>40023</v>
      </c>
      <c r="B2944" s="4">
        <v>0</v>
      </c>
      <c r="D2944" s="5">
        <v>66225</v>
      </c>
      <c r="E2944" s="5">
        <f t="shared" si="97"/>
        <v>34825</v>
      </c>
      <c r="F2944" s="5">
        <v>101050</v>
      </c>
      <c r="K2944" s="24">
        <v>1732.5</v>
      </c>
      <c r="L2944" s="6">
        <v>1757</v>
      </c>
      <c r="M2944" s="270">
        <f t="shared" si="99"/>
        <v>24.5</v>
      </c>
      <c r="N2944" s="19"/>
      <c r="O2944" s="280"/>
      <c r="P2944" s="345">
        <v>13500</v>
      </c>
      <c r="Q2944" s="28">
        <v>0.1464</v>
      </c>
      <c r="U2944" s="29">
        <v>0.1</v>
      </c>
      <c r="W2944" s="741">
        <f t="shared" si="100"/>
        <v>2174.0400000000004</v>
      </c>
    </row>
    <row r="2945" spans="1:26" ht="15" customHeight="1">
      <c r="A2945" s="3">
        <v>40024</v>
      </c>
      <c r="B2945" s="4">
        <v>0</v>
      </c>
      <c r="D2945" s="5">
        <v>69150</v>
      </c>
      <c r="E2945" s="5">
        <f t="shared" si="97"/>
        <v>35800</v>
      </c>
      <c r="F2945" s="5">
        <v>104950</v>
      </c>
      <c r="K2945" s="24">
        <v>1774.5</v>
      </c>
      <c r="L2945" s="6">
        <v>1795</v>
      </c>
      <c r="M2945" s="270">
        <f t="shared" si="99"/>
        <v>20.5</v>
      </c>
      <c r="N2945" s="19"/>
      <c r="O2945" s="280"/>
      <c r="P2945" s="345">
        <v>13400</v>
      </c>
      <c r="Q2945" s="28">
        <v>0.1464</v>
      </c>
      <c r="U2945" s="29">
        <v>0.1</v>
      </c>
      <c r="W2945" s="741">
        <f t="shared" si="100"/>
        <v>2157.9360000000001</v>
      </c>
    </row>
    <row r="2946" spans="1:26" ht="15" customHeight="1" thickBot="1">
      <c r="A2946" s="12">
        <v>40025</v>
      </c>
      <c r="B2946" s="13">
        <v>0</v>
      </c>
      <c r="C2946" s="13"/>
      <c r="D2946" s="14">
        <v>71775</v>
      </c>
      <c r="E2946" s="14">
        <f t="shared" si="97"/>
        <v>35800</v>
      </c>
      <c r="F2946" s="14">
        <v>107575</v>
      </c>
      <c r="G2946" s="14"/>
      <c r="H2946" s="14"/>
      <c r="I2946" s="14"/>
      <c r="J2946" s="264"/>
      <c r="K2946" s="25">
        <v>1842.5</v>
      </c>
      <c r="L2946" s="15">
        <v>1862</v>
      </c>
      <c r="M2946" s="271">
        <f t="shared" si="99"/>
        <v>19.5</v>
      </c>
      <c r="N2946" s="160">
        <f>AVERAGE(K2924:K2946)</f>
        <v>1678.608695652174</v>
      </c>
      <c r="O2946" s="286">
        <f>AVERAGE(K2796:K2946)</f>
        <v>1384.5238095238096</v>
      </c>
      <c r="P2946" s="346">
        <v>13500</v>
      </c>
      <c r="Q2946" s="30">
        <v>0.1464</v>
      </c>
      <c r="R2946" s="30"/>
      <c r="S2946" s="30"/>
      <c r="T2946" s="30"/>
      <c r="U2946" s="31">
        <v>0.1</v>
      </c>
      <c r="V2946" s="46">
        <f>AVERAGE(P2924:P2946)</f>
        <v>13403.260869565218</v>
      </c>
      <c r="W2946" s="741">
        <f t="shared" si="100"/>
        <v>2174.0400000000004</v>
      </c>
    </row>
    <row r="2947" spans="1:26" ht="15" customHeight="1">
      <c r="A2947" s="3">
        <v>40028</v>
      </c>
      <c r="B2947" s="4">
        <v>0</v>
      </c>
      <c r="D2947" s="5">
        <v>71500</v>
      </c>
      <c r="E2947" s="5">
        <f t="shared" si="97"/>
        <v>35800</v>
      </c>
      <c r="F2947" s="5">
        <v>107300</v>
      </c>
      <c r="K2947" s="24">
        <v>1949</v>
      </c>
      <c r="L2947" s="6">
        <v>1954</v>
      </c>
      <c r="M2947" s="270">
        <f t="shared" si="99"/>
        <v>5</v>
      </c>
      <c r="N2947" s="21"/>
      <c r="O2947" s="283"/>
      <c r="P2947" s="345">
        <v>13800</v>
      </c>
      <c r="Q2947" s="28">
        <v>0.1464</v>
      </c>
      <c r="U2947" s="29">
        <v>0.1</v>
      </c>
      <c r="W2947" s="741">
        <f t="shared" si="100"/>
        <v>2222.3520000000003</v>
      </c>
      <c r="Z2947" s="19"/>
    </row>
    <row r="2948" spans="1:26" ht="15" customHeight="1">
      <c r="A2948" s="3">
        <v>40029</v>
      </c>
      <c r="B2948" s="4">
        <v>0</v>
      </c>
      <c r="D2948" s="5">
        <v>74500</v>
      </c>
      <c r="E2948" s="5">
        <f t="shared" si="97"/>
        <v>36050</v>
      </c>
      <c r="F2948" s="5">
        <v>110550</v>
      </c>
      <c r="K2948" s="24">
        <v>1894</v>
      </c>
      <c r="L2948" s="6">
        <v>1905.5</v>
      </c>
      <c r="M2948" s="270">
        <f t="shared" si="99"/>
        <v>11.5</v>
      </c>
      <c r="N2948" s="19"/>
      <c r="O2948" s="280"/>
      <c r="P2948" s="345">
        <v>13950</v>
      </c>
      <c r="Q2948" s="28">
        <v>0.1464</v>
      </c>
      <c r="U2948" s="29">
        <v>0.1</v>
      </c>
      <c r="W2948" s="741">
        <f t="shared" si="100"/>
        <v>2246.5080000000003</v>
      </c>
    </row>
    <row r="2949" spans="1:26" ht="15" customHeight="1">
      <c r="A2949" s="3">
        <v>40030</v>
      </c>
      <c r="B2949" s="4">
        <v>0</v>
      </c>
      <c r="D2949" s="5">
        <v>74625</v>
      </c>
      <c r="E2949" s="5">
        <f t="shared" si="97"/>
        <v>38175</v>
      </c>
      <c r="F2949" s="5">
        <v>112800</v>
      </c>
      <c r="K2949" s="24">
        <v>1930.5</v>
      </c>
      <c r="L2949" s="6">
        <v>1936</v>
      </c>
      <c r="M2949" s="270">
        <f t="shared" si="99"/>
        <v>5.5</v>
      </c>
      <c r="N2949" s="19"/>
      <c r="O2949" s="280"/>
      <c r="P2949" s="345">
        <v>13950</v>
      </c>
      <c r="Q2949" s="28">
        <v>0.1464</v>
      </c>
      <c r="U2949" s="29">
        <v>0.1</v>
      </c>
      <c r="W2949" s="741">
        <f t="shared" si="100"/>
        <v>2246.5080000000003</v>
      </c>
    </row>
    <row r="2950" spans="1:26" ht="15" customHeight="1">
      <c r="A2950" s="3">
        <v>40031</v>
      </c>
      <c r="B2950" s="4">
        <v>0</v>
      </c>
      <c r="D2950" s="5">
        <v>75950</v>
      </c>
      <c r="E2950" s="5">
        <f t="shared" si="97"/>
        <v>38175</v>
      </c>
      <c r="F2950" s="5">
        <v>114125</v>
      </c>
      <c r="K2950" s="24">
        <v>1897</v>
      </c>
      <c r="L2950" s="6">
        <v>1915</v>
      </c>
      <c r="M2950" s="270">
        <f t="shared" si="99"/>
        <v>18</v>
      </c>
      <c r="N2950" s="19"/>
      <c r="O2950" s="280"/>
      <c r="P2950" s="345">
        <v>13950</v>
      </c>
      <c r="Q2950" s="28">
        <v>0.1464</v>
      </c>
      <c r="U2950" s="29">
        <v>0.1</v>
      </c>
      <c r="W2950" s="741">
        <f t="shared" si="100"/>
        <v>2246.5080000000003</v>
      </c>
    </row>
    <row r="2951" spans="1:26" ht="15" customHeight="1">
      <c r="A2951" s="3">
        <v>40032</v>
      </c>
      <c r="B2951" s="4">
        <v>0</v>
      </c>
      <c r="D2951" s="5">
        <v>75725</v>
      </c>
      <c r="E2951" s="5">
        <f t="shared" si="97"/>
        <v>38325</v>
      </c>
      <c r="F2951" s="5">
        <v>114050</v>
      </c>
      <c r="K2951" s="24">
        <v>1815.5</v>
      </c>
      <c r="L2951" s="6">
        <v>1835</v>
      </c>
      <c r="M2951" s="270">
        <f t="shared" si="99"/>
        <v>19.5</v>
      </c>
      <c r="N2951" s="19"/>
      <c r="O2951" s="280"/>
      <c r="P2951" s="345">
        <v>13900</v>
      </c>
      <c r="Q2951" s="28">
        <v>0.1464</v>
      </c>
      <c r="U2951" s="29">
        <v>0.1</v>
      </c>
      <c r="W2951" s="741">
        <f t="shared" si="100"/>
        <v>2238.4560000000001</v>
      </c>
    </row>
    <row r="2952" spans="1:26" ht="15" customHeight="1">
      <c r="A2952" s="3">
        <v>40035</v>
      </c>
      <c r="B2952" s="4">
        <v>50</v>
      </c>
      <c r="D2952" s="5">
        <v>75875</v>
      </c>
      <c r="E2952" s="5">
        <f t="shared" si="97"/>
        <v>38350</v>
      </c>
      <c r="F2952" s="5">
        <v>114275</v>
      </c>
      <c r="K2952" s="24">
        <v>1891</v>
      </c>
      <c r="L2952" s="6">
        <v>1909</v>
      </c>
      <c r="M2952" s="270">
        <f t="shared" si="99"/>
        <v>18</v>
      </c>
      <c r="N2952" s="19"/>
      <c r="O2952" s="280"/>
      <c r="P2952" s="345">
        <v>13900</v>
      </c>
      <c r="Q2952" s="28">
        <v>0.1464</v>
      </c>
      <c r="U2952" s="29">
        <v>0.1</v>
      </c>
      <c r="W2952" s="741">
        <f t="shared" si="100"/>
        <v>2238.4560000000001</v>
      </c>
    </row>
    <row r="2953" spans="1:26" ht="15" customHeight="1">
      <c r="A2953" s="3">
        <v>40036</v>
      </c>
      <c r="B2953" s="4">
        <v>50</v>
      </c>
      <c r="D2953" s="5">
        <v>75775</v>
      </c>
      <c r="E2953" s="5">
        <f t="shared" si="97"/>
        <v>38350</v>
      </c>
      <c r="F2953" s="5">
        <v>114175</v>
      </c>
      <c r="K2953" s="24">
        <v>1825</v>
      </c>
      <c r="L2953" s="6">
        <v>1830.5</v>
      </c>
      <c r="M2953" s="270">
        <f t="shared" si="99"/>
        <v>5.5</v>
      </c>
      <c r="N2953" s="19"/>
      <c r="O2953" s="280"/>
      <c r="P2953" s="345">
        <v>13750</v>
      </c>
      <c r="Q2953" s="28">
        <v>0.14630000000000001</v>
      </c>
      <c r="U2953" s="29">
        <v>0.1</v>
      </c>
      <c r="W2953" s="741">
        <f t="shared" si="100"/>
        <v>2212.7875000000004</v>
      </c>
    </row>
    <row r="2954" spans="1:26" ht="15" customHeight="1">
      <c r="A2954" s="3">
        <v>40037</v>
      </c>
      <c r="B2954" s="4">
        <v>75</v>
      </c>
      <c r="D2954" s="5">
        <v>75875</v>
      </c>
      <c r="E2954" s="5">
        <f t="shared" si="97"/>
        <v>38350</v>
      </c>
      <c r="F2954" s="5">
        <v>114300</v>
      </c>
      <c r="K2954" s="24">
        <v>1775</v>
      </c>
      <c r="L2954" s="6">
        <v>1805</v>
      </c>
      <c r="M2954" s="270">
        <f t="shared" si="99"/>
        <v>30</v>
      </c>
      <c r="N2954" s="19"/>
      <c r="O2954" s="280"/>
      <c r="P2954" s="345">
        <v>13600</v>
      </c>
      <c r="Q2954" s="28">
        <v>0.14630000000000001</v>
      </c>
      <c r="U2954" s="29">
        <v>0.1</v>
      </c>
      <c r="W2954" s="741">
        <f t="shared" si="100"/>
        <v>2188.6480000000006</v>
      </c>
    </row>
    <row r="2955" spans="1:26" ht="15" customHeight="1">
      <c r="A2955" s="3">
        <v>40038</v>
      </c>
      <c r="B2955" s="4">
        <v>75</v>
      </c>
      <c r="D2955" s="5">
        <v>76275</v>
      </c>
      <c r="E2955" s="5">
        <f t="shared" ref="E2955:E3018" si="101">F2955-(B2955+D2955)</f>
        <v>38350</v>
      </c>
      <c r="F2955" s="5">
        <v>114700</v>
      </c>
      <c r="K2955" s="24">
        <v>1886.5</v>
      </c>
      <c r="L2955" s="6">
        <v>1908</v>
      </c>
      <c r="M2955" s="270">
        <f t="shared" si="99"/>
        <v>21.5</v>
      </c>
      <c r="N2955" s="19"/>
      <c r="O2955" s="280"/>
      <c r="P2955" s="345">
        <v>13600</v>
      </c>
      <c r="Q2955" s="28">
        <v>0.14630000000000001</v>
      </c>
      <c r="U2955" s="29">
        <v>0.1</v>
      </c>
      <c r="W2955" s="741">
        <f t="shared" si="100"/>
        <v>2188.6480000000006</v>
      </c>
    </row>
    <row r="2956" spans="1:26" ht="15" customHeight="1">
      <c r="A2956" s="3">
        <v>40039</v>
      </c>
      <c r="B2956" s="4">
        <v>75</v>
      </c>
      <c r="D2956" s="5">
        <v>76375</v>
      </c>
      <c r="E2956" s="5">
        <f t="shared" si="101"/>
        <v>39350</v>
      </c>
      <c r="F2956" s="5">
        <v>115800</v>
      </c>
      <c r="K2956" s="24">
        <v>1905</v>
      </c>
      <c r="L2956" s="6">
        <v>1918</v>
      </c>
      <c r="M2956" s="270">
        <f t="shared" si="99"/>
        <v>13</v>
      </c>
      <c r="N2956" s="19"/>
      <c r="O2956" s="280"/>
      <c r="P2956" s="345">
        <v>13750</v>
      </c>
      <c r="Q2956" s="28">
        <v>0.14630000000000001</v>
      </c>
      <c r="U2956" s="29">
        <v>0.1</v>
      </c>
      <c r="W2956" s="741">
        <f t="shared" si="100"/>
        <v>2212.7875000000004</v>
      </c>
    </row>
    <row r="2957" spans="1:26" ht="15" customHeight="1">
      <c r="A2957" s="3">
        <v>40042</v>
      </c>
      <c r="B2957" s="4">
        <v>75</v>
      </c>
      <c r="D2957" s="5">
        <v>77075</v>
      </c>
      <c r="E2957" s="5">
        <f t="shared" si="101"/>
        <v>39450</v>
      </c>
      <c r="F2957" s="5">
        <v>116600</v>
      </c>
      <c r="K2957" s="24">
        <v>1785.5</v>
      </c>
      <c r="L2957" s="6">
        <v>1800.5</v>
      </c>
      <c r="M2957" s="270">
        <f t="shared" si="99"/>
        <v>15</v>
      </c>
      <c r="N2957" s="19"/>
      <c r="O2957" s="280"/>
      <c r="P2957" s="345">
        <v>13550</v>
      </c>
      <c r="Q2957" s="28">
        <v>0.14630000000000001</v>
      </c>
      <c r="U2957" s="29">
        <v>0.1</v>
      </c>
      <c r="W2957" s="741">
        <f t="shared" si="100"/>
        <v>2180.6015000000002</v>
      </c>
    </row>
    <row r="2958" spans="1:26" ht="15" customHeight="1">
      <c r="A2958" s="3">
        <v>40043</v>
      </c>
      <c r="B2958" s="4">
        <v>75</v>
      </c>
      <c r="D2958" s="5">
        <v>77175</v>
      </c>
      <c r="E2958" s="5">
        <f t="shared" si="101"/>
        <v>39450</v>
      </c>
      <c r="F2958" s="5">
        <v>116700</v>
      </c>
      <c r="K2958" s="24">
        <v>1825</v>
      </c>
      <c r="L2958" s="6">
        <v>1840</v>
      </c>
      <c r="M2958" s="270">
        <f t="shared" si="99"/>
        <v>15</v>
      </c>
      <c r="N2958" s="19"/>
      <c r="O2958" s="280"/>
      <c r="P2958" s="345">
        <v>13500</v>
      </c>
      <c r="Q2958" s="28">
        <v>0.14630000000000001</v>
      </c>
      <c r="U2958" s="29">
        <v>0.1</v>
      </c>
      <c r="W2958" s="741">
        <f t="shared" si="100"/>
        <v>2172.5550000000003</v>
      </c>
    </row>
    <row r="2959" spans="1:26" ht="15" customHeight="1">
      <c r="A2959" s="3">
        <v>40044</v>
      </c>
      <c r="B2959" s="4">
        <v>75</v>
      </c>
      <c r="D2959" s="5">
        <v>77625</v>
      </c>
      <c r="E2959" s="5">
        <f t="shared" si="101"/>
        <v>39450</v>
      </c>
      <c r="F2959" s="5">
        <v>117150</v>
      </c>
      <c r="K2959" s="24">
        <v>1790</v>
      </c>
      <c r="L2959" s="6">
        <v>1805</v>
      </c>
      <c r="M2959" s="270">
        <f t="shared" si="99"/>
        <v>15</v>
      </c>
      <c r="N2959" s="19"/>
      <c r="O2959" s="280"/>
      <c r="P2959" s="345">
        <v>13500</v>
      </c>
      <c r="Q2959" s="28">
        <v>0.14630000000000001</v>
      </c>
      <c r="U2959" s="29">
        <v>0.1</v>
      </c>
      <c r="W2959" s="741">
        <f t="shared" si="100"/>
        <v>2172.5550000000003</v>
      </c>
    </row>
    <row r="2960" spans="1:26" ht="15" customHeight="1">
      <c r="A2960" s="3">
        <v>40045</v>
      </c>
      <c r="B2960" s="4">
        <v>75</v>
      </c>
      <c r="D2960" s="5">
        <v>78425</v>
      </c>
      <c r="E2960" s="5">
        <f t="shared" si="101"/>
        <v>39425</v>
      </c>
      <c r="F2960" s="5">
        <v>117925</v>
      </c>
      <c r="K2960" s="24">
        <v>1821</v>
      </c>
      <c r="L2960" s="6">
        <v>1846</v>
      </c>
      <c r="M2960" s="270">
        <f t="shared" si="99"/>
        <v>25</v>
      </c>
      <c r="N2960" s="19"/>
      <c r="O2960" s="280"/>
      <c r="P2960" s="345">
        <v>13500</v>
      </c>
      <c r="Q2960" s="28">
        <v>0.14630000000000001</v>
      </c>
      <c r="U2960" s="29">
        <v>0.1</v>
      </c>
      <c r="W2960" s="741">
        <f t="shared" si="100"/>
        <v>2172.5550000000003</v>
      </c>
    </row>
    <row r="2961" spans="1:23" ht="15" customHeight="1">
      <c r="A2961" s="3">
        <v>40046</v>
      </c>
      <c r="B2961" s="4">
        <v>75</v>
      </c>
      <c r="D2961" s="5">
        <v>78700</v>
      </c>
      <c r="E2961" s="5">
        <f t="shared" si="101"/>
        <v>39425</v>
      </c>
      <c r="F2961" s="5">
        <v>118200</v>
      </c>
      <c r="K2961" s="24">
        <v>1845</v>
      </c>
      <c r="L2961" s="6">
        <v>1870</v>
      </c>
      <c r="M2961" s="270">
        <f t="shared" si="99"/>
        <v>25</v>
      </c>
      <c r="N2961" s="19"/>
      <c r="O2961" s="280"/>
      <c r="P2961" s="345">
        <v>13500</v>
      </c>
      <c r="Q2961" s="28">
        <v>0.1464</v>
      </c>
      <c r="U2961" s="29">
        <v>0.1</v>
      </c>
      <c r="W2961" s="741">
        <f t="shared" si="100"/>
        <v>2174.0400000000004</v>
      </c>
    </row>
    <row r="2962" spans="1:23" ht="15" customHeight="1">
      <c r="A2962" s="3">
        <v>40049</v>
      </c>
      <c r="B2962" s="4">
        <v>75</v>
      </c>
      <c r="D2962" s="5">
        <v>79425</v>
      </c>
      <c r="E2962" s="5">
        <f t="shared" si="101"/>
        <v>39425</v>
      </c>
      <c r="F2962" s="5">
        <v>118925</v>
      </c>
      <c r="K2962" s="24">
        <v>1945.5</v>
      </c>
      <c r="L2962" s="6">
        <v>1963</v>
      </c>
      <c r="M2962" s="270">
        <f t="shared" si="99"/>
        <v>17.5</v>
      </c>
      <c r="N2962" s="19"/>
      <c r="O2962" s="280"/>
      <c r="P2962" s="345">
        <v>13700</v>
      </c>
      <c r="Q2962" s="28">
        <v>0.1464</v>
      </c>
      <c r="U2962" s="29">
        <v>0.1</v>
      </c>
      <c r="W2962" s="741">
        <f t="shared" si="100"/>
        <v>2206.248</v>
      </c>
    </row>
    <row r="2963" spans="1:23" ht="15" customHeight="1">
      <c r="A2963" s="3">
        <v>40050</v>
      </c>
      <c r="B2963" s="4">
        <v>75</v>
      </c>
      <c r="D2963" s="5">
        <v>79500</v>
      </c>
      <c r="E2963" s="5">
        <f t="shared" si="101"/>
        <v>39425</v>
      </c>
      <c r="F2963" s="5">
        <v>119000</v>
      </c>
      <c r="K2963" s="24">
        <v>2006</v>
      </c>
      <c r="L2963" s="6">
        <v>2025</v>
      </c>
      <c r="M2963" s="270">
        <f t="shared" ref="M2963:M3026" si="102">L2963-K2963</f>
        <v>19</v>
      </c>
      <c r="N2963" s="19"/>
      <c r="O2963" s="280"/>
      <c r="P2963" s="345">
        <v>14100</v>
      </c>
      <c r="Q2963" s="28">
        <v>0.1464</v>
      </c>
      <c r="U2963" s="29">
        <v>0.1</v>
      </c>
      <c r="W2963" s="741">
        <f t="shared" si="100"/>
        <v>2270.6640000000007</v>
      </c>
    </row>
    <row r="2964" spans="1:23" ht="15" customHeight="1">
      <c r="A2964" s="3">
        <v>40051</v>
      </c>
      <c r="B2964" s="4">
        <v>50</v>
      </c>
      <c r="D2964" s="5">
        <v>79575</v>
      </c>
      <c r="E2964" s="5">
        <f t="shared" si="101"/>
        <v>39525</v>
      </c>
      <c r="F2964" s="5">
        <v>119150</v>
      </c>
      <c r="K2964" s="24">
        <v>2077</v>
      </c>
      <c r="L2964" s="6">
        <v>2086</v>
      </c>
      <c r="M2964" s="270">
        <f t="shared" si="102"/>
        <v>9</v>
      </c>
      <c r="N2964" s="19"/>
      <c r="O2964" s="280"/>
      <c r="P2964" s="345">
        <v>14400</v>
      </c>
      <c r="Q2964" s="28">
        <v>0.1464</v>
      </c>
      <c r="U2964" s="29">
        <v>0.1</v>
      </c>
      <c r="W2964" s="741">
        <f t="shared" si="100"/>
        <v>2318.9760000000001</v>
      </c>
    </row>
    <row r="2965" spans="1:23" ht="15" customHeight="1">
      <c r="A2965" s="3">
        <v>40052</v>
      </c>
      <c r="B2965" s="4">
        <v>50</v>
      </c>
      <c r="D2965" s="5">
        <v>71200</v>
      </c>
      <c r="E2965" s="5">
        <f t="shared" si="101"/>
        <v>49525</v>
      </c>
      <c r="F2965" s="5">
        <v>120775</v>
      </c>
      <c r="K2965" s="24">
        <v>2020.5</v>
      </c>
      <c r="L2965" s="6">
        <v>2036</v>
      </c>
      <c r="M2965" s="270">
        <f t="shared" si="102"/>
        <v>15.5</v>
      </c>
      <c r="N2965" s="19"/>
      <c r="O2965" s="280"/>
      <c r="P2965" s="345">
        <v>14900</v>
      </c>
      <c r="Q2965" s="28">
        <v>0.1464</v>
      </c>
      <c r="U2965" s="29">
        <v>0.1</v>
      </c>
      <c r="W2965" s="741">
        <f t="shared" si="100"/>
        <v>2399.4960000000005</v>
      </c>
    </row>
    <row r="2966" spans="1:23" ht="15" customHeight="1" thickBot="1">
      <c r="A2966" s="12">
        <v>40053</v>
      </c>
      <c r="B2966" s="13">
        <v>50</v>
      </c>
      <c r="C2966" s="13"/>
      <c r="D2966" s="14">
        <v>71375</v>
      </c>
      <c r="E2966" s="14">
        <f t="shared" si="101"/>
        <v>49525</v>
      </c>
      <c r="F2966" s="14">
        <v>120950</v>
      </c>
      <c r="G2966" s="14"/>
      <c r="H2966" s="14"/>
      <c r="I2966" s="14"/>
      <c r="J2966" s="264"/>
      <c r="K2966" s="25">
        <v>2118</v>
      </c>
      <c r="L2966" s="15">
        <v>2127</v>
      </c>
      <c r="M2966" s="271">
        <f t="shared" si="102"/>
        <v>9</v>
      </c>
      <c r="N2966" s="160">
        <f>AVERAGE(K2947:K2966)</f>
        <v>1900.1</v>
      </c>
      <c r="O2966" s="286">
        <f>AVERAGE(K2796:K2966)</f>
        <v>1446.2694610778442</v>
      </c>
      <c r="P2966" s="346">
        <v>14900</v>
      </c>
      <c r="Q2966" s="30">
        <v>0.1464</v>
      </c>
      <c r="R2966" s="30"/>
      <c r="S2966" s="30"/>
      <c r="T2966" s="30"/>
      <c r="U2966" s="31">
        <v>0.1</v>
      </c>
      <c r="V2966" s="46">
        <f>AVERAGE(P2947:P2966)</f>
        <v>13885</v>
      </c>
      <c r="W2966" s="741">
        <f t="shared" si="100"/>
        <v>2399.4960000000005</v>
      </c>
    </row>
    <row r="2967" spans="1:23" ht="15" customHeight="1">
      <c r="A2967" s="3">
        <v>40057</v>
      </c>
      <c r="B2967" s="4">
        <v>0</v>
      </c>
      <c r="D2967" s="5">
        <v>71400</v>
      </c>
      <c r="E2967" s="5">
        <f t="shared" si="101"/>
        <v>49825</v>
      </c>
      <c r="F2967" s="5">
        <v>121225</v>
      </c>
      <c r="K2967" s="24">
        <v>2072</v>
      </c>
      <c r="L2967" s="6">
        <v>2081</v>
      </c>
      <c r="M2967" s="270">
        <f t="shared" si="102"/>
        <v>9</v>
      </c>
      <c r="N2967" s="21"/>
      <c r="O2967" s="283"/>
      <c r="P2967" s="345">
        <v>15100</v>
      </c>
      <c r="Q2967" s="28">
        <v>0.1464</v>
      </c>
      <c r="U2967" s="29">
        <v>0.1</v>
      </c>
      <c r="W2967" s="741">
        <f t="shared" si="100"/>
        <v>2431.7040000000002</v>
      </c>
    </row>
    <row r="2968" spans="1:23" ht="15" customHeight="1">
      <c r="A2968" s="3">
        <v>40058</v>
      </c>
      <c r="B2968" s="4">
        <v>0</v>
      </c>
      <c r="D2968" s="5">
        <v>71400</v>
      </c>
      <c r="E2968" s="5">
        <f t="shared" si="101"/>
        <v>49800</v>
      </c>
      <c r="F2968" s="5">
        <v>121200</v>
      </c>
      <c r="K2968" s="24">
        <v>2060</v>
      </c>
      <c r="L2968" s="6">
        <v>2078</v>
      </c>
      <c r="M2968" s="270">
        <f t="shared" si="102"/>
        <v>18</v>
      </c>
      <c r="N2968" s="19"/>
      <c r="O2968" s="280"/>
      <c r="P2968" s="345">
        <v>15100</v>
      </c>
      <c r="Q2968" s="28">
        <v>0.1464</v>
      </c>
      <c r="U2968" s="29">
        <v>0.1</v>
      </c>
      <c r="W2968" s="741">
        <f t="shared" si="100"/>
        <v>2431.7040000000002</v>
      </c>
    </row>
    <row r="2969" spans="1:23" ht="15" customHeight="1">
      <c r="A2969" s="3">
        <v>40059</v>
      </c>
      <c r="B2969" s="4">
        <v>0</v>
      </c>
      <c r="D2969" s="5">
        <v>71775</v>
      </c>
      <c r="E2969" s="5">
        <f t="shared" si="101"/>
        <v>49800</v>
      </c>
      <c r="F2969" s="5">
        <v>121575</v>
      </c>
      <c r="K2969" s="24">
        <v>2224</v>
      </c>
      <c r="L2969" s="6">
        <v>2230</v>
      </c>
      <c r="M2969" s="270">
        <f t="shared" si="102"/>
        <v>6</v>
      </c>
      <c r="N2969" s="19"/>
      <c r="O2969" s="280"/>
      <c r="P2969" s="345">
        <v>15000</v>
      </c>
      <c r="Q2969" s="28">
        <v>0.1464</v>
      </c>
      <c r="U2969" s="29">
        <v>0.1</v>
      </c>
      <c r="W2969" s="741">
        <f t="shared" si="100"/>
        <v>2415.6000000000004</v>
      </c>
    </row>
    <row r="2970" spans="1:23" ht="15" customHeight="1">
      <c r="A2970" s="3">
        <v>40060</v>
      </c>
      <c r="B2970" s="4">
        <v>0</v>
      </c>
      <c r="D2970" s="5">
        <v>71675</v>
      </c>
      <c r="E2970" s="5">
        <f t="shared" si="101"/>
        <v>49800</v>
      </c>
      <c r="F2970" s="5">
        <v>121475</v>
      </c>
      <c r="K2970" s="24">
        <v>2255</v>
      </c>
      <c r="L2970" s="6">
        <v>2265</v>
      </c>
      <c r="M2970" s="270">
        <f t="shared" si="102"/>
        <v>10</v>
      </c>
      <c r="N2970" s="7"/>
      <c r="O2970" s="280"/>
      <c r="P2970" s="345">
        <v>15800</v>
      </c>
      <c r="Q2970" s="28">
        <v>0.1464</v>
      </c>
      <c r="U2970" s="29">
        <v>0.1</v>
      </c>
      <c r="W2970" s="741">
        <f t="shared" si="100"/>
        <v>2544.4320000000002</v>
      </c>
    </row>
    <row r="2971" spans="1:23" ht="15" customHeight="1">
      <c r="A2971" s="3">
        <v>40063</v>
      </c>
      <c r="B2971" s="4">
        <v>0</v>
      </c>
      <c r="D2971" s="5">
        <v>71925</v>
      </c>
      <c r="E2971" s="5">
        <f t="shared" si="101"/>
        <v>49800</v>
      </c>
      <c r="F2971" s="5">
        <v>121725</v>
      </c>
      <c r="K2971" s="24">
        <v>2352.5</v>
      </c>
      <c r="L2971" s="6">
        <v>2366</v>
      </c>
      <c r="M2971" s="270">
        <f t="shared" si="102"/>
        <v>13.5</v>
      </c>
      <c r="N2971" s="19"/>
      <c r="O2971" s="280"/>
      <c r="P2971" s="345">
        <v>16000</v>
      </c>
      <c r="Q2971" s="28">
        <v>0.1464</v>
      </c>
      <c r="U2971" s="29">
        <v>0.1</v>
      </c>
      <c r="W2971" s="741">
        <f t="shared" si="100"/>
        <v>2576.6400000000003</v>
      </c>
    </row>
    <row r="2972" spans="1:23" ht="15" customHeight="1">
      <c r="A2972" s="3">
        <v>40064</v>
      </c>
      <c r="B2972" s="4">
        <v>50</v>
      </c>
      <c r="D2972" s="5">
        <v>71925</v>
      </c>
      <c r="E2972" s="5">
        <f t="shared" si="101"/>
        <v>49800</v>
      </c>
      <c r="F2972" s="5">
        <v>121775</v>
      </c>
      <c r="K2972" s="24">
        <v>2447.5</v>
      </c>
      <c r="L2972" s="6">
        <v>2460</v>
      </c>
      <c r="M2972" s="270">
        <f t="shared" si="102"/>
        <v>12.5</v>
      </c>
      <c r="N2972" s="19"/>
      <c r="O2972" s="280"/>
      <c r="P2972" s="345">
        <v>16100</v>
      </c>
      <c r="Q2972" s="28">
        <v>0.1464</v>
      </c>
      <c r="U2972" s="29">
        <v>0.1</v>
      </c>
      <c r="W2972" s="741">
        <f t="shared" si="100"/>
        <v>2592.7440000000001</v>
      </c>
    </row>
    <row r="2973" spans="1:23" ht="15" customHeight="1">
      <c r="A2973" s="3">
        <v>40065</v>
      </c>
      <c r="B2973" s="4">
        <v>50</v>
      </c>
      <c r="D2973" s="5">
        <v>71925</v>
      </c>
      <c r="E2973" s="5">
        <f t="shared" si="101"/>
        <v>50650</v>
      </c>
      <c r="F2973" s="5">
        <v>122625</v>
      </c>
      <c r="K2973" s="24">
        <v>2440</v>
      </c>
      <c r="L2973" s="6">
        <v>2455.5</v>
      </c>
      <c r="M2973" s="270">
        <f t="shared" si="102"/>
        <v>15.5</v>
      </c>
      <c r="N2973" s="19"/>
      <c r="O2973" s="280"/>
      <c r="P2973" s="345">
        <v>16400</v>
      </c>
      <c r="Q2973" s="28">
        <v>0.14649999999999999</v>
      </c>
      <c r="U2973" s="29">
        <v>0.1</v>
      </c>
      <c r="W2973" s="741">
        <f t="shared" si="100"/>
        <v>2642.86</v>
      </c>
    </row>
    <row r="2974" spans="1:23" ht="15" customHeight="1">
      <c r="A2974" s="3">
        <v>40066</v>
      </c>
      <c r="B2974" s="4">
        <v>50</v>
      </c>
      <c r="D2974" s="5">
        <v>71925</v>
      </c>
      <c r="E2974" s="5">
        <f t="shared" si="101"/>
        <v>50950</v>
      </c>
      <c r="F2974" s="5">
        <v>122925</v>
      </c>
      <c r="K2974" s="24">
        <v>2181</v>
      </c>
      <c r="L2974" s="6">
        <v>2204</v>
      </c>
      <c r="M2974" s="270">
        <f t="shared" si="102"/>
        <v>23</v>
      </c>
      <c r="N2974" s="19"/>
      <c r="O2974" s="280"/>
      <c r="P2974" s="345">
        <v>16400</v>
      </c>
      <c r="Q2974" s="28">
        <v>0.1464</v>
      </c>
      <c r="U2974" s="29">
        <v>0.1</v>
      </c>
      <c r="W2974" s="741">
        <f t="shared" si="100"/>
        <v>2641.056</v>
      </c>
    </row>
    <row r="2975" spans="1:23" ht="15" customHeight="1">
      <c r="A2975" s="3">
        <v>40067</v>
      </c>
      <c r="B2975" s="4">
        <v>50</v>
      </c>
      <c r="D2975" s="5">
        <v>72075</v>
      </c>
      <c r="E2975" s="5">
        <f t="shared" si="101"/>
        <v>50950</v>
      </c>
      <c r="F2975" s="5">
        <v>123075</v>
      </c>
      <c r="K2975" s="24">
        <v>2109.5</v>
      </c>
      <c r="L2975" s="6">
        <v>2130</v>
      </c>
      <c r="M2975" s="270">
        <f t="shared" si="102"/>
        <v>20.5</v>
      </c>
      <c r="N2975" s="19"/>
      <c r="O2975" s="280"/>
      <c r="P2975" s="345">
        <v>15400</v>
      </c>
      <c r="Q2975" s="28">
        <v>0.1464</v>
      </c>
      <c r="U2975" s="29">
        <v>0.1</v>
      </c>
      <c r="W2975" s="741">
        <f t="shared" si="100"/>
        <v>2480.0160000000001</v>
      </c>
    </row>
    <row r="2976" spans="1:23" ht="15" customHeight="1">
      <c r="A2976" s="3">
        <v>40070</v>
      </c>
      <c r="B2976" s="4">
        <v>50</v>
      </c>
      <c r="D2976" s="5">
        <v>71925</v>
      </c>
      <c r="E2976" s="5">
        <f t="shared" si="101"/>
        <v>51000</v>
      </c>
      <c r="F2976" s="5">
        <v>122975</v>
      </c>
      <c r="K2976" s="24">
        <v>2045.5</v>
      </c>
      <c r="L2976" s="6">
        <v>2085</v>
      </c>
      <c r="M2976" s="270">
        <f t="shared" si="102"/>
        <v>39.5</v>
      </c>
      <c r="N2976" s="19"/>
      <c r="O2976" s="280"/>
      <c r="P2976" s="345">
        <v>15200</v>
      </c>
      <c r="Q2976" s="28">
        <v>0.1464</v>
      </c>
      <c r="U2976" s="29">
        <v>0.1</v>
      </c>
      <c r="W2976" s="741">
        <f t="shared" si="100"/>
        <v>2447.8080000000004</v>
      </c>
    </row>
    <row r="2977" spans="1:26" ht="15" customHeight="1">
      <c r="A2977" s="3">
        <v>40071</v>
      </c>
      <c r="B2977" s="4">
        <v>50</v>
      </c>
      <c r="D2977" s="5">
        <v>71775</v>
      </c>
      <c r="E2977" s="5">
        <f t="shared" si="101"/>
        <v>50900</v>
      </c>
      <c r="F2977" s="5">
        <v>122725</v>
      </c>
      <c r="K2977" s="24">
        <v>2113</v>
      </c>
      <c r="L2977" s="6">
        <v>2133</v>
      </c>
      <c r="M2977" s="270">
        <f t="shared" si="102"/>
        <v>20</v>
      </c>
      <c r="N2977" s="19"/>
      <c r="O2977" s="280"/>
      <c r="P2977" s="345">
        <v>15250</v>
      </c>
      <c r="Q2977" s="28">
        <v>0.1464</v>
      </c>
      <c r="U2977" s="29">
        <v>0.1</v>
      </c>
      <c r="W2977" s="741">
        <f t="shared" si="100"/>
        <v>2455.86</v>
      </c>
    </row>
    <row r="2978" spans="1:26" ht="15" customHeight="1">
      <c r="A2978" s="3">
        <v>40072</v>
      </c>
      <c r="B2978" s="4">
        <v>50</v>
      </c>
      <c r="D2978" s="5">
        <v>72050</v>
      </c>
      <c r="E2978" s="5">
        <f t="shared" si="101"/>
        <v>51200</v>
      </c>
      <c r="F2978" s="5">
        <v>123300</v>
      </c>
      <c r="K2978" s="24">
        <v>2220.5</v>
      </c>
      <c r="L2978" s="6">
        <v>2250</v>
      </c>
      <c r="M2978" s="270">
        <f t="shared" si="102"/>
        <v>29.5</v>
      </c>
      <c r="N2978" s="19"/>
      <c r="O2978" s="280"/>
      <c r="P2978" s="345">
        <v>15400</v>
      </c>
      <c r="Q2978" s="28">
        <v>0.1464</v>
      </c>
      <c r="U2978" s="29">
        <v>0.1</v>
      </c>
      <c r="W2978" s="741">
        <f t="shared" si="100"/>
        <v>2480.0160000000001</v>
      </c>
    </row>
    <row r="2979" spans="1:26" ht="15" customHeight="1">
      <c r="A2979" s="3">
        <v>40073</v>
      </c>
      <c r="B2979" s="4">
        <v>50</v>
      </c>
      <c r="D2979" s="5">
        <v>72050</v>
      </c>
      <c r="E2979" s="5">
        <f t="shared" si="101"/>
        <v>52050</v>
      </c>
      <c r="F2979" s="5">
        <v>124150</v>
      </c>
      <c r="K2979" s="24">
        <v>2241</v>
      </c>
      <c r="L2979" s="6">
        <v>2261</v>
      </c>
      <c r="M2979" s="270">
        <f t="shared" si="102"/>
        <v>20</v>
      </c>
      <c r="N2979" s="19"/>
      <c r="O2979" s="280"/>
      <c r="P2979" s="345">
        <v>15900</v>
      </c>
      <c r="Q2979" s="28">
        <v>0.14649999999999999</v>
      </c>
      <c r="U2979" s="29">
        <v>0.1</v>
      </c>
      <c r="W2979" s="741">
        <f t="shared" si="100"/>
        <v>2562.2850000000003</v>
      </c>
    </row>
    <row r="2980" spans="1:26" ht="15" customHeight="1">
      <c r="A2980" s="3">
        <v>40074</v>
      </c>
      <c r="B2980" s="4">
        <v>50</v>
      </c>
      <c r="D2980" s="5">
        <v>72400</v>
      </c>
      <c r="E2980" s="5">
        <f t="shared" si="101"/>
        <v>52450</v>
      </c>
      <c r="F2980" s="5">
        <v>124900</v>
      </c>
      <c r="K2980" s="24">
        <v>2171</v>
      </c>
      <c r="L2980" s="6">
        <v>2195</v>
      </c>
      <c r="M2980" s="270">
        <f t="shared" si="102"/>
        <v>24</v>
      </c>
      <c r="N2980" s="19"/>
      <c r="O2980" s="280"/>
      <c r="P2980" s="345">
        <v>15900</v>
      </c>
      <c r="Q2980" s="28">
        <v>0.14649999999999999</v>
      </c>
      <c r="U2980" s="29">
        <v>0.1</v>
      </c>
      <c r="W2980" s="741">
        <f t="shared" si="100"/>
        <v>2562.2850000000003</v>
      </c>
    </row>
    <row r="2981" spans="1:26" ht="15" customHeight="1">
      <c r="A2981" s="3">
        <v>40077</v>
      </c>
      <c r="B2981" s="4">
        <v>50</v>
      </c>
      <c r="D2981" s="5">
        <v>72250</v>
      </c>
      <c r="E2981" s="5">
        <f t="shared" si="101"/>
        <v>52450</v>
      </c>
      <c r="F2981" s="5">
        <v>124750</v>
      </c>
      <c r="K2981" s="24">
        <v>2135.5</v>
      </c>
      <c r="L2981" s="6">
        <v>2171</v>
      </c>
      <c r="M2981" s="270">
        <f t="shared" si="102"/>
        <v>35.5</v>
      </c>
      <c r="N2981" s="19"/>
      <c r="O2981" s="280"/>
      <c r="P2981" s="345">
        <v>15600</v>
      </c>
      <c r="Q2981" s="28">
        <v>0.14649999999999999</v>
      </c>
      <c r="U2981" s="29">
        <v>0.1</v>
      </c>
      <c r="W2981" s="741">
        <f t="shared" si="100"/>
        <v>2513.9400000000005</v>
      </c>
    </row>
    <row r="2982" spans="1:26" ht="15" customHeight="1">
      <c r="A2982" s="3">
        <v>40078</v>
      </c>
      <c r="B2982" s="4">
        <v>50</v>
      </c>
      <c r="D2982" s="5">
        <v>72025</v>
      </c>
      <c r="E2982" s="5">
        <f t="shared" si="101"/>
        <v>53475</v>
      </c>
      <c r="F2982" s="5">
        <v>125550</v>
      </c>
      <c r="K2982" s="24">
        <v>2234</v>
      </c>
      <c r="L2982" s="6">
        <v>2265</v>
      </c>
      <c r="M2982" s="270">
        <f t="shared" si="102"/>
        <v>31</v>
      </c>
      <c r="N2982" s="19"/>
      <c r="O2982" s="280"/>
      <c r="P2982" s="345">
        <v>15500</v>
      </c>
      <c r="Q2982" s="28">
        <v>0.1464</v>
      </c>
      <c r="U2982" s="29">
        <v>0.1</v>
      </c>
      <c r="W2982" s="741">
        <f t="shared" si="100"/>
        <v>2496.12</v>
      </c>
    </row>
    <row r="2983" spans="1:26" ht="15" customHeight="1">
      <c r="A2983" s="3">
        <v>40079</v>
      </c>
      <c r="B2983" s="4">
        <v>50</v>
      </c>
      <c r="D2983" s="5">
        <v>71825</v>
      </c>
      <c r="E2983" s="5">
        <f t="shared" si="101"/>
        <v>53475</v>
      </c>
      <c r="F2983" s="5">
        <v>125350</v>
      </c>
      <c r="K2983" s="24">
        <v>2213</v>
      </c>
      <c r="L2983" s="6">
        <v>2240</v>
      </c>
      <c r="M2983" s="270">
        <f t="shared" si="102"/>
        <v>27</v>
      </c>
      <c r="N2983" s="19"/>
      <c r="O2983" s="280"/>
      <c r="P2983" s="345">
        <v>15800</v>
      </c>
      <c r="Q2983" s="28">
        <v>0.14649999999999999</v>
      </c>
      <c r="U2983" s="29">
        <v>0.1</v>
      </c>
      <c r="W2983" s="741">
        <f t="shared" si="100"/>
        <v>2546.17</v>
      </c>
    </row>
    <row r="2984" spans="1:26" ht="15" customHeight="1">
      <c r="A2984" s="3">
        <v>40080</v>
      </c>
      <c r="B2984" s="4">
        <v>50</v>
      </c>
      <c r="D2984" s="5">
        <v>71650</v>
      </c>
      <c r="E2984" s="5">
        <f t="shared" si="101"/>
        <v>53475</v>
      </c>
      <c r="F2984" s="5">
        <v>125175</v>
      </c>
      <c r="K2984" s="24">
        <v>2200</v>
      </c>
      <c r="L2984" s="6">
        <v>2225</v>
      </c>
      <c r="M2984" s="270">
        <f t="shared" si="102"/>
        <v>25</v>
      </c>
      <c r="N2984" s="19"/>
      <c r="O2984" s="280"/>
      <c r="P2984" s="345">
        <v>15600</v>
      </c>
      <c r="Q2984" s="28">
        <v>0.14649999999999999</v>
      </c>
      <c r="U2984" s="29">
        <v>0.1</v>
      </c>
      <c r="W2984" s="741">
        <f t="shared" si="100"/>
        <v>2513.9400000000005</v>
      </c>
    </row>
    <row r="2985" spans="1:26" ht="15" customHeight="1">
      <c r="A2985" s="3">
        <v>40081</v>
      </c>
      <c r="B2985" s="4">
        <v>50</v>
      </c>
      <c r="D2985" s="5">
        <v>71625</v>
      </c>
      <c r="E2985" s="5">
        <f t="shared" si="101"/>
        <v>54175</v>
      </c>
      <c r="F2985" s="5">
        <v>125850</v>
      </c>
      <c r="K2985" s="24">
        <v>2175</v>
      </c>
      <c r="L2985" s="6">
        <v>2194</v>
      </c>
      <c r="M2985" s="270">
        <f t="shared" si="102"/>
        <v>19</v>
      </c>
      <c r="N2985" s="19"/>
      <c r="O2985" s="280"/>
      <c r="P2985" s="345">
        <v>15400</v>
      </c>
      <c r="Q2985" s="28">
        <v>0.14649999999999999</v>
      </c>
      <c r="U2985" s="29">
        <v>0.1</v>
      </c>
      <c r="W2985" s="741">
        <f t="shared" si="100"/>
        <v>2481.71</v>
      </c>
    </row>
    <row r="2986" spans="1:26" ht="15" customHeight="1">
      <c r="A2986" s="3">
        <v>40084</v>
      </c>
      <c r="B2986" s="4">
        <v>50</v>
      </c>
      <c r="D2986" s="5">
        <v>71625</v>
      </c>
      <c r="E2986" s="5">
        <f t="shared" si="101"/>
        <v>54175</v>
      </c>
      <c r="F2986" s="5">
        <v>125850</v>
      </c>
      <c r="K2986" s="24">
        <v>2150</v>
      </c>
      <c r="L2986" s="6">
        <v>2178</v>
      </c>
      <c r="M2986" s="270">
        <f t="shared" si="102"/>
        <v>28</v>
      </c>
      <c r="N2986" s="19"/>
      <c r="O2986" s="280"/>
      <c r="P2986" s="345">
        <v>15500</v>
      </c>
      <c r="Q2986" s="28">
        <v>0.1464</v>
      </c>
      <c r="U2986" s="29">
        <v>0.1</v>
      </c>
      <c r="W2986" s="741">
        <f t="shared" si="100"/>
        <v>2496.12</v>
      </c>
    </row>
    <row r="2987" spans="1:26" ht="15" customHeight="1">
      <c r="A2987" s="3">
        <v>40085</v>
      </c>
      <c r="B2987" s="4">
        <v>50</v>
      </c>
      <c r="D2987" s="5">
        <v>71800</v>
      </c>
      <c r="E2987" s="5">
        <f t="shared" si="101"/>
        <v>54275</v>
      </c>
      <c r="F2987" s="5">
        <v>126125</v>
      </c>
      <c r="K2987" s="24">
        <v>2184</v>
      </c>
      <c r="L2987" s="6">
        <v>2202</v>
      </c>
      <c r="M2987" s="270">
        <f t="shared" si="102"/>
        <v>18</v>
      </c>
      <c r="N2987" s="19"/>
      <c r="O2987" s="280"/>
      <c r="P2987" s="345">
        <v>15500</v>
      </c>
      <c r="Q2987" s="28">
        <v>0.14649999999999999</v>
      </c>
      <c r="U2987" s="29">
        <v>0.1</v>
      </c>
      <c r="W2987" s="741">
        <f t="shared" si="100"/>
        <v>2497.8250000000003</v>
      </c>
    </row>
    <row r="2988" spans="1:26" ht="15" customHeight="1" thickBot="1">
      <c r="A2988" s="12">
        <v>40086</v>
      </c>
      <c r="B2988" s="13">
        <v>50</v>
      </c>
      <c r="C2988" s="13"/>
      <c r="D2988" s="14">
        <v>72500</v>
      </c>
      <c r="E2988" s="14">
        <f t="shared" si="101"/>
        <v>54375</v>
      </c>
      <c r="F2988" s="14">
        <v>126925</v>
      </c>
      <c r="G2988" s="14"/>
      <c r="H2988" s="14"/>
      <c r="I2988" s="14"/>
      <c r="J2988" s="264"/>
      <c r="K2988" s="25">
        <v>2276</v>
      </c>
      <c r="L2988" s="15">
        <v>2300</v>
      </c>
      <c r="M2988" s="271">
        <f t="shared" si="102"/>
        <v>24</v>
      </c>
      <c r="N2988" s="160">
        <f>AVERAGE(K2967:K2988)</f>
        <v>2204.5454545454545</v>
      </c>
      <c r="O2988" s="286">
        <f>AVERAGE(K2796:K2988)</f>
        <v>1534.5343915343915</v>
      </c>
      <c r="P2988" s="346">
        <v>15600</v>
      </c>
      <c r="Q2988" s="30">
        <v>0.14649999999999999</v>
      </c>
      <c r="R2988" s="30"/>
      <c r="S2988" s="30"/>
      <c r="T2988" s="30"/>
      <c r="U2988" s="31">
        <v>0.1</v>
      </c>
      <c r="V2988" s="46">
        <f>AVERAGE(P2967:P2988)</f>
        <v>15611.363636363636</v>
      </c>
      <c r="W2988" s="741">
        <f t="shared" si="100"/>
        <v>2513.9400000000005</v>
      </c>
    </row>
    <row r="2989" spans="1:26" ht="15" customHeight="1">
      <c r="A2989" s="3">
        <v>40087</v>
      </c>
      <c r="B2989" s="4">
        <v>50</v>
      </c>
      <c r="D2989" s="5">
        <v>72300</v>
      </c>
      <c r="E2989" s="5">
        <f t="shared" si="101"/>
        <v>55425</v>
      </c>
      <c r="F2989" s="5">
        <v>127775</v>
      </c>
      <c r="K2989" s="24">
        <v>2192</v>
      </c>
      <c r="L2989" s="6">
        <v>2221</v>
      </c>
      <c r="M2989" s="270">
        <f t="shared" si="102"/>
        <v>29</v>
      </c>
      <c r="N2989" s="7"/>
      <c r="O2989" s="277"/>
      <c r="P2989" s="380"/>
      <c r="Q2989" s="1013" t="s">
        <v>10</v>
      </c>
      <c r="R2989" s="1013"/>
      <c r="S2989" s="1013"/>
      <c r="T2989" s="1013"/>
      <c r="U2989" s="1013"/>
      <c r="W2989" s="741" t="e">
        <f t="shared" ref="W2989:W3052" si="103">(P2989*Q2989)*(1+U2989)</f>
        <v>#VALUE!</v>
      </c>
      <c r="Z2989" s="19"/>
    </row>
    <row r="2990" spans="1:26" ht="15" customHeight="1">
      <c r="A2990" s="3">
        <v>40088</v>
      </c>
      <c r="B2990" s="4">
        <v>50</v>
      </c>
      <c r="D2990" s="5">
        <v>72125</v>
      </c>
      <c r="E2990" s="5">
        <f t="shared" si="101"/>
        <v>55425</v>
      </c>
      <c r="F2990" s="5">
        <v>127600</v>
      </c>
      <c r="K2990" s="24">
        <v>2085</v>
      </c>
      <c r="L2990" s="6">
        <v>2110</v>
      </c>
      <c r="M2990" s="270">
        <f t="shared" si="102"/>
        <v>25</v>
      </c>
      <c r="N2990" s="7"/>
      <c r="O2990" s="277"/>
      <c r="P2990" s="381"/>
      <c r="Q2990" s="1042"/>
      <c r="R2990" s="1042"/>
      <c r="S2990" s="1042"/>
      <c r="T2990" s="1042"/>
      <c r="U2990" s="1042"/>
      <c r="W2990" s="741">
        <f t="shared" si="103"/>
        <v>0</v>
      </c>
    </row>
    <row r="2991" spans="1:26" ht="15" customHeight="1">
      <c r="A2991" s="3">
        <v>40091</v>
      </c>
      <c r="B2991" s="4">
        <v>50</v>
      </c>
      <c r="D2991" s="5">
        <v>71875</v>
      </c>
      <c r="E2991" s="5">
        <f t="shared" si="101"/>
        <v>55675</v>
      </c>
      <c r="F2991" s="5">
        <v>127600</v>
      </c>
      <c r="K2991" s="24">
        <v>2115</v>
      </c>
      <c r="L2991" s="6">
        <v>2145</v>
      </c>
      <c r="M2991" s="270">
        <f t="shared" si="102"/>
        <v>30</v>
      </c>
      <c r="N2991" s="19"/>
      <c r="O2991" s="280"/>
      <c r="P2991" s="381"/>
      <c r="Q2991" s="1042"/>
      <c r="R2991" s="1042"/>
      <c r="S2991" s="1042"/>
      <c r="T2991" s="1042"/>
      <c r="U2991" s="1042"/>
      <c r="W2991" s="741">
        <f t="shared" si="103"/>
        <v>0</v>
      </c>
    </row>
    <row r="2992" spans="1:26" ht="15" customHeight="1">
      <c r="A2992" s="3">
        <v>40092</v>
      </c>
      <c r="B2992" s="4">
        <v>50</v>
      </c>
      <c r="D2992" s="5">
        <v>71750</v>
      </c>
      <c r="E2992" s="5">
        <f t="shared" si="101"/>
        <v>55675</v>
      </c>
      <c r="F2992" s="5">
        <v>127475</v>
      </c>
      <c r="K2992" s="24">
        <v>2128</v>
      </c>
      <c r="L2992" s="6">
        <v>2155</v>
      </c>
      <c r="M2992" s="270">
        <f t="shared" si="102"/>
        <v>27</v>
      </c>
      <c r="N2992" s="19"/>
      <c r="O2992" s="280"/>
      <c r="P2992" s="381"/>
      <c r="Q2992" s="1042"/>
      <c r="R2992" s="1042"/>
      <c r="S2992" s="1042"/>
      <c r="T2992" s="1042"/>
      <c r="U2992" s="1042"/>
      <c r="W2992" s="741">
        <f t="shared" si="103"/>
        <v>0</v>
      </c>
    </row>
    <row r="2993" spans="1:23" ht="15" customHeight="1">
      <c r="A2993" s="3">
        <v>40093</v>
      </c>
      <c r="B2993" s="4">
        <v>50</v>
      </c>
      <c r="D2993" s="5">
        <v>72075</v>
      </c>
      <c r="E2993" s="5">
        <f t="shared" si="101"/>
        <v>55750</v>
      </c>
      <c r="F2993" s="5">
        <v>127875</v>
      </c>
      <c r="K2993" s="24">
        <v>2142</v>
      </c>
      <c r="L2993" s="6">
        <v>2170</v>
      </c>
      <c r="M2993" s="270">
        <f t="shared" si="102"/>
        <v>28</v>
      </c>
      <c r="N2993" s="19"/>
      <c r="O2993" s="280"/>
      <c r="P2993" s="381"/>
      <c r="Q2993" s="1042"/>
      <c r="R2993" s="1042"/>
      <c r="S2993" s="1042"/>
      <c r="T2993" s="1042"/>
      <c r="U2993" s="1042"/>
      <c r="W2993" s="741">
        <f t="shared" si="103"/>
        <v>0</v>
      </c>
    </row>
    <row r="2994" spans="1:23" ht="15" customHeight="1">
      <c r="A2994" s="3">
        <v>40094</v>
      </c>
      <c r="B2994" s="4">
        <v>50</v>
      </c>
      <c r="D2994" s="5">
        <v>72075</v>
      </c>
      <c r="E2994" s="5">
        <f t="shared" si="101"/>
        <v>55750</v>
      </c>
      <c r="F2994" s="5">
        <v>127875</v>
      </c>
      <c r="K2994" s="24">
        <v>2221</v>
      </c>
      <c r="L2994" s="6">
        <v>2250</v>
      </c>
      <c r="M2994" s="270">
        <f t="shared" si="102"/>
        <v>29</v>
      </c>
      <c r="N2994" s="19"/>
      <c r="O2994" s="280"/>
      <c r="P2994" s="381"/>
      <c r="Q2994" s="1042"/>
      <c r="R2994" s="1042"/>
      <c r="S2994" s="1042"/>
      <c r="T2994" s="1042"/>
      <c r="U2994" s="1042"/>
      <c r="W2994" s="741">
        <f t="shared" si="103"/>
        <v>0</v>
      </c>
    </row>
    <row r="2995" spans="1:23" ht="15" customHeight="1">
      <c r="A2995" s="3">
        <v>40095</v>
      </c>
      <c r="B2995" s="4">
        <v>50</v>
      </c>
      <c r="D2995" s="5">
        <v>72100</v>
      </c>
      <c r="E2995" s="5">
        <f t="shared" si="101"/>
        <v>56050</v>
      </c>
      <c r="F2995" s="5">
        <v>128200</v>
      </c>
      <c r="K2995" s="24">
        <v>2250</v>
      </c>
      <c r="L2995" s="6">
        <v>2275</v>
      </c>
      <c r="M2995" s="270">
        <f t="shared" si="102"/>
        <v>25</v>
      </c>
      <c r="N2995" s="19"/>
      <c r="O2995" s="280"/>
      <c r="P2995" s="345">
        <v>15600</v>
      </c>
      <c r="Q2995" s="28">
        <v>0.14649999999999999</v>
      </c>
      <c r="U2995" s="29">
        <v>0.1</v>
      </c>
      <c r="W2995" s="741">
        <f t="shared" si="103"/>
        <v>2513.9400000000005</v>
      </c>
    </row>
    <row r="2996" spans="1:23" ht="15" customHeight="1">
      <c r="A2996" s="3">
        <v>40098</v>
      </c>
      <c r="B2996" s="4">
        <v>50</v>
      </c>
      <c r="D2996" s="5">
        <v>72100</v>
      </c>
      <c r="E2996" s="5">
        <f t="shared" si="101"/>
        <v>56025</v>
      </c>
      <c r="F2996" s="5">
        <v>128175</v>
      </c>
      <c r="K2996" s="24">
        <v>2263</v>
      </c>
      <c r="L2996" s="6">
        <v>2288</v>
      </c>
      <c r="M2996" s="270">
        <f t="shared" si="102"/>
        <v>25</v>
      </c>
      <c r="N2996" s="19"/>
      <c r="O2996" s="280"/>
      <c r="P2996" s="345">
        <v>15500</v>
      </c>
      <c r="Q2996" s="28">
        <v>0.14649999999999999</v>
      </c>
      <c r="U2996" s="29">
        <v>0.1</v>
      </c>
      <c r="W2996" s="741">
        <f t="shared" si="103"/>
        <v>2497.8250000000003</v>
      </c>
    </row>
    <row r="2997" spans="1:23" ht="15" customHeight="1">
      <c r="A2997" s="3">
        <v>40099</v>
      </c>
      <c r="B2997" s="4">
        <v>50</v>
      </c>
      <c r="D2997" s="5">
        <v>72100</v>
      </c>
      <c r="E2997" s="5">
        <f t="shared" si="101"/>
        <v>56025</v>
      </c>
      <c r="F2997" s="5">
        <v>128175</v>
      </c>
      <c r="K2997" s="24">
        <v>2301</v>
      </c>
      <c r="L2997" s="6">
        <v>2335</v>
      </c>
      <c r="M2997" s="270">
        <f t="shared" si="102"/>
        <v>34</v>
      </c>
      <c r="N2997" s="19"/>
      <c r="O2997" s="280"/>
      <c r="P2997" s="345">
        <v>15700</v>
      </c>
      <c r="Q2997" s="28">
        <v>0.14660000000000001</v>
      </c>
      <c r="U2997" s="29">
        <v>0.1</v>
      </c>
      <c r="W2997" s="741">
        <f t="shared" si="103"/>
        <v>2531.7820000000006</v>
      </c>
    </row>
    <row r="2998" spans="1:23" ht="15" customHeight="1">
      <c r="A2998" s="3">
        <v>40100</v>
      </c>
      <c r="B2998" s="4">
        <v>50</v>
      </c>
      <c r="D2998" s="5">
        <v>72900</v>
      </c>
      <c r="E2998" s="5">
        <f t="shared" si="101"/>
        <v>56025</v>
      </c>
      <c r="F2998" s="5">
        <v>128975</v>
      </c>
      <c r="K2998" s="24">
        <v>2169</v>
      </c>
      <c r="L2998" s="6">
        <v>2189</v>
      </c>
      <c r="M2998" s="270">
        <f t="shared" si="102"/>
        <v>20</v>
      </c>
      <c r="N2998" s="19"/>
      <c r="O2998" s="280"/>
      <c r="P2998" s="345">
        <v>15500</v>
      </c>
      <c r="Q2998" s="28">
        <v>0.14649999999999999</v>
      </c>
      <c r="U2998" s="29">
        <v>0.1</v>
      </c>
      <c r="W2998" s="741">
        <f t="shared" si="103"/>
        <v>2497.8250000000003</v>
      </c>
    </row>
    <row r="2999" spans="1:23" ht="15" customHeight="1">
      <c r="A2999" s="3">
        <v>40101</v>
      </c>
      <c r="B2999" s="4">
        <v>50</v>
      </c>
      <c r="D2999" s="5">
        <v>82775</v>
      </c>
      <c r="E2999" s="5">
        <f t="shared" si="101"/>
        <v>46150</v>
      </c>
      <c r="F2999" s="5">
        <v>128975</v>
      </c>
      <c r="K2999" s="24">
        <v>2140</v>
      </c>
      <c r="L2999" s="6">
        <v>2164.5</v>
      </c>
      <c r="M2999" s="270">
        <f t="shared" si="102"/>
        <v>24.5</v>
      </c>
      <c r="N2999" s="19"/>
      <c r="O2999" s="280"/>
      <c r="P2999" s="345">
        <v>15600</v>
      </c>
      <c r="Q2999" s="28">
        <v>0.14649999999999999</v>
      </c>
      <c r="U2999" s="29">
        <v>0.1</v>
      </c>
      <c r="W2999" s="741">
        <f t="shared" si="103"/>
        <v>2513.9400000000005</v>
      </c>
    </row>
    <row r="3000" spans="1:23" ht="15" customHeight="1">
      <c r="A3000" s="3">
        <v>40102</v>
      </c>
      <c r="B3000" s="4">
        <v>50</v>
      </c>
      <c r="D3000" s="5">
        <v>82525</v>
      </c>
      <c r="E3000" s="5">
        <f t="shared" si="101"/>
        <v>46600</v>
      </c>
      <c r="F3000" s="5">
        <v>129175</v>
      </c>
      <c r="K3000" s="24">
        <v>2180</v>
      </c>
      <c r="L3000" s="6">
        <v>2194.5</v>
      </c>
      <c r="M3000" s="270">
        <f t="shared" si="102"/>
        <v>14.5</v>
      </c>
      <c r="N3000" s="19"/>
      <c r="O3000" s="280"/>
      <c r="P3000" s="345">
        <v>15600</v>
      </c>
      <c r="Q3000" s="28">
        <v>0.14649999999999999</v>
      </c>
      <c r="U3000" s="29">
        <v>0.1</v>
      </c>
      <c r="W3000" s="741">
        <f t="shared" si="103"/>
        <v>2513.9400000000005</v>
      </c>
    </row>
    <row r="3001" spans="1:23" ht="15" customHeight="1">
      <c r="A3001" s="3">
        <v>40105</v>
      </c>
      <c r="B3001" s="4">
        <v>50</v>
      </c>
      <c r="D3001" s="5">
        <v>82375</v>
      </c>
      <c r="E3001" s="5">
        <f t="shared" si="101"/>
        <v>46600</v>
      </c>
      <c r="F3001" s="5">
        <v>129025</v>
      </c>
      <c r="K3001" s="24">
        <v>2191</v>
      </c>
      <c r="L3001" s="6">
        <v>2215</v>
      </c>
      <c r="M3001" s="270">
        <f t="shared" si="102"/>
        <v>24</v>
      </c>
      <c r="N3001" s="19"/>
      <c r="O3001" s="280"/>
      <c r="P3001" s="345">
        <v>15600</v>
      </c>
      <c r="Q3001" s="28">
        <v>0.14649999999999999</v>
      </c>
      <c r="U3001" s="29">
        <v>0.1</v>
      </c>
      <c r="W3001" s="741">
        <f t="shared" si="103"/>
        <v>2513.9400000000005</v>
      </c>
    </row>
    <row r="3002" spans="1:23" ht="15" customHeight="1">
      <c r="A3002" s="3">
        <v>40106</v>
      </c>
      <c r="B3002" s="4">
        <v>50</v>
      </c>
      <c r="D3002" s="5">
        <v>82100</v>
      </c>
      <c r="E3002" s="5">
        <f t="shared" si="101"/>
        <v>46900</v>
      </c>
      <c r="F3002" s="5">
        <v>129050</v>
      </c>
      <c r="K3002" s="24">
        <v>2315</v>
      </c>
      <c r="L3002" s="6">
        <v>2333.5</v>
      </c>
      <c r="M3002" s="270">
        <f t="shared" si="102"/>
        <v>18.5</v>
      </c>
      <c r="N3002" s="19"/>
      <c r="O3002" s="280"/>
      <c r="P3002" s="345">
        <v>15700</v>
      </c>
      <c r="Q3002" s="28">
        <v>0.14649999999999999</v>
      </c>
      <c r="U3002" s="29">
        <v>0.1</v>
      </c>
      <c r="W3002" s="741">
        <f t="shared" si="103"/>
        <v>2530.0549999999998</v>
      </c>
    </row>
    <row r="3003" spans="1:23" ht="15" customHeight="1">
      <c r="A3003" s="3">
        <v>40107</v>
      </c>
      <c r="B3003" s="4">
        <v>50</v>
      </c>
      <c r="D3003" s="5">
        <v>82000</v>
      </c>
      <c r="E3003" s="5">
        <f t="shared" si="101"/>
        <v>47475</v>
      </c>
      <c r="F3003" s="5">
        <v>129525</v>
      </c>
      <c r="K3003" s="24">
        <v>2246</v>
      </c>
      <c r="L3003" s="6">
        <v>2270</v>
      </c>
      <c r="M3003" s="270">
        <f t="shared" si="102"/>
        <v>24</v>
      </c>
      <c r="N3003" s="19"/>
      <c r="O3003" s="280"/>
      <c r="P3003" s="345">
        <v>15700</v>
      </c>
      <c r="Q3003" s="28">
        <v>0.14649999999999999</v>
      </c>
      <c r="U3003" s="29">
        <v>0.1</v>
      </c>
      <c r="W3003" s="741">
        <f t="shared" si="103"/>
        <v>2530.0549999999998</v>
      </c>
    </row>
    <row r="3004" spans="1:23" ht="15" customHeight="1">
      <c r="A3004" s="3">
        <v>40108</v>
      </c>
      <c r="B3004" s="4">
        <v>50</v>
      </c>
      <c r="D3004" s="5">
        <v>81575</v>
      </c>
      <c r="E3004" s="5">
        <f t="shared" si="101"/>
        <v>47475</v>
      </c>
      <c r="F3004" s="5">
        <v>129100</v>
      </c>
      <c r="K3004" s="24">
        <v>2410.5</v>
      </c>
      <c r="L3004" s="6">
        <v>2437</v>
      </c>
      <c r="M3004" s="270">
        <f t="shared" si="102"/>
        <v>26.5</v>
      </c>
      <c r="N3004" s="19"/>
      <c r="O3004" s="280"/>
      <c r="P3004" s="345">
        <v>15900</v>
      </c>
      <c r="Q3004" s="28">
        <v>0.14649999999999999</v>
      </c>
      <c r="U3004" s="29">
        <v>0.1</v>
      </c>
      <c r="W3004" s="741">
        <f t="shared" si="103"/>
        <v>2562.2850000000003</v>
      </c>
    </row>
    <row r="3005" spans="1:23" ht="15" customHeight="1">
      <c r="A3005" s="3">
        <v>40109</v>
      </c>
      <c r="B3005" s="4">
        <v>50</v>
      </c>
      <c r="D3005" s="5">
        <v>81350</v>
      </c>
      <c r="E3005" s="5">
        <f t="shared" si="101"/>
        <v>49000</v>
      </c>
      <c r="F3005" s="5">
        <v>130400</v>
      </c>
      <c r="K3005" s="24">
        <v>2405.5</v>
      </c>
      <c r="L3005" s="6">
        <v>2437</v>
      </c>
      <c r="M3005" s="270">
        <f t="shared" si="102"/>
        <v>31.5</v>
      </c>
      <c r="N3005" s="19"/>
      <c r="O3005" s="280"/>
      <c r="P3005" s="345">
        <v>15900</v>
      </c>
      <c r="Q3005" s="28">
        <v>0.1464</v>
      </c>
      <c r="U3005" s="29">
        <v>0.1</v>
      </c>
      <c r="W3005" s="741">
        <f t="shared" si="103"/>
        <v>2560.5360000000005</v>
      </c>
    </row>
    <row r="3006" spans="1:23" ht="15" customHeight="1">
      <c r="A3006" s="3">
        <v>40112</v>
      </c>
      <c r="B3006" s="4">
        <v>50</v>
      </c>
      <c r="D3006" s="5">
        <v>81225</v>
      </c>
      <c r="E3006" s="5">
        <f t="shared" si="101"/>
        <v>48975</v>
      </c>
      <c r="F3006" s="5">
        <v>130250</v>
      </c>
      <c r="K3006" s="24">
        <v>2376</v>
      </c>
      <c r="L3006" s="6">
        <v>2394</v>
      </c>
      <c r="M3006" s="270">
        <f t="shared" si="102"/>
        <v>18</v>
      </c>
      <c r="N3006" s="19"/>
      <c r="O3006" s="280"/>
      <c r="P3006" s="345">
        <v>15900</v>
      </c>
      <c r="Q3006" s="28">
        <v>0.1464</v>
      </c>
      <c r="U3006" s="29">
        <v>0.1</v>
      </c>
      <c r="W3006" s="741">
        <f t="shared" si="103"/>
        <v>2560.5360000000005</v>
      </c>
    </row>
    <row r="3007" spans="1:23" ht="15" customHeight="1">
      <c r="A3007" s="3">
        <v>40113</v>
      </c>
      <c r="B3007" s="4">
        <v>50</v>
      </c>
      <c r="D3007" s="5">
        <v>80975</v>
      </c>
      <c r="E3007" s="5">
        <f t="shared" si="101"/>
        <v>48975</v>
      </c>
      <c r="F3007" s="5">
        <v>130000</v>
      </c>
      <c r="K3007" s="24">
        <v>2305</v>
      </c>
      <c r="L3007" s="6">
        <v>2325</v>
      </c>
      <c r="M3007" s="270">
        <f t="shared" si="102"/>
        <v>20</v>
      </c>
      <c r="N3007" s="19"/>
      <c r="O3007" s="280"/>
      <c r="P3007" s="345">
        <v>15900</v>
      </c>
      <c r="Q3007" s="28">
        <v>0.1464</v>
      </c>
      <c r="U3007" s="29">
        <v>0.1</v>
      </c>
      <c r="W3007" s="741">
        <f t="shared" si="103"/>
        <v>2560.5360000000005</v>
      </c>
    </row>
    <row r="3008" spans="1:23" ht="15" customHeight="1">
      <c r="A3008" s="3">
        <v>40114</v>
      </c>
      <c r="B3008" s="4">
        <v>50</v>
      </c>
      <c r="D3008" s="5">
        <v>80825</v>
      </c>
      <c r="E3008" s="5">
        <f t="shared" si="101"/>
        <v>48950</v>
      </c>
      <c r="F3008" s="5">
        <v>129825</v>
      </c>
      <c r="K3008" s="24">
        <v>2243</v>
      </c>
      <c r="L3008" s="6">
        <v>2272</v>
      </c>
      <c r="M3008" s="270">
        <f t="shared" si="102"/>
        <v>29</v>
      </c>
      <c r="N3008" s="19"/>
      <c r="O3008" s="280"/>
      <c r="P3008" s="345">
        <v>15850</v>
      </c>
      <c r="Q3008" s="28">
        <v>0.1464</v>
      </c>
      <c r="U3008" s="29">
        <v>0.1</v>
      </c>
      <c r="W3008" s="741">
        <f t="shared" si="103"/>
        <v>2552.4840000000004</v>
      </c>
    </row>
    <row r="3009" spans="1:23" ht="15" customHeight="1">
      <c r="A3009" s="3">
        <v>40115</v>
      </c>
      <c r="B3009" s="4">
        <v>50</v>
      </c>
      <c r="D3009" s="5">
        <v>80625</v>
      </c>
      <c r="E3009" s="5">
        <f t="shared" si="101"/>
        <v>49000</v>
      </c>
      <c r="F3009" s="5">
        <v>129675</v>
      </c>
      <c r="K3009" s="24">
        <v>2297</v>
      </c>
      <c r="L3009" s="6">
        <v>2321</v>
      </c>
      <c r="M3009" s="270">
        <f t="shared" si="102"/>
        <v>24</v>
      </c>
      <c r="N3009" s="19"/>
      <c r="O3009" s="280"/>
      <c r="P3009" s="345">
        <v>15700</v>
      </c>
      <c r="Q3009" s="28">
        <v>0.1464</v>
      </c>
      <c r="U3009" s="29">
        <v>0.1</v>
      </c>
      <c r="W3009" s="741">
        <f t="shared" si="103"/>
        <v>2528.3280000000004</v>
      </c>
    </row>
    <row r="3010" spans="1:23" ht="15" customHeight="1" thickBot="1">
      <c r="A3010" s="12">
        <v>40116</v>
      </c>
      <c r="B3010" s="13">
        <v>50</v>
      </c>
      <c r="C3010" s="13"/>
      <c r="D3010" s="14">
        <v>80325</v>
      </c>
      <c r="E3010" s="14">
        <f t="shared" si="101"/>
        <v>49475</v>
      </c>
      <c r="F3010" s="14">
        <v>129850</v>
      </c>
      <c r="G3010" s="14"/>
      <c r="H3010" s="14"/>
      <c r="I3010" s="14"/>
      <c r="J3010" s="264"/>
      <c r="K3010" s="25">
        <v>2322</v>
      </c>
      <c r="L3010" s="15">
        <v>2348</v>
      </c>
      <c r="M3010" s="271">
        <f t="shared" si="102"/>
        <v>26</v>
      </c>
      <c r="N3010" s="160">
        <f>AVERAGE(K2989:K3010)</f>
        <v>2240.7727272727275</v>
      </c>
      <c r="O3010" s="286">
        <f>AVERAGE(K2796:K3010)</f>
        <v>1608.170616113744</v>
      </c>
      <c r="P3010" s="346">
        <v>15750</v>
      </c>
      <c r="Q3010" s="30">
        <v>0.14649999999999999</v>
      </c>
      <c r="R3010" s="30"/>
      <c r="S3010" s="30"/>
      <c r="T3010" s="30"/>
      <c r="U3010" s="31">
        <v>0.1</v>
      </c>
      <c r="V3010" s="46">
        <f>AVERAGE(P2989:P3010)</f>
        <v>15712.5</v>
      </c>
      <c r="W3010" s="741">
        <f t="shared" si="103"/>
        <v>2538.1125000000002</v>
      </c>
    </row>
    <row r="3011" spans="1:23" ht="15" customHeight="1">
      <c r="A3011" s="3">
        <v>40119</v>
      </c>
      <c r="B3011" s="4">
        <v>550</v>
      </c>
      <c r="D3011" s="5">
        <v>80075</v>
      </c>
      <c r="E3011" s="5">
        <f t="shared" si="101"/>
        <v>48975</v>
      </c>
      <c r="F3011" s="5">
        <v>129600</v>
      </c>
      <c r="K3011" s="24">
        <v>2260</v>
      </c>
      <c r="L3011" s="6">
        <v>2281</v>
      </c>
      <c r="M3011" s="270">
        <f t="shared" si="102"/>
        <v>21</v>
      </c>
      <c r="N3011" s="21"/>
      <c r="O3011" s="283"/>
      <c r="P3011" s="348">
        <v>15750</v>
      </c>
      <c r="Q3011" s="41">
        <v>0.14649999999999999</v>
      </c>
      <c r="R3011" s="41"/>
      <c r="S3011" s="41"/>
      <c r="T3011" s="41"/>
      <c r="U3011" s="42">
        <v>0.1</v>
      </c>
      <c r="V3011" s="45"/>
      <c r="W3011" s="741">
        <f t="shared" si="103"/>
        <v>2538.1125000000002</v>
      </c>
    </row>
    <row r="3012" spans="1:23" ht="15" customHeight="1">
      <c r="A3012" s="3">
        <v>40120</v>
      </c>
      <c r="B3012" s="4">
        <v>550</v>
      </c>
      <c r="D3012" s="5">
        <v>80125</v>
      </c>
      <c r="E3012" s="5">
        <f t="shared" si="101"/>
        <v>48975</v>
      </c>
      <c r="F3012" s="5">
        <v>129650</v>
      </c>
      <c r="K3012" s="24">
        <v>2250.5</v>
      </c>
      <c r="L3012" s="6">
        <v>2270</v>
      </c>
      <c r="M3012" s="270">
        <f t="shared" si="102"/>
        <v>19.5</v>
      </c>
      <c r="N3012" s="19"/>
      <c r="O3012" s="280"/>
      <c r="P3012" s="345">
        <v>15700</v>
      </c>
      <c r="Q3012" s="28">
        <v>0.14649999999999999</v>
      </c>
      <c r="U3012" s="29">
        <v>0.1</v>
      </c>
      <c r="W3012" s="741">
        <f t="shared" si="103"/>
        <v>2530.0549999999998</v>
      </c>
    </row>
    <row r="3013" spans="1:23" ht="15" customHeight="1">
      <c r="A3013" s="3">
        <v>40121</v>
      </c>
      <c r="B3013" s="4">
        <v>550</v>
      </c>
      <c r="D3013" s="5">
        <v>80100</v>
      </c>
      <c r="E3013" s="5">
        <f t="shared" si="101"/>
        <v>49475</v>
      </c>
      <c r="F3013" s="5">
        <v>130125</v>
      </c>
      <c r="K3013" s="24">
        <v>2312</v>
      </c>
      <c r="L3013" s="6">
        <v>2335</v>
      </c>
      <c r="M3013" s="270">
        <f t="shared" si="102"/>
        <v>23</v>
      </c>
      <c r="N3013" s="19"/>
      <c r="O3013" s="280"/>
      <c r="P3013" s="345">
        <v>15700</v>
      </c>
      <c r="Q3013" s="28">
        <v>0.14649999999999999</v>
      </c>
      <c r="U3013" s="29">
        <v>0.1</v>
      </c>
      <c r="W3013" s="741">
        <f t="shared" si="103"/>
        <v>2530.0549999999998</v>
      </c>
    </row>
    <row r="3014" spans="1:23" ht="15" customHeight="1">
      <c r="A3014" s="3">
        <v>40122</v>
      </c>
      <c r="B3014" s="4">
        <v>550</v>
      </c>
      <c r="D3014" s="5">
        <v>80150</v>
      </c>
      <c r="E3014" s="5">
        <f t="shared" si="101"/>
        <v>50225</v>
      </c>
      <c r="F3014" s="5">
        <v>130925</v>
      </c>
      <c r="K3014" s="24">
        <v>2320</v>
      </c>
      <c r="L3014" s="6">
        <v>2345</v>
      </c>
      <c r="M3014" s="270">
        <f t="shared" si="102"/>
        <v>25</v>
      </c>
      <c r="N3014" s="19"/>
      <c r="O3014" s="280"/>
      <c r="P3014" s="345">
        <v>15700</v>
      </c>
      <c r="Q3014" s="28">
        <v>0.14649999999999999</v>
      </c>
      <c r="U3014" s="29">
        <v>0.1</v>
      </c>
      <c r="W3014" s="741">
        <f t="shared" si="103"/>
        <v>2530.0549999999998</v>
      </c>
    </row>
    <row r="3015" spans="1:23" ht="15" customHeight="1">
      <c r="A3015" s="3">
        <v>40123</v>
      </c>
      <c r="B3015" s="4">
        <v>550</v>
      </c>
      <c r="D3015" s="5">
        <v>80150</v>
      </c>
      <c r="E3015" s="5">
        <f t="shared" si="101"/>
        <v>50100</v>
      </c>
      <c r="F3015" s="5">
        <v>130800</v>
      </c>
      <c r="K3015" s="24">
        <v>2320</v>
      </c>
      <c r="L3015" s="6">
        <v>2330.5</v>
      </c>
      <c r="M3015" s="270">
        <f t="shared" si="102"/>
        <v>10.5</v>
      </c>
      <c r="N3015" s="19"/>
      <c r="O3015" s="280"/>
      <c r="P3015" s="345">
        <v>15700</v>
      </c>
      <c r="Q3015" s="28">
        <v>0.14649999999999999</v>
      </c>
      <c r="U3015" s="29">
        <v>0.1</v>
      </c>
      <c r="W3015" s="741">
        <f t="shared" si="103"/>
        <v>2530.0549999999998</v>
      </c>
    </row>
    <row r="3016" spans="1:23" ht="15" customHeight="1">
      <c r="A3016" s="3">
        <v>40126</v>
      </c>
      <c r="B3016" s="4">
        <v>550</v>
      </c>
      <c r="D3016" s="5">
        <v>80150</v>
      </c>
      <c r="E3016" s="5">
        <f t="shared" si="101"/>
        <v>50325</v>
      </c>
      <c r="F3016" s="5">
        <v>131025</v>
      </c>
      <c r="K3016" s="24">
        <v>2278</v>
      </c>
      <c r="L3016" s="6">
        <v>2298</v>
      </c>
      <c r="M3016" s="270">
        <f t="shared" si="102"/>
        <v>20</v>
      </c>
      <c r="N3016" s="19"/>
      <c r="O3016" s="280"/>
      <c r="P3016" s="345">
        <v>15600</v>
      </c>
      <c r="Q3016" s="28">
        <v>0.14649999999999999</v>
      </c>
      <c r="U3016" s="29">
        <v>0.1</v>
      </c>
      <c r="W3016" s="741">
        <f t="shared" si="103"/>
        <v>2513.9400000000005</v>
      </c>
    </row>
    <row r="3017" spans="1:23" ht="15" customHeight="1">
      <c r="A3017" s="3">
        <v>40127</v>
      </c>
      <c r="B3017" s="4">
        <v>550</v>
      </c>
      <c r="D3017" s="5">
        <v>80150</v>
      </c>
      <c r="E3017" s="5">
        <f t="shared" si="101"/>
        <v>50650</v>
      </c>
      <c r="F3017" s="5">
        <v>131350</v>
      </c>
      <c r="K3017" s="24">
        <v>2258</v>
      </c>
      <c r="L3017" s="6">
        <v>2270</v>
      </c>
      <c r="M3017" s="270">
        <f t="shared" si="102"/>
        <v>12</v>
      </c>
      <c r="N3017" s="19"/>
      <c r="O3017" s="280"/>
      <c r="P3017" s="345">
        <v>15500</v>
      </c>
      <c r="Q3017" s="28">
        <v>0.14649999999999999</v>
      </c>
      <c r="U3017" s="29">
        <v>0.1</v>
      </c>
      <c r="W3017" s="741">
        <f t="shared" si="103"/>
        <v>2497.8250000000003</v>
      </c>
    </row>
    <row r="3018" spans="1:23" ht="15" customHeight="1">
      <c r="A3018" s="3">
        <v>40128</v>
      </c>
      <c r="B3018" s="4">
        <v>550</v>
      </c>
      <c r="D3018" s="5">
        <v>80150</v>
      </c>
      <c r="E3018" s="5">
        <f t="shared" si="101"/>
        <v>51100</v>
      </c>
      <c r="F3018" s="5">
        <v>131800</v>
      </c>
      <c r="K3018" s="24">
        <v>2312.5</v>
      </c>
      <c r="L3018" s="6">
        <v>2337</v>
      </c>
      <c r="M3018" s="270">
        <f t="shared" si="102"/>
        <v>24.5</v>
      </c>
      <c r="N3018" s="19"/>
      <c r="O3018" s="280"/>
      <c r="P3018" s="345">
        <v>15500</v>
      </c>
      <c r="Q3018" s="28">
        <v>0.14649999999999999</v>
      </c>
      <c r="U3018" s="29">
        <v>0.1</v>
      </c>
      <c r="W3018" s="741">
        <f t="shared" si="103"/>
        <v>2497.8250000000003</v>
      </c>
    </row>
    <row r="3019" spans="1:23" ht="15" customHeight="1">
      <c r="A3019" s="3">
        <v>40129</v>
      </c>
      <c r="B3019" s="4">
        <v>550</v>
      </c>
      <c r="D3019" s="5">
        <v>80150</v>
      </c>
      <c r="E3019" s="5">
        <f t="shared" ref="E3019:E3105" si="104">F3019-(B3019+D3019)</f>
        <v>51375</v>
      </c>
      <c r="F3019" s="5">
        <v>132075</v>
      </c>
      <c r="K3019" s="24">
        <v>2251</v>
      </c>
      <c r="L3019" s="6">
        <v>2270</v>
      </c>
      <c r="M3019" s="270">
        <f t="shared" si="102"/>
        <v>19</v>
      </c>
      <c r="N3019" s="19"/>
      <c r="O3019" s="280"/>
      <c r="P3019" s="345">
        <v>15500</v>
      </c>
      <c r="Q3019" s="28">
        <v>0.14649999999999999</v>
      </c>
      <c r="U3019" s="29">
        <v>0.1</v>
      </c>
      <c r="W3019" s="741">
        <f t="shared" si="103"/>
        <v>2497.8250000000003</v>
      </c>
    </row>
    <row r="3020" spans="1:23" ht="15" customHeight="1">
      <c r="A3020" s="3">
        <v>40130</v>
      </c>
      <c r="B3020" s="4">
        <v>550</v>
      </c>
      <c r="D3020" s="5">
        <v>80150</v>
      </c>
      <c r="E3020" s="5">
        <f t="shared" si="104"/>
        <v>51550</v>
      </c>
      <c r="F3020" s="5">
        <v>132250</v>
      </c>
      <c r="K3020" s="24">
        <v>2241</v>
      </c>
      <c r="L3020" s="6">
        <v>2262</v>
      </c>
      <c r="M3020" s="270">
        <f t="shared" si="102"/>
        <v>21</v>
      </c>
      <c r="N3020" s="19"/>
      <c r="O3020" s="280"/>
      <c r="P3020" s="345">
        <v>15450</v>
      </c>
      <c r="Q3020" s="28">
        <v>0.14649999999999999</v>
      </c>
      <c r="U3020" s="29">
        <v>0.1</v>
      </c>
      <c r="W3020" s="741">
        <f t="shared" si="103"/>
        <v>2489.7674999999999</v>
      </c>
    </row>
    <row r="3021" spans="1:23" ht="15" customHeight="1">
      <c r="A3021" s="3">
        <v>40133</v>
      </c>
      <c r="B3021" s="4">
        <v>550</v>
      </c>
      <c r="D3021" s="5">
        <v>80125</v>
      </c>
      <c r="E3021" s="5">
        <f t="shared" si="104"/>
        <v>51550</v>
      </c>
      <c r="F3021" s="5">
        <v>132225</v>
      </c>
      <c r="K3021" s="24">
        <v>2290.5</v>
      </c>
      <c r="L3021" s="6">
        <v>2321</v>
      </c>
      <c r="M3021" s="270">
        <f t="shared" si="102"/>
        <v>30.5</v>
      </c>
      <c r="N3021" s="19"/>
      <c r="O3021" s="280"/>
      <c r="P3021" s="345">
        <v>15500</v>
      </c>
      <c r="Q3021" s="28">
        <v>0.14649999999999999</v>
      </c>
      <c r="U3021" s="29">
        <v>0.1</v>
      </c>
      <c r="W3021" s="741">
        <f t="shared" si="103"/>
        <v>2497.8250000000003</v>
      </c>
    </row>
    <row r="3022" spans="1:23" ht="15" customHeight="1">
      <c r="A3022" s="3">
        <v>40134</v>
      </c>
      <c r="B3022" s="4">
        <v>550</v>
      </c>
      <c r="D3022" s="5">
        <v>80050</v>
      </c>
      <c r="E3022" s="5">
        <f t="shared" si="104"/>
        <v>51800</v>
      </c>
      <c r="F3022" s="5">
        <v>132400</v>
      </c>
      <c r="K3022" s="24">
        <v>2331</v>
      </c>
      <c r="L3022" s="6">
        <v>2357</v>
      </c>
      <c r="M3022" s="270">
        <f t="shared" si="102"/>
        <v>26</v>
      </c>
      <c r="N3022" s="19"/>
      <c r="O3022" s="280"/>
      <c r="P3022" s="345">
        <v>15700</v>
      </c>
      <c r="Q3022" s="28">
        <v>0.14649999999999999</v>
      </c>
      <c r="U3022" s="29">
        <v>0.1</v>
      </c>
      <c r="W3022" s="741">
        <f t="shared" si="103"/>
        <v>2530.0549999999998</v>
      </c>
    </row>
    <row r="3023" spans="1:23" ht="15" customHeight="1">
      <c r="A3023" s="3">
        <v>40135</v>
      </c>
      <c r="B3023" s="4">
        <v>550</v>
      </c>
      <c r="D3023" s="5">
        <v>80500</v>
      </c>
      <c r="E3023" s="5">
        <f t="shared" si="104"/>
        <v>51975</v>
      </c>
      <c r="F3023" s="5">
        <v>133025</v>
      </c>
      <c r="K3023" s="24">
        <v>2405</v>
      </c>
      <c r="L3023" s="6">
        <v>2430</v>
      </c>
      <c r="M3023" s="270">
        <f t="shared" si="102"/>
        <v>25</v>
      </c>
      <c r="N3023" s="19"/>
      <c r="O3023" s="280"/>
      <c r="P3023" s="345">
        <v>15700</v>
      </c>
      <c r="Q3023" s="28">
        <v>0.14649999999999999</v>
      </c>
      <c r="U3023" s="29">
        <v>0.1</v>
      </c>
      <c r="W3023" s="741">
        <f t="shared" si="103"/>
        <v>2530.0549999999998</v>
      </c>
    </row>
    <row r="3024" spans="1:23" ht="15" customHeight="1">
      <c r="A3024" s="3">
        <v>40136</v>
      </c>
      <c r="B3024" s="4">
        <v>550</v>
      </c>
      <c r="D3024" s="5">
        <v>82450</v>
      </c>
      <c r="E3024" s="5">
        <f t="shared" si="104"/>
        <v>51800</v>
      </c>
      <c r="F3024" s="5">
        <v>134800</v>
      </c>
      <c r="K3024" s="24">
        <v>2335</v>
      </c>
      <c r="L3024" s="6">
        <v>2355</v>
      </c>
      <c r="M3024" s="270">
        <f t="shared" si="102"/>
        <v>20</v>
      </c>
      <c r="N3024" s="19"/>
      <c r="O3024" s="280"/>
      <c r="P3024" s="345">
        <v>15700</v>
      </c>
      <c r="Q3024" s="28">
        <v>0.1464</v>
      </c>
      <c r="U3024" s="29">
        <v>0.1</v>
      </c>
      <c r="W3024" s="741">
        <f t="shared" si="103"/>
        <v>2528.3280000000004</v>
      </c>
    </row>
    <row r="3025" spans="1:26" ht="15" customHeight="1">
      <c r="A3025" s="3">
        <v>40137</v>
      </c>
      <c r="B3025" s="4">
        <v>550</v>
      </c>
      <c r="D3025" s="5">
        <v>82425</v>
      </c>
      <c r="E3025" s="5">
        <f t="shared" si="104"/>
        <v>52150</v>
      </c>
      <c r="F3025" s="5">
        <v>135125</v>
      </c>
      <c r="K3025" s="24">
        <v>2309</v>
      </c>
      <c r="L3025" s="6">
        <v>2340</v>
      </c>
      <c r="M3025" s="270">
        <f t="shared" si="102"/>
        <v>31</v>
      </c>
      <c r="N3025" s="19"/>
      <c r="O3025" s="280"/>
      <c r="P3025" s="345">
        <v>15600</v>
      </c>
      <c r="Q3025" s="28">
        <v>0.14649999999999999</v>
      </c>
      <c r="U3025" s="29">
        <v>0.1</v>
      </c>
      <c r="W3025" s="741">
        <f t="shared" si="103"/>
        <v>2513.9400000000005</v>
      </c>
    </row>
    <row r="3026" spans="1:26" ht="15" customHeight="1">
      <c r="A3026" s="3">
        <v>40140</v>
      </c>
      <c r="B3026" s="4">
        <v>550</v>
      </c>
      <c r="D3026" s="5">
        <v>82425</v>
      </c>
      <c r="E3026" s="5">
        <f t="shared" si="104"/>
        <v>52150</v>
      </c>
      <c r="F3026" s="5">
        <v>135125</v>
      </c>
      <c r="K3026" s="24">
        <v>2375.5</v>
      </c>
      <c r="L3026" s="6">
        <v>2395</v>
      </c>
      <c r="M3026" s="270">
        <f t="shared" si="102"/>
        <v>19.5</v>
      </c>
      <c r="N3026" s="19"/>
      <c r="O3026" s="280"/>
      <c r="P3026" s="345">
        <v>15750</v>
      </c>
      <c r="Q3026" s="28">
        <v>0.1464</v>
      </c>
      <c r="U3026" s="29">
        <v>0.1</v>
      </c>
      <c r="W3026" s="741">
        <f t="shared" si="103"/>
        <v>2536.3800000000006</v>
      </c>
    </row>
    <row r="3027" spans="1:26" ht="15" customHeight="1">
      <c r="A3027" s="3">
        <v>40141</v>
      </c>
      <c r="B3027" s="4">
        <v>550</v>
      </c>
      <c r="D3027" s="5">
        <v>82400</v>
      </c>
      <c r="E3027" s="5">
        <f t="shared" si="104"/>
        <v>52875</v>
      </c>
      <c r="F3027" s="5">
        <v>135825</v>
      </c>
      <c r="K3027" s="24">
        <v>2358</v>
      </c>
      <c r="L3027" s="6">
        <v>2383</v>
      </c>
      <c r="M3027" s="270">
        <f t="shared" ref="M3027:M3049" si="105">L3027-K3027</f>
        <v>25</v>
      </c>
      <c r="N3027" s="19"/>
      <c r="O3027" s="280"/>
      <c r="P3027" s="345">
        <v>15900</v>
      </c>
      <c r="Q3027" s="28">
        <v>0.1464</v>
      </c>
      <c r="U3027" s="29">
        <v>0.1</v>
      </c>
      <c r="W3027" s="741">
        <f t="shared" si="103"/>
        <v>2560.5360000000005</v>
      </c>
    </row>
    <row r="3028" spans="1:26" ht="15" customHeight="1">
      <c r="A3028" s="3">
        <v>40142</v>
      </c>
      <c r="B3028" s="4">
        <v>550</v>
      </c>
      <c r="D3028" s="5">
        <v>83350</v>
      </c>
      <c r="E3028" s="5">
        <f t="shared" si="104"/>
        <v>53025</v>
      </c>
      <c r="F3028" s="5">
        <v>136925</v>
      </c>
      <c r="K3028" s="24">
        <v>2354</v>
      </c>
      <c r="L3028" s="6">
        <v>2380</v>
      </c>
      <c r="M3028" s="270">
        <f t="shared" si="105"/>
        <v>26</v>
      </c>
      <c r="N3028" s="19"/>
      <c r="O3028" s="280"/>
      <c r="P3028" s="345">
        <v>15900</v>
      </c>
      <c r="Q3028" s="28">
        <v>0.1464</v>
      </c>
      <c r="U3028" s="29">
        <v>0.1</v>
      </c>
      <c r="W3028" s="741">
        <f t="shared" si="103"/>
        <v>2560.5360000000005</v>
      </c>
    </row>
    <row r="3029" spans="1:26" ht="15" customHeight="1">
      <c r="A3029" s="3">
        <v>40143</v>
      </c>
      <c r="B3029" s="4">
        <v>550</v>
      </c>
      <c r="D3029" s="5">
        <v>83350</v>
      </c>
      <c r="E3029" s="5">
        <f t="shared" si="104"/>
        <v>53125</v>
      </c>
      <c r="F3029" s="5">
        <v>137025</v>
      </c>
      <c r="K3029" s="24">
        <v>2344</v>
      </c>
      <c r="L3029" s="6">
        <v>2371</v>
      </c>
      <c r="M3029" s="270">
        <f t="shared" si="105"/>
        <v>27</v>
      </c>
      <c r="N3029" s="19"/>
      <c r="O3029" s="280"/>
      <c r="P3029" s="345">
        <v>16000</v>
      </c>
      <c r="Q3029" s="28">
        <v>0.14649999999999999</v>
      </c>
      <c r="U3029" s="29">
        <v>0.1</v>
      </c>
      <c r="W3029" s="741">
        <f t="shared" si="103"/>
        <v>2578.4</v>
      </c>
    </row>
    <row r="3030" spans="1:26" ht="15" customHeight="1">
      <c r="A3030" s="3">
        <v>40144</v>
      </c>
      <c r="B3030" s="4">
        <v>550</v>
      </c>
      <c r="D3030" s="5">
        <v>83350</v>
      </c>
      <c r="E3030" s="5">
        <f t="shared" si="104"/>
        <v>53375</v>
      </c>
      <c r="F3030" s="5">
        <v>137275</v>
      </c>
      <c r="K3030" s="24">
        <v>2289</v>
      </c>
      <c r="L3030" s="6">
        <v>2310</v>
      </c>
      <c r="M3030" s="270">
        <f t="shared" si="105"/>
        <v>21</v>
      </c>
      <c r="N3030" s="19"/>
      <c r="O3030" s="280"/>
      <c r="P3030" s="345">
        <v>16000</v>
      </c>
      <c r="Q3030" s="28">
        <v>0.14649999999999999</v>
      </c>
      <c r="U3030" s="29">
        <v>0.1</v>
      </c>
      <c r="W3030" s="741">
        <f t="shared" si="103"/>
        <v>2578.4</v>
      </c>
    </row>
    <row r="3031" spans="1:26" ht="15" customHeight="1" thickBot="1">
      <c r="A3031" s="12">
        <v>40147</v>
      </c>
      <c r="B3031" s="13">
        <v>550</v>
      </c>
      <c r="C3031" s="13"/>
      <c r="D3031" s="14">
        <v>83350</v>
      </c>
      <c r="E3031" s="14">
        <f t="shared" si="104"/>
        <v>53950</v>
      </c>
      <c r="F3031" s="14">
        <v>137850</v>
      </c>
      <c r="G3031" s="14"/>
      <c r="H3031" s="14"/>
      <c r="I3031" s="14"/>
      <c r="J3031" s="264"/>
      <c r="K3031" s="25">
        <v>2290</v>
      </c>
      <c r="L3031" s="15">
        <v>2316</v>
      </c>
      <c r="M3031" s="271">
        <f t="shared" si="105"/>
        <v>26</v>
      </c>
      <c r="N3031" s="160">
        <f>AVERAGE(K3011:K3031)</f>
        <v>2308.7619047619046</v>
      </c>
      <c r="O3031" s="286">
        <f>AVERAGE(K2796:K3031)</f>
        <v>1671.5862068965516</v>
      </c>
      <c r="P3031" s="346">
        <v>15900</v>
      </c>
      <c r="Q3031" s="30">
        <v>0.14649999999999999</v>
      </c>
      <c r="R3031" s="30"/>
      <c r="S3031" s="30"/>
      <c r="T3031" s="30"/>
      <c r="U3031" s="31">
        <v>0.1</v>
      </c>
      <c r="V3031" s="46">
        <f>AVERAGE(P3011:P3031)</f>
        <v>15702.380952380952</v>
      </c>
      <c r="W3031" s="741">
        <f t="shared" si="103"/>
        <v>2562.2850000000003</v>
      </c>
    </row>
    <row r="3032" spans="1:26" ht="15" customHeight="1">
      <c r="A3032" s="3">
        <v>40148</v>
      </c>
      <c r="B3032" s="4">
        <v>550</v>
      </c>
      <c r="D3032" s="5">
        <v>83350</v>
      </c>
      <c r="E3032" s="5">
        <f t="shared" si="104"/>
        <v>54550</v>
      </c>
      <c r="F3032" s="5">
        <v>138450</v>
      </c>
      <c r="K3032" s="24">
        <v>2343</v>
      </c>
      <c r="L3032" s="6">
        <v>2372</v>
      </c>
      <c r="M3032" s="270">
        <f t="shared" si="105"/>
        <v>29</v>
      </c>
      <c r="N3032" s="21"/>
      <c r="O3032" s="283"/>
      <c r="P3032" s="345">
        <v>15950</v>
      </c>
      <c r="Q3032" s="28">
        <v>0.14649999999999999</v>
      </c>
      <c r="U3032" s="42">
        <v>0.1</v>
      </c>
      <c r="W3032" s="741">
        <f t="shared" si="103"/>
        <v>2570.3424999999997</v>
      </c>
      <c r="Z3032" s="19"/>
    </row>
    <row r="3033" spans="1:26" ht="15" customHeight="1">
      <c r="A3033" s="3">
        <v>40149</v>
      </c>
      <c r="B3033" s="4">
        <v>550</v>
      </c>
      <c r="D3033" s="5">
        <v>83350</v>
      </c>
      <c r="E3033" s="5">
        <f t="shared" si="104"/>
        <v>54700</v>
      </c>
      <c r="F3033" s="5">
        <v>138600</v>
      </c>
      <c r="K3033" s="24">
        <v>2445</v>
      </c>
      <c r="L3033" s="6">
        <v>2489</v>
      </c>
      <c r="M3033" s="270">
        <f t="shared" si="105"/>
        <v>44</v>
      </c>
      <c r="N3033" s="19"/>
      <c r="O3033" s="280"/>
      <c r="P3033" s="345">
        <v>16100</v>
      </c>
      <c r="Q3033" s="28">
        <v>0.14649999999999999</v>
      </c>
      <c r="U3033" s="29">
        <v>0.1</v>
      </c>
      <c r="W3033" s="741">
        <f t="shared" si="103"/>
        <v>2594.5149999999999</v>
      </c>
    </row>
    <row r="3034" spans="1:26" ht="15" customHeight="1">
      <c r="A3034" s="3">
        <v>40150</v>
      </c>
      <c r="B3034" s="4">
        <v>550</v>
      </c>
      <c r="D3034" s="5">
        <v>83350</v>
      </c>
      <c r="E3034" s="5">
        <f t="shared" si="104"/>
        <v>55325</v>
      </c>
      <c r="F3034" s="5">
        <v>139225</v>
      </c>
      <c r="K3034" s="24">
        <v>2413</v>
      </c>
      <c r="L3034" s="6">
        <v>2437</v>
      </c>
      <c r="M3034" s="270">
        <f t="shared" si="105"/>
        <v>24</v>
      </c>
      <c r="N3034" s="19"/>
      <c r="O3034" s="280"/>
      <c r="P3034" s="345">
        <v>16200</v>
      </c>
      <c r="Q3034" s="28">
        <v>0.14649999999999999</v>
      </c>
      <c r="U3034" s="29">
        <v>0.1</v>
      </c>
      <c r="W3034" s="741">
        <f t="shared" si="103"/>
        <v>2610.63</v>
      </c>
    </row>
    <row r="3035" spans="1:26" ht="15" customHeight="1">
      <c r="A3035" s="3">
        <v>40151</v>
      </c>
      <c r="B3035" s="4">
        <v>900</v>
      </c>
      <c r="D3035" s="5">
        <v>83350</v>
      </c>
      <c r="E3035" s="5">
        <f t="shared" si="104"/>
        <v>55325</v>
      </c>
      <c r="F3035" s="5">
        <v>139575</v>
      </c>
      <c r="K3035" s="24">
        <v>2345</v>
      </c>
      <c r="L3035" s="6">
        <v>2366</v>
      </c>
      <c r="M3035" s="270">
        <f t="shared" si="105"/>
        <v>21</v>
      </c>
      <c r="N3035" s="19"/>
      <c r="O3035" s="280"/>
      <c r="P3035" s="345">
        <v>16100</v>
      </c>
      <c r="Q3035" s="28">
        <v>0.14649999999999999</v>
      </c>
      <c r="U3035" s="29">
        <v>0.1</v>
      </c>
      <c r="W3035" s="741">
        <f t="shared" si="103"/>
        <v>2594.5149999999999</v>
      </c>
    </row>
    <row r="3036" spans="1:26" ht="15" customHeight="1">
      <c r="A3036" s="3">
        <v>40154</v>
      </c>
      <c r="B3036" s="4">
        <v>900</v>
      </c>
      <c r="D3036" s="5">
        <v>83850</v>
      </c>
      <c r="E3036" s="5">
        <f t="shared" si="104"/>
        <v>55600</v>
      </c>
      <c r="F3036" s="5">
        <v>140350</v>
      </c>
      <c r="K3036" s="24">
        <v>2297</v>
      </c>
      <c r="L3036" s="6">
        <v>2325</v>
      </c>
      <c r="M3036" s="270">
        <f t="shared" si="105"/>
        <v>28</v>
      </c>
      <c r="N3036" s="19"/>
      <c r="O3036" s="280"/>
      <c r="P3036" s="345">
        <v>16000</v>
      </c>
      <c r="Q3036" s="28">
        <v>0.1464</v>
      </c>
      <c r="U3036" s="29">
        <v>0.1</v>
      </c>
      <c r="W3036" s="741">
        <f t="shared" si="103"/>
        <v>2576.6400000000003</v>
      </c>
    </row>
    <row r="3037" spans="1:26" ht="15" customHeight="1">
      <c r="A3037" s="3">
        <v>40155</v>
      </c>
      <c r="B3037" s="4">
        <v>900</v>
      </c>
      <c r="D3037" s="5">
        <v>83850</v>
      </c>
      <c r="E3037" s="5">
        <f t="shared" si="104"/>
        <v>55975</v>
      </c>
      <c r="F3037" s="5">
        <v>140725</v>
      </c>
      <c r="K3037" s="24">
        <v>2256</v>
      </c>
      <c r="L3037" s="6">
        <v>2292</v>
      </c>
      <c r="M3037" s="270">
        <f t="shared" si="105"/>
        <v>36</v>
      </c>
      <c r="N3037" s="19"/>
      <c r="O3037" s="280"/>
      <c r="P3037" s="345">
        <v>15850</v>
      </c>
      <c r="Q3037" s="28">
        <v>0.14649999999999999</v>
      </c>
      <c r="U3037" s="29">
        <v>0.1</v>
      </c>
      <c r="W3037" s="741">
        <f t="shared" si="103"/>
        <v>2554.2275</v>
      </c>
    </row>
    <row r="3038" spans="1:26" ht="15" customHeight="1">
      <c r="A3038" s="3">
        <v>40156</v>
      </c>
      <c r="B3038" s="4">
        <v>900</v>
      </c>
      <c r="D3038" s="5">
        <v>83800</v>
      </c>
      <c r="E3038" s="5">
        <f t="shared" si="104"/>
        <v>56100</v>
      </c>
      <c r="F3038" s="5">
        <v>140800</v>
      </c>
      <c r="K3038" s="24">
        <v>2275</v>
      </c>
      <c r="L3038" s="6">
        <v>2310</v>
      </c>
      <c r="M3038" s="270">
        <f t="shared" si="105"/>
        <v>35</v>
      </c>
      <c r="N3038" s="19"/>
      <c r="O3038" s="280"/>
      <c r="P3038" s="345">
        <v>15650</v>
      </c>
      <c r="Q3038" s="28">
        <v>0.14649999999999999</v>
      </c>
      <c r="U3038" s="29">
        <v>0.1</v>
      </c>
      <c r="W3038" s="741">
        <f t="shared" si="103"/>
        <v>2521.9974999999999</v>
      </c>
    </row>
    <row r="3039" spans="1:26" ht="15" customHeight="1">
      <c r="A3039" s="3">
        <v>40157</v>
      </c>
      <c r="B3039" s="4">
        <v>900</v>
      </c>
      <c r="D3039" s="5">
        <v>83750</v>
      </c>
      <c r="E3039" s="5">
        <f t="shared" si="104"/>
        <v>56100</v>
      </c>
      <c r="F3039" s="5">
        <v>140750</v>
      </c>
      <c r="K3039" s="24">
        <v>2260</v>
      </c>
      <c r="L3039" s="6">
        <v>2287</v>
      </c>
      <c r="M3039" s="270">
        <f t="shared" si="105"/>
        <v>27</v>
      </c>
      <c r="N3039" s="19"/>
      <c r="O3039" s="280"/>
      <c r="P3039" s="345">
        <v>15650</v>
      </c>
      <c r="Q3039" s="28">
        <v>0.14649999999999999</v>
      </c>
      <c r="U3039" s="29">
        <v>0.1</v>
      </c>
      <c r="W3039" s="741">
        <f t="shared" si="103"/>
        <v>2521.9974999999999</v>
      </c>
    </row>
    <row r="3040" spans="1:26" ht="15" customHeight="1">
      <c r="A3040" s="3">
        <v>40158</v>
      </c>
      <c r="B3040" s="4">
        <v>900</v>
      </c>
      <c r="D3040" s="5">
        <v>83975</v>
      </c>
      <c r="E3040" s="5">
        <f t="shared" si="104"/>
        <v>56100</v>
      </c>
      <c r="F3040" s="5">
        <v>140975</v>
      </c>
      <c r="K3040" s="24">
        <v>2290</v>
      </c>
      <c r="L3040" s="6">
        <v>2322</v>
      </c>
      <c r="M3040" s="270">
        <f t="shared" si="105"/>
        <v>32</v>
      </c>
      <c r="N3040" s="19"/>
      <c r="O3040" s="280"/>
      <c r="P3040" s="345">
        <v>15650</v>
      </c>
      <c r="Q3040" s="28">
        <v>0.14649999999999999</v>
      </c>
      <c r="U3040" s="29">
        <v>0.1</v>
      </c>
      <c r="W3040" s="741">
        <f t="shared" si="103"/>
        <v>2521.9974999999999</v>
      </c>
    </row>
    <row r="3041" spans="1:23" ht="15" customHeight="1">
      <c r="A3041" s="3">
        <v>40161</v>
      </c>
      <c r="B3041" s="4">
        <v>900</v>
      </c>
      <c r="D3041" s="5">
        <v>83925</v>
      </c>
      <c r="E3041" s="5">
        <f t="shared" si="104"/>
        <v>56100</v>
      </c>
      <c r="F3041" s="5">
        <v>140925</v>
      </c>
      <c r="K3041" s="24">
        <v>2291</v>
      </c>
      <c r="L3041" s="6">
        <v>2315</v>
      </c>
      <c r="M3041" s="270">
        <f t="shared" si="105"/>
        <v>24</v>
      </c>
      <c r="N3041" s="19"/>
      <c r="O3041" s="280"/>
      <c r="P3041" s="345">
        <v>15700</v>
      </c>
      <c r="Q3041" s="28">
        <v>0.14649999999999999</v>
      </c>
      <c r="U3041" s="29">
        <v>0.1</v>
      </c>
      <c r="W3041" s="741">
        <f t="shared" si="103"/>
        <v>2530.0549999999998</v>
      </c>
    </row>
    <row r="3042" spans="1:23" ht="15" customHeight="1">
      <c r="A3042" s="3">
        <v>40162</v>
      </c>
      <c r="B3042" s="4">
        <v>900</v>
      </c>
      <c r="D3042" s="5">
        <v>83925</v>
      </c>
      <c r="E3042" s="5">
        <f t="shared" si="104"/>
        <v>56100</v>
      </c>
      <c r="F3042" s="5">
        <v>140925</v>
      </c>
      <c r="K3042" s="24">
        <v>2294</v>
      </c>
      <c r="L3042" s="6">
        <v>2322</v>
      </c>
      <c r="M3042" s="270">
        <f t="shared" si="105"/>
        <v>28</v>
      </c>
      <c r="N3042" s="19"/>
      <c r="O3042" s="280"/>
      <c r="P3042" s="345">
        <v>15700</v>
      </c>
      <c r="Q3042" s="28">
        <v>0.14649999999999999</v>
      </c>
      <c r="U3042" s="29">
        <v>0.1</v>
      </c>
      <c r="W3042" s="741">
        <f t="shared" si="103"/>
        <v>2530.0549999999998</v>
      </c>
    </row>
    <row r="3043" spans="1:23" ht="15" customHeight="1">
      <c r="A3043" s="3">
        <v>40163</v>
      </c>
      <c r="B3043" s="4">
        <v>900</v>
      </c>
      <c r="D3043" s="5">
        <v>84575</v>
      </c>
      <c r="E3043" s="5">
        <f t="shared" si="104"/>
        <v>56100</v>
      </c>
      <c r="F3043" s="5">
        <v>141575</v>
      </c>
      <c r="K3043" s="24">
        <v>2368</v>
      </c>
      <c r="L3043" s="6">
        <v>2395</v>
      </c>
      <c r="M3043" s="270">
        <f t="shared" si="105"/>
        <v>27</v>
      </c>
      <c r="N3043" s="19"/>
      <c r="O3043" s="280"/>
      <c r="P3043" s="345">
        <v>15700</v>
      </c>
      <c r="Q3043" s="28">
        <v>0.14649999999999999</v>
      </c>
      <c r="U3043" s="29">
        <v>0.1</v>
      </c>
      <c r="W3043" s="741">
        <f t="shared" si="103"/>
        <v>2530.0549999999998</v>
      </c>
    </row>
    <row r="3044" spans="1:23" ht="15" customHeight="1">
      <c r="A3044" s="3">
        <v>40164</v>
      </c>
      <c r="B3044" s="4">
        <v>900</v>
      </c>
      <c r="D3044" s="5">
        <v>84575</v>
      </c>
      <c r="E3044" s="5">
        <f t="shared" si="104"/>
        <v>56450</v>
      </c>
      <c r="F3044" s="5">
        <v>141925</v>
      </c>
      <c r="K3044" s="24">
        <v>2332</v>
      </c>
      <c r="L3044" s="6">
        <v>2365.5</v>
      </c>
      <c r="M3044" s="270">
        <f t="shared" si="105"/>
        <v>33.5</v>
      </c>
      <c r="N3044" s="19"/>
      <c r="O3044" s="280"/>
      <c r="P3044" s="345">
        <v>15750</v>
      </c>
      <c r="Q3044" s="28">
        <v>0.1464</v>
      </c>
      <c r="U3044" s="29">
        <v>0.1</v>
      </c>
      <c r="W3044" s="741">
        <f t="shared" si="103"/>
        <v>2536.3800000000006</v>
      </c>
    </row>
    <row r="3045" spans="1:23" ht="15" customHeight="1">
      <c r="A3045" s="3">
        <v>40165</v>
      </c>
      <c r="B3045" s="4">
        <v>900</v>
      </c>
      <c r="D3045" s="5">
        <v>84625</v>
      </c>
      <c r="E3045" s="5">
        <f t="shared" si="104"/>
        <v>56650</v>
      </c>
      <c r="F3045" s="5">
        <v>142175</v>
      </c>
      <c r="K3045" s="24">
        <v>2314.5</v>
      </c>
      <c r="L3045" s="6">
        <v>2348.5</v>
      </c>
      <c r="M3045" s="270">
        <f t="shared" si="105"/>
        <v>34</v>
      </c>
      <c r="N3045" s="19"/>
      <c r="O3045" s="280"/>
      <c r="P3045" s="345">
        <v>15650</v>
      </c>
      <c r="Q3045" s="28">
        <v>0.14649999999999999</v>
      </c>
      <c r="U3045" s="29">
        <v>0.1</v>
      </c>
      <c r="W3045" s="741">
        <f t="shared" si="103"/>
        <v>2521.9974999999999</v>
      </c>
    </row>
    <row r="3046" spans="1:23" ht="15" customHeight="1">
      <c r="A3046" s="3">
        <v>40168</v>
      </c>
      <c r="B3046" s="4">
        <v>900</v>
      </c>
      <c r="D3046" s="5">
        <v>84925</v>
      </c>
      <c r="E3046" s="5">
        <f t="shared" si="104"/>
        <v>57150</v>
      </c>
      <c r="F3046" s="5">
        <v>142975</v>
      </c>
      <c r="K3046" s="24">
        <v>2320</v>
      </c>
      <c r="L3046" s="6">
        <v>2347</v>
      </c>
      <c r="M3046" s="270">
        <f t="shared" si="105"/>
        <v>27</v>
      </c>
      <c r="N3046" s="19"/>
      <c r="O3046" s="280"/>
      <c r="P3046" s="345">
        <v>15625</v>
      </c>
      <c r="Q3046" s="28">
        <v>0.1464</v>
      </c>
      <c r="U3046" s="29">
        <v>0.1</v>
      </c>
      <c r="W3046" s="741">
        <f t="shared" si="103"/>
        <v>2516.25</v>
      </c>
    </row>
    <row r="3047" spans="1:23" ht="15" customHeight="1">
      <c r="A3047" s="3">
        <v>40169</v>
      </c>
      <c r="B3047" s="4">
        <v>900</v>
      </c>
      <c r="D3047" s="5">
        <v>84925</v>
      </c>
      <c r="E3047" s="5">
        <f t="shared" si="104"/>
        <v>57350</v>
      </c>
      <c r="F3047" s="5">
        <v>143175</v>
      </c>
      <c r="K3047" s="24">
        <v>2271</v>
      </c>
      <c r="L3047" s="6">
        <v>2310</v>
      </c>
      <c r="M3047" s="270">
        <f t="shared" si="105"/>
        <v>39</v>
      </c>
      <c r="N3047" s="19"/>
      <c r="O3047" s="280"/>
      <c r="P3047" s="345">
        <v>15600</v>
      </c>
      <c r="Q3047" s="28">
        <v>0.1464</v>
      </c>
      <c r="U3047" s="29">
        <v>0.1</v>
      </c>
      <c r="W3047" s="741">
        <f t="shared" si="103"/>
        <v>2512.2240000000002</v>
      </c>
    </row>
    <row r="3048" spans="1:23" ht="15" customHeight="1">
      <c r="A3048" s="3">
        <v>40170</v>
      </c>
      <c r="B3048" s="4">
        <v>900</v>
      </c>
      <c r="D3048" s="5">
        <v>85150</v>
      </c>
      <c r="E3048" s="5">
        <f t="shared" si="104"/>
        <v>58125</v>
      </c>
      <c r="F3048" s="5">
        <v>144175</v>
      </c>
      <c r="K3048" s="24">
        <v>2300</v>
      </c>
      <c r="L3048" s="6">
        <v>2328</v>
      </c>
      <c r="M3048" s="270">
        <f t="shared" si="105"/>
        <v>28</v>
      </c>
      <c r="N3048" s="19"/>
      <c r="O3048" s="280"/>
      <c r="P3048" s="345">
        <v>15550</v>
      </c>
      <c r="Q3048" s="28">
        <v>0.1464</v>
      </c>
      <c r="U3048" s="29">
        <v>0.1</v>
      </c>
      <c r="W3048" s="741">
        <f t="shared" si="103"/>
        <v>2504.172</v>
      </c>
    </row>
    <row r="3049" spans="1:23" ht="15" customHeight="1">
      <c r="A3049" s="3">
        <v>40171</v>
      </c>
      <c r="B3049" s="4">
        <v>900</v>
      </c>
      <c r="D3049" s="5">
        <v>85225</v>
      </c>
      <c r="E3049" s="5">
        <f t="shared" si="104"/>
        <v>58150</v>
      </c>
      <c r="F3049" s="5">
        <v>144275</v>
      </c>
      <c r="K3049" s="24">
        <v>2327</v>
      </c>
      <c r="L3049" s="6">
        <v>2360</v>
      </c>
      <c r="M3049" s="270">
        <f t="shared" si="105"/>
        <v>33</v>
      </c>
      <c r="N3049" s="19"/>
      <c r="O3049" s="280"/>
      <c r="P3049" s="345">
        <v>15600</v>
      </c>
      <c r="Q3049" s="118">
        <f>173.33/1183.6</f>
        <v>0.14644305508617778</v>
      </c>
      <c r="R3049" s="118"/>
      <c r="S3049" s="118"/>
      <c r="T3049" s="118"/>
      <c r="U3049" s="29">
        <v>0.1</v>
      </c>
      <c r="W3049" s="741">
        <f t="shared" si="103"/>
        <v>2512.9628252788107</v>
      </c>
    </row>
    <row r="3050" spans="1:23" ht="15" customHeight="1">
      <c r="A3050" s="3">
        <v>40172</v>
      </c>
      <c r="C3050" s="368"/>
      <c r="D3050" s="368"/>
      <c r="E3050" s="368"/>
      <c r="F3050" s="368"/>
      <c r="G3050" s="1007" t="s">
        <v>61</v>
      </c>
      <c r="H3050" s="1007"/>
      <c r="I3050" s="1007"/>
      <c r="J3050" s="1007"/>
      <c r="K3050" s="368"/>
      <c r="L3050" s="368"/>
      <c r="M3050" s="368"/>
      <c r="N3050" s="19"/>
      <c r="O3050" s="280"/>
      <c r="P3050" s="345">
        <v>15600</v>
      </c>
      <c r="Q3050" s="118">
        <v>0.1464</v>
      </c>
      <c r="R3050" s="118"/>
      <c r="S3050" s="118"/>
      <c r="T3050" s="118"/>
      <c r="U3050" s="29">
        <v>0.1</v>
      </c>
      <c r="W3050" s="741">
        <f t="shared" si="103"/>
        <v>2512.2240000000002</v>
      </c>
    </row>
    <row r="3051" spans="1:23" ht="15" customHeight="1">
      <c r="A3051" s="3">
        <v>40175</v>
      </c>
      <c r="B3051" s="368"/>
      <c r="C3051" s="368"/>
      <c r="D3051" s="368"/>
      <c r="E3051" s="368"/>
      <c r="F3051" s="368"/>
      <c r="G3051" s="1007"/>
      <c r="H3051" s="1007"/>
      <c r="I3051" s="1007"/>
      <c r="J3051" s="1007"/>
      <c r="K3051" s="368"/>
      <c r="L3051" s="368"/>
      <c r="M3051" s="368"/>
      <c r="N3051" s="19"/>
      <c r="O3051" s="280"/>
      <c r="P3051" s="345">
        <v>15600</v>
      </c>
      <c r="Q3051" s="118">
        <v>0.1464</v>
      </c>
      <c r="R3051" s="118"/>
      <c r="S3051" s="118"/>
      <c r="T3051" s="118"/>
      <c r="U3051" s="29">
        <v>0.1</v>
      </c>
      <c r="W3051" s="741">
        <f t="shared" si="103"/>
        <v>2512.2240000000002</v>
      </c>
    </row>
    <row r="3052" spans="1:23" ht="15" customHeight="1">
      <c r="A3052" s="3">
        <v>40176</v>
      </c>
      <c r="B3052" s="4">
        <v>900</v>
      </c>
      <c r="D3052" s="5">
        <v>85450</v>
      </c>
      <c r="E3052" s="5">
        <f t="shared" si="104"/>
        <v>58875</v>
      </c>
      <c r="F3052" s="5">
        <v>145225</v>
      </c>
      <c r="K3052" s="24">
        <v>2365.5</v>
      </c>
      <c r="L3052" s="6">
        <v>2395.5</v>
      </c>
      <c r="M3052" s="270">
        <f>L3052-K3052</f>
        <v>30</v>
      </c>
      <c r="N3052" s="19"/>
      <c r="O3052" s="280"/>
      <c r="P3052" s="345">
        <v>15650</v>
      </c>
      <c r="Q3052" s="28">
        <v>0.1464</v>
      </c>
      <c r="U3052" s="29">
        <v>0.1</v>
      </c>
      <c r="W3052" s="741">
        <f t="shared" si="103"/>
        <v>2520.2759999999998</v>
      </c>
    </row>
    <row r="3053" spans="1:23" ht="15" customHeight="1">
      <c r="A3053" s="3">
        <v>40177</v>
      </c>
      <c r="B3053" s="4">
        <v>1100</v>
      </c>
      <c r="D3053" s="5">
        <v>85525</v>
      </c>
      <c r="E3053" s="5">
        <f t="shared" si="104"/>
        <v>59450</v>
      </c>
      <c r="F3053" s="5">
        <v>146075</v>
      </c>
      <c r="K3053" s="24">
        <v>2397</v>
      </c>
      <c r="L3053" s="6">
        <v>2425.5</v>
      </c>
      <c r="M3053" s="270">
        <f t="shared" ref="M3053:M3116" si="106">L3053-K3053</f>
        <v>28.5</v>
      </c>
      <c r="N3053" s="19"/>
      <c r="O3053" s="280"/>
      <c r="P3053" s="345">
        <v>15750</v>
      </c>
      <c r="Q3053" s="28">
        <v>0.1464</v>
      </c>
      <c r="U3053" s="29">
        <v>0.1</v>
      </c>
      <c r="W3053" s="741">
        <f t="shared" ref="W3053:W3116" si="107">(P3053*Q3053)*(1+U3053)</f>
        <v>2536.3800000000006</v>
      </c>
    </row>
    <row r="3054" spans="1:23" ht="15" customHeight="1" thickBot="1">
      <c r="A3054" s="12">
        <v>40178</v>
      </c>
      <c r="B3054" s="13">
        <v>1100</v>
      </c>
      <c r="C3054" s="13"/>
      <c r="D3054" s="14">
        <v>85900</v>
      </c>
      <c r="E3054" s="14">
        <f t="shared" si="104"/>
        <v>59500</v>
      </c>
      <c r="F3054" s="14">
        <v>146500</v>
      </c>
      <c r="G3054" s="14"/>
      <c r="H3054" s="14"/>
      <c r="I3054" s="14"/>
      <c r="J3054" s="264"/>
      <c r="K3054" s="25">
        <v>2395</v>
      </c>
      <c r="L3054" s="15">
        <v>2416</v>
      </c>
      <c r="M3054" s="271">
        <f t="shared" si="106"/>
        <v>21</v>
      </c>
      <c r="N3054" s="160">
        <f>AVERAGE(K3032:K3054)</f>
        <v>2328.5238095238096</v>
      </c>
      <c r="O3054" s="286">
        <f>AVERAGE(K2796:K3054)</f>
        <v>1726.1146245059288</v>
      </c>
      <c r="P3054" s="346">
        <v>16000</v>
      </c>
      <c r="Q3054" s="30">
        <f>(171.06/1167.6)</f>
        <v>0.14650565262076054</v>
      </c>
      <c r="R3054" s="30"/>
      <c r="S3054" s="30"/>
      <c r="T3054" s="30"/>
      <c r="U3054" s="31">
        <v>0.1</v>
      </c>
      <c r="V3054" s="46">
        <f>AVERAGE(P3032:P3054)</f>
        <v>15766.304347826086</v>
      </c>
      <c r="W3054" s="741">
        <f t="shared" si="107"/>
        <v>2578.4994861253858</v>
      </c>
    </row>
    <row r="3055" spans="1:23" ht="15" customHeight="1">
      <c r="A3055" s="3">
        <v>40182</v>
      </c>
      <c r="B3055" s="4">
        <v>1100</v>
      </c>
      <c r="D3055" s="5">
        <v>86175</v>
      </c>
      <c r="E3055" s="5">
        <f t="shared" si="104"/>
        <v>59500</v>
      </c>
      <c r="F3055" s="5">
        <v>146775</v>
      </c>
      <c r="K3055" s="24">
        <v>2451.5</v>
      </c>
      <c r="L3055" s="6">
        <v>2485</v>
      </c>
      <c r="M3055" s="270">
        <f t="shared" si="106"/>
        <v>33.5</v>
      </c>
      <c r="N3055" s="19"/>
      <c r="O3055" s="287">
        <f>AVERAGE(K3055:K3314)</f>
        <v>2147.5612648221345</v>
      </c>
      <c r="P3055" s="348">
        <v>16000</v>
      </c>
      <c r="Q3055" s="28">
        <f>171.03/1167.6</f>
        <v>0.14647995889003085</v>
      </c>
      <c r="U3055" s="29">
        <v>0.1</v>
      </c>
      <c r="W3055" s="741">
        <f t="shared" si="107"/>
        <v>2578.0472764645428</v>
      </c>
    </row>
    <row r="3056" spans="1:23" ht="15" customHeight="1">
      <c r="A3056" s="3">
        <v>40183</v>
      </c>
      <c r="B3056" s="4">
        <v>1400</v>
      </c>
      <c r="D3056" s="5">
        <v>86300</v>
      </c>
      <c r="E3056" s="5">
        <f t="shared" si="104"/>
        <v>59475</v>
      </c>
      <c r="F3056" s="5">
        <v>147175</v>
      </c>
      <c r="K3056" s="24">
        <v>2440</v>
      </c>
      <c r="L3056" s="6">
        <v>2480</v>
      </c>
      <c r="M3056" s="270">
        <f t="shared" si="106"/>
        <v>40</v>
      </c>
      <c r="N3056" s="19"/>
      <c r="O3056" s="280"/>
      <c r="P3056" s="345">
        <v>16050</v>
      </c>
      <c r="Q3056" s="28">
        <f>169.32/1156.2</f>
        <v>0.14644525168655942</v>
      </c>
      <c r="U3056" s="29">
        <v>0.1</v>
      </c>
      <c r="W3056" s="741">
        <f t="shared" si="107"/>
        <v>2585.4909185262068</v>
      </c>
    </row>
    <row r="3057" spans="1:23" ht="15" customHeight="1">
      <c r="A3057" s="3">
        <v>40184</v>
      </c>
      <c r="B3057" s="4">
        <v>1750</v>
      </c>
      <c r="D3057" s="5">
        <v>86625</v>
      </c>
      <c r="E3057" s="5">
        <f t="shared" si="104"/>
        <v>59475</v>
      </c>
      <c r="F3057" s="5">
        <v>147850</v>
      </c>
      <c r="K3057" s="24">
        <v>2582</v>
      </c>
      <c r="L3057" s="6">
        <v>2615</v>
      </c>
      <c r="M3057" s="270">
        <f t="shared" si="106"/>
        <v>33</v>
      </c>
      <c r="N3057" s="19"/>
      <c r="O3057" s="280"/>
      <c r="P3057" s="345">
        <v>16200</v>
      </c>
      <c r="Q3057" s="28">
        <f>167.62/1144.3</f>
        <v>0.1464825657607271</v>
      </c>
      <c r="U3057" s="29">
        <v>0.1</v>
      </c>
      <c r="W3057" s="741">
        <f t="shared" si="107"/>
        <v>2610.3193218561569</v>
      </c>
    </row>
    <row r="3058" spans="1:23" ht="15" customHeight="1">
      <c r="A3058" s="3">
        <v>40185</v>
      </c>
      <c r="B3058" s="4">
        <v>1825</v>
      </c>
      <c r="D3058" s="5">
        <v>86625</v>
      </c>
      <c r="E3058" s="5">
        <f t="shared" si="104"/>
        <v>60700</v>
      </c>
      <c r="F3058" s="5">
        <v>149150</v>
      </c>
      <c r="K3058" s="24">
        <v>2591</v>
      </c>
      <c r="L3058" s="6">
        <v>2620</v>
      </c>
      <c r="M3058" s="270">
        <f t="shared" si="106"/>
        <v>29</v>
      </c>
      <c r="N3058" s="19"/>
      <c r="O3058" s="280"/>
      <c r="P3058" s="345">
        <v>16500</v>
      </c>
      <c r="Q3058" s="28">
        <f>166.7/1138.2</f>
        <v>0.14645932173607448</v>
      </c>
      <c r="U3058" s="29">
        <v>0.1</v>
      </c>
      <c r="W3058" s="741">
        <f t="shared" si="107"/>
        <v>2658.2366895097521</v>
      </c>
    </row>
    <row r="3059" spans="1:23" ht="15" customHeight="1">
      <c r="A3059" s="3">
        <v>40186</v>
      </c>
      <c r="B3059" s="4">
        <v>1825</v>
      </c>
      <c r="D3059" s="5">
        <v>86625</v>
      </c>
      <c r="E3059" s="5">
        <f t="shared" si="104"/>
        <v>60925</v>
      </c>
      <c r="F3059" s="5">
        <v>149375</v>
      </c>
      <c r="K3059" s="24">
        <v>2524</v>
      </c>
      <c r="L3059" s="6">
        <v>2543</v>
      </c>
      <c r="M3059" s="270">
        <f t="shared" si="106"/>
        <v>19</v>
      </c>
      <c r="N3059" s="19"/>
      <c r="O3059" s="280"/>
      <c r="P3059" s="345">
        <v>16500</v>
      </c>
      <c r="Q3059" s="28">
        <f>165.95/1133.2</f>
        <v>0.14644369925873629</v>
      </c>
      <c r="U3059" s="29">
        <v>0.1</v>
      </c>
      <c r="W3059" s="741">
        <f t="shared" si="107"/>
        <v>2657.9531415460642</v>
      </c>
    </row>
    <row r="3060" spans="1:23" ht="15" customHeight="1">
      <c r="A3060" s="3">
        <v>40189</v>
      </c>
      <c r="B3060" s="4">
        <v>1825</v>
      </c>
      <c r="D3060" s="5">
        <v>87125</v>
      </c>
      <c r="E3060" s="5">
        <f t="shared" si="104"/>
        <v>61150</v>
      </c>
      <c r="F3060" s="5">
        <v>150100</v>
      </c>
      <c r="K3060" s="24">
        <v>2576</v>
      </c>
      <c r="L3060" s="6">
        <v>2596</v>
      </c>
      <c r="M3060" s="270">
        <f t="shared" si="106"/>
        <v>20</v>
      </c>
      <c r="N3060" s="19"/>
      <c r="O3060" s="280"/>
      <c r="P3060" s="345">
        <v>16500</v>
      </c>
      <c r="Q3060" s="28">
        <f>165.93/1132.9</f>
        <v>0.14646482478594755</v>
      </c>
      <c r="U3060" s="29">
        <v>0.1</v>
      </c>
      <c r="W3060" s="741">
        <f t="shared" si="107"/>
        <v>2658.3365698649482</v>
      </c>
    </row>
    <row r="3061" spans="1:23" ht="15" customHeight="1">
      <c r="A3061" s="3">
        <v>40190</v>
      </c>
      <c r="B3061" s="4">
        <v>1825</v>
      </c>
      <c r="D3061" s="5">
        <v>87125</v>
      </c>
      <c r="E3061" s="5">
        <f t="shared" si="104"/>
        <v>61200</v>
      </c>
      <c r="F3061" s="5">
        <v>150150</v>
      </c>
      <c r="K3061" s="24">
        <v>2414.5</v>
      </c>
      <c r="L3061" s="6">
        <v>2440</v>
      </c>
      <c r="M3061" s="270">
        <f t="shared" si="106"/>
        <v>25.5</v>
      </c>
      <c r="N3061" s="19"/>
      <c r="O3061" s="280"/>
      <c r="P3061" s="345">
        <v>16800</v>
      </c>
      <c r="Q3061" s="28">
        <f>164.02/1119.8</f>
        <v>0.14647258439006966</v>
      </c>
      <c r="U3061" s="29">
        <v>0.1</v>
      </c>
      <c r="W3061" s="741">
        <f t="shared" si="107"/>
        <v>2706.8133595284871</v>
      </c>
    </row>
    <row r="3062" spans="1:23" ht="15" customHeight="1">
      <c r="A3062" s="3">
        <v>40191</v>
      </c>
      <c r="B3062" s="4">
        <v>1825</v>
      </c>
      <c r="D3062" s="5">
        <v>87125</v>
      </c>
      <c r="E3062" s="5">
        <f t="shared" si="104"/>
        <v>61200</v>
      </c>
      <c r="F3062" s="5">
        <v>150150</v>
      </c>
      <c r="K3062" s="24">
        <v>2435</v>
      </c>
      <c r="L3062" s="6">
        <v>2460</v>
      </c>
      <c r="M3062" s="270">
        <f t="shared" si="106"/>
        <v>25</v>
      </c>
      <c r="N3062" s="19"/>
      <c r="O3062" s="280"/>
      <c r="P3062" s="345">
        <v>16500</v>
      </c>
      <c r="Q3062" s="28">
        <f>164.64/1124.2</f>
        <v>0.14645080946450809</v>
      </c>
      <c r="U3062" s="29">
        <v>0.1</v>
      </c>
      <c r="W3062" s="741">
        <f t="shared" si="107"/>
        <v>2658.0821917808221</v>
      </c>
    </row>
    <row r="3063" spans="1:23" ht="15" customHeight="1">
      <c r="A3063" s="3">
        <v>40192</v>
      </c>
      <c r="B3063" s="4">
        <v>1825</v>
      </c>
      <c r="D3063" s="5">
        <v>87125</v>
      </c>
      <c r="E3063" s="5">
        <f t="shared" si="104"/>
        <v>61350</v>
      </c>
      <c r="F3063" s="5">
        <v>150300</v>
      </c>
      <c r="K3063" s="24">
        <v>2451</v>
      </c>
      <c r="L3063" s="6">
        <v>2475</v>
      </c>
      <c r="M3063" s="270">
        <f t="shared" si="106"/>
        <v>24</v>
      </c>
      <c r="N3063" s="19"/>
      <c r="O3063" s="280"/>
      <c r="P3063" s="345">
        <v>16600</v>
      </c>
      <c r="Q3063" s="28">
        <f>164.97/1126.4</f>
        <v>0.14645774147727272</v>
      </c>
      <c r="U3063" s="29">
        <v>0.1</v>
      </c>
      <c r="W3063" s="741">
        <f t="shared" si="107"/>
        <v>2674.318359375</v>
      </c>
    </row>
    <row r="3064" spans="1:23" ht="15" customHeight="1">
      <c r="A3064" s="3">
        <v>40193</v>
      </c>
      <c r="B3064" s="4">
        <v>1825</v>
      </c>
      <c r="D3064" s="5">
        <v>87125</v>
      </c>
      <c r="E3064" s="5">
        <f t="shared" si="104"/>
        <v>61800</v>
      </c>
      <c r="F3064" s="5">
        <v>150750</v>
      </c>
      <c r="K3064" s="24">
        <v>2440</v>
      </c>
      <c r="L3064" s="6">
        <v>2461</v>
      </c>
      <c r="M3064" s="270">
        <f t="shared" si="106"/>
        <v>21</v>
      </c>
      <c r="N3064" s="19"/>
      <c r="O3064" s="280"/>
      <c r="P3064" s="345">
        <v>16600</v>
      </c>
      <c r="Q3064" s="28">
        <f>164.33/1122.1</f>
        <v>0.14644862311736925</v>
      </c>
      <c r="U3064" s="29">
        <v>0.1</v>
      </c>
      <c r="W3064" s="741">
        <f t="shared" si="107"/>
        <v>2674.151858123163</v>
      </c>
    </row>
    <row r="3065" spans="1:23" ht="15" customHeight="1">
      <c r="A3065" s="3">
        <v>40196</v>
      </c>
      <c r="B3065" s="4">
        <v>1825</v>
      </c>
      <c r="D3065" s="5">
        <v>87125</v>
      </c>
      <c r="E3065" s="5">
        <f t="shared" si="104"/>
        <v>62400</v>
      </c>
      <c r="F3065" s="5">
        <v>151350</v>
      </c>
      <c r="K3065" s="24">
        <v>2451.5</v>
      </c>
      <c r="L3065" s="6">
        <v>2480</v>
      </c>
      <c r="M3065" s="270">
        <f t="shared" si="106"/>
        <v>28.5</v>
      </c>
      <c r="N3065" s="19"/>
      <c r="O3065" s="280"/>
      <c r="P3065" s="345">
        <v>16600</v>
      </c>
      <c r="Q3065" s="28">
        <f>164.52/1123.2</f>
        <v>0.14647435897435898</v>
      </c>
      <c r="U3065" s="29">
        <v>0.1</v>
      </c>
      <c r="W3065" s="741">
        <f t="shared" si="107"/>
        <v>2674.6217948717949</v>
      </c>
    </row>
    <row r="3066" spans="1:23" ht="15" customHeight="1">
      <c r="A3066" s="3">
        <v>40197</v>
      </c>
      <c r="B3066" s="4">
        <v>1825</v>
      </c>
      <c r="D3066" s="5">
        <v>87125</v>
      </c>
      <c r="E3066" s="5">
        <f t="shared" si="104"/>
        <v>62475</v>
      </c>
      <c r="F3066" s="5">
        <v>151425</v>
      </c>
      <c r="K3066" s="24">
        <v>2420.5</v>
      </c>
      <c r="L3066" s="6">
        <v>2445</v>
      </c>
      <c r="M3066" s="270">
        <f t="shared" si="106"/>
        <v>24.5</v>
      </c>
      <c r="N3066" s="19"/>
      <c r="O3066" s="280"/>
      <c r="P3066" s="345">
        <v>16800</v>
      </c>
      <c r="Q3066" s="28">
        <f>165.04/1126.9</f>
        <v>0.14645487620906911</v>
      </c>
      <c r="U3066" s="29">
        <v>0.1</v>
      </c>
      <c r="W3066" s="741">
        <f t="shared" si="107"/>
        <v>2706.4861123435976</v>
      </c>
    </row>
    <row r="3067" spans="1:23" ht="15" customHeight="1">
      <c r="A3067" s="3">
        <v>40198</v>
      </c>
      <c r="B3067" s="4">
        <v>2075</v>
      </c>
      <c r="D3067" s="5">
        <v>87125</v>
      </c>
      <c r="E3067" s="5">
        <f t="shared" si="104"/>
        <v>62975</v>
      </c>
      <c r="F3067" s="5">
        <v>152175</v>
      </c>
      <c r="K3067" s="24">
        <v>2405.5</v>
      </c>
      <c r="L3067" s="6">
        <v>2421</v>
      </c>
      <c r="M3067" s="270">
        <f t="shared" si="106"/>
        <v>15.5</v>
      </c>
      <c r="N3067" s="19"/>
      <c r="O3067" s="280"/>
      <c r="P3067" s="345">
        <v>16800</v>
      </c>
      <c r="Q3067" s="28">
        <f>164.68/1124.3</f>
        <v>0.14647336120252602</v>
      </c>
      <c r="U3067" s="29">
        <v>0.1</v>
      </c>
      <c r="W3067" s="741">
        <f t="shared" si="107"/>
        <v>2706.8277150226813</v>
      </c>
    </row>
    <row r="3068" spans="1:23" ht="15" customHeight="1">
      <c r="A3068" s="3">
        <v>40199</v>
      </c>
      <c r="B3068" s="4">
        <v>2075</v>
      </c>
      <c r="D3068" s="5">
        <v>88125</v>
      </c>
      <c r="E3068" s="5">
        <f t="shared" si="104"/>
        <v>62975</v>
      </c>
      <c r="F3068" s="5">
        <v>153175</v>
      </c>
      <c r="K3068" s="24">
        <v>2273</v>
      </c>
      <c r="L3068" s="6">
        <v>2294</v>
      </c>
      <c r="M3068" s="270">
        <f t="shared" si="106"/>
        <v>21</v>
      </c>
      <c r="N3068" s="19"/>
      <c r="O3068" s="280"/>
      <c r="P3068" s="345">
        <v>16600</v>
      </c>
      <c r="Q3068" s="28">
        <f>165.83/1132.3</f>
        <v>0.14645411993287999</v>
      </c>
      <c r="U3068" s="29">
        <v>0.1</v>
      </c>
      <c r="W3068" s="741">
        <f t="shared" si="107"/>
        <v>2674.2522299743887</v>
      </c>
    </row>
    <row r="3069" spans="1:23" ht="15" customHeight="1">
      <c r="A3069" s="3">
        <v>40200</v>
      </c>
      <c r="B3069" s="4">
        <v>2275</v>
      </c>
      <c r="D3069" s="5">
        <v>88125</v>
      </c>
      <c r="E3069" s="5">
        <f t="shared" si="104"/>
        <v>63075</v>
      </c>
      <c r="F3069" s="5">
        <v>153475</v>
      </c>
      <c r="K3069" s="24">
        <v>2227</v>
      </c>
      <c r="L3069" s="6">
        <v>2247</v>
      </c>
      <c r="M3069" s="270">
        <f t="shared" si="106"/>
        <v>20</v>
      </c>
      <c r="N3069" s="19"/>
      <c r="O3069" s="280"/>
      <c r="P3069" s="345">
        <v>16400</v>
      </c>
      <c r="Q3069" s="28">
        <f>166.77/1138.5</f>
        <v>0.14648221343873519</v>
      </c>
      <c r="U3069" s="29">
        <v>0.1</v>
      </c>
      <c r="W3069" s="741">
        <f t="shared" si="107"/>
        <v>2642.5391304347827</v>
      </c>
    </row>
    <row r="3070" spans="1:23" ht="15" customHeight="1">
      <c r="A3070" s="3">
        <v>40203</v>
      </c>
      <c r="B3070" s="4">
        <v>2275</v>
      </c>
      <c r="D3070" s="5">
        <v>88125</v>
      </c>
      <c r="E3070" s="5">
        <f t="shared" si="104"/>
        <v>63300</v>
      </c>
      <c r="F3070" s="5">
        <v>153700</v>
      </c>
      <c r="K3070" s="24">
        <v>2235</v>
      </c>
      <c r="L3070" s="6">
        <v>2255</v>
      </c>
      <c r="M3070" s="270">
        <f t="shared" si="106"/>
        <v>20</v>
      </c>
      <c r="N3070" s="19"/>
      <c r="O3070" s="280"/>
      <c r="P3070" s="345">
        <v>16150</v>
      </c>
      <c r="Q3070" s="28">
        <f>168.46/1150.1</f>
        <v>0.14647421963307541</v>
      </c>
      <c r="U3070" s="29">
        <v>0.1</v>
      </c>
      <c r="W3070" s="741">
        <f t="shared" si="107"/>
        <v>2602.114511781585</v>
      </c>
    </row>
    <row r="3071" spans="1:23" ht="15" customHeight="1">
      <c r="A3071" s="3">
        <v>40204</v>
      </c>
      <c r="B3071" s="4">
        <v>2275</v>
      </c>
      <c r="D3071" s="5">
        <v>88325</v>
      </c>
      <c r="E3071" s="5">
        <f t="shared" si="104"/>
        <v>63450</v>
      </c>
      <c r="F3071" s="5">
        <v>154050</v>
      </c>
      <c r="K3071" s="24">
        <v>2165.5</v>
      </c>
      <c r="L3071" s="6">
        <v>2194</v>
      </c>
      <c r="M3071" s="270">
        <f t="shared" si="106"/>
        <v>28.5</v>
      </c>
      <c r="N3071" s="19"/>
      <c r="O3071" s="280"/>
      <c r="P3071" s="345">
        <v>16150</v>
      </c>
      <c r="Q3071" s="28">
        <f>168.29/1149.1</f>
        <v>0.14645374641023409</v>
      </c>
      <c r="U3071" s="29">
        <v>0.1</v>
      </c>
      <c r="W3071" s="741">
        <f t="shared" si="107"/>
        <v>2601.7508049778089</v>
      </c>
    </row>
    <row r="3072" spans="1:23" ht="15" customHeight="1">
      <c r="A3072" s="3">
        <v>40205</v>
      </c>
      <c r="B3072" s="4">
        <v>3375</v>
      </c>
      <c r="D3072" s="5">
        <v>88650</v>
      </c>
      <c r="E3072" s="5">
        <f t="shared" si="104"/>
        <v>63750</v>
      </c>
      <c r="F3072" s="5">
        <v>155775</v>
      </c>
      <c r="K3072" s="24">
        <v>2140</v>
      </c>
      <c r="L3072" s="6">
        <v>2163</v>
      </c>
      <c r="M3072" s="270">
        <f t="shared" si="106"/>
        <v>23</v>
      </c>
      <c r="N3072" s="19"/>
      <c r="O3072" s="280"/>
      <c r="P3072" s="345">
        <v>16050</v>
      </c>
      <c r="Q3072" s="28">
        <f>168.63/1151.2</f>
        <v>0.14648193189715078</v>
      </c>
      <c r="U3072" s="29">
        <v>0.1</v>
      </c>
      <c r="W3072" s="741">
        <f t="shared" si="107"/>
        <v>2586.1385076441975</v>
      </c>
    </row>
    <row r="3073" spans="1:26" ht="15" customHeight="1">
      <c r="A3073" s="3">
        <v>40206</v>
      </c>
      <c r="B3073" s="4">
        <v>3375</v>
      </c>
      <c r="D3073" s="5">
        <v>88850</v>
      </c>
      <c r="E3073" s="5">
        <f t="shared" si="104"/>
        <v>63900</v>
      </c>
      <c r="F3073" s="5">
        <v>156125</v>
      </c>
      <c r="K3073" s="24">
        <v>2089.5</v>
      </c>
      <c r="L3073" s="6">
        <v>2105</v>
      </c>
      <c r="M3073" s="270">
        <f t="shared" si="106"/>
        <v>15.5</v>
      </c>
      <c r="N3073" s="19"/>
      <c r="O3073" s="280"/>
      <c r="P3073" s="345">
        <v>15600</v>
      </c>
      <c r="Q3073" s="28">
        <f>169.81/1159.4</f>
        <v>0.146463688114542</v>
      </c>
      <c r="U3073" s="29">
        <v>0.1</v>
      </c>
      <c r="W3073" s="741">
        <f t="shared" si="107"/>
        <v>2513.3168880455405</v>
      </c>
      <c r="Z3073" s="19"/>
    </row>
    <row r="3074" spans="1:26" ht="15" customHeight="1" thickBot="1">
      <c r="A3074" s="12">
        <v>40207</v>
      </c>
      <c r="B3074" s="13">
        <v>3375</v>
      </c>
      <c r="C3074" s="13"/>
      <c r="D3074" s="14">
        <v>88775</v>
      </c>
      <c r="E3074" s="14">
        <f t="shared" si="104"/>
        <v>65150</v>
      </c>
      <c r="F3074" s="14">
        <v>157300</v>
      </c>
      <c r="G3074" s="14"/>
      <c r="H3074" s="14"/>
      <c r="I3074" s="14"/>
      <c r="J3074" s="264"/>
      <c r="K3074" s="25">
        <v>2055</v>
      </c>
      <c r="L3074" s="15">
        <v>2086</v>
      </c>
      <c r="M3074" s="271">
        <f t="shared" si="106"/>
        <v>31</v>
      </c>
      <c r="N3074" s="160">
        <f>AVERAGE(K3055:K3074)</f>
        <v>2368.375</v>
      </c>
      <c r="O3074" s="286">
        <f>AVERAGE(K3055:K3074)</f>
        <v>2368.375</v>
      </c>
      <c r="P3074" s="346">
        <v>15200</v>
      </c>
      <c r="Q3074" s="30">
        <f>169.38/1156.5</f>
        <v>0.14645914396887158</v>
      </c>
      <c r="R3074" s="30"/>
      <c r="S3074" s="30"/>
      <c r="T3074" s="30"/>
      <c r="U3074" s="31">
        <v>0.1</v>
      </c>
      <c r="V3074" s="46">
        <f>AVERAGE(P3055:P3074)</f>
        <v>16330</v>
      </c>
      <c r="W3074" s="741">
        <f t="shared" si="107"/>
        <v>2448.7968871595331</v>
      </c>
    </row>
    <row r="3075" spans="1:26" ht="15" customHeight="1">
      <c r="A3075" s="3">
        <v>40210</v>
      </c>
      <c r="B3075" s="4">
        <v>3375</v>
      </c>
      <c r="D3075" s="5">
        <v>88775</v>
      </c>
      <c r="E3075" s="5">
        <f t="shared" si="104"/>
        <v>65350</v>
      </c>
      <c r="F3075" s="5">
        <v>157500</v>
      </c>
      <c r="K3075" s="24">
        <v>2001</v>
      </c>
      <c r="L3075" s="6">
        <v>2017</v>
      </c>
      <c r="M3075" s="270">
        <f t="shared" si="106"/>
        <v>16</v>
      </c>
      <c r="N3075" s="21"/>
      <c r="O3075" s="283"/>
      <c r="P3075" s="348">
        <v>15150</v>
      </c>
      <c r="Q3075" s="41">
        <f>169.61/1157.9</f>
        <v>0.14648069781500994</v>
      </c>
      <c r="R3075" s="41"/>
      <c r="S3075" s="41"/>
      <c r="T3075" s="41"/>
      <c r="U3075" s="42">
        <v>0.1</v>
      </c>
      <c r="V3075" s="45"/>
      <c r="W3075" s="741">
        <f t="shared" si="107"/>
        <v>2441.1008290871409</v>
      </c>
    </row>
    <row r="3076" spans="1:26" ht="15" customHeight="1">
      <c r="A3076" s="3">
        <v>40211</v>
      </c>
      <c r="B3076" s="4">
        <v>3675</v>
      </c>
      <c r="D3076" s="5">
        <v>88700</v>
      </c>
      <c r="E3076" s="5">
        <f t="shared" si="104"/>
        <v>65350</v>
      </c>
      <c r="F3076" s="5">
        <v>157725</v>
      </c>
      <c r="K3076" s="24">
        <v>2095</v>
      </c>
      <c r="L3076" s="6">
        <v>2112</v>
      </c>
      <c r="M3076" s="270">
        <f t="shared" si="106"/>
        <v>17</v>
      </c>
      <c r="N3076" s="19"/>
      <c r="O3076" s="280"/>
      <c r="P3076" s="345">
        <v>15150</v>
      </c>
      <c r="Q3076" s="28">
        <f>171.06/1167.8</f>
        <v>0.146480561740024</v>
      </c>
      <c r="U3076" s="29">
        <v>0.1</v>
      </c>
      <c r="W3076" s="741">
        <f t="shared" si="107"/>
        <v>2441.0985613975004</v>
      </c>
    </row>
    <row r="3077" spans="1:26" ht="15" customHeight="1">
      <c r="A3077" s="3">
        <v>40212</v>
      </c>
      <c r="B3077" s="4">
        <v>3975</v>
      </c>
      <c r="D3077" s="5">
        <v>88650</v>
      </c>
      <c r="E3077" s="5">
        <f t="shared" si="104"/>
        <v>65350</v>
      </c>
      <c r="F3077" s="5">
        <v>157975</v>
      </c>
      <c r="K3077" s="24">
        <v>2110</v>
      </c>
      <c r="L3077" s="6">
        <v>2125</v>
      </c>
      <c r="M3077" s="270">
        <f t="shared" si="106"/>
        <v>15</v>
      </c>
      <c r="N3077" s="19"/>
      <c r="O3077" s="280"/>
      <c r="P3077" s="345">
        <v>15350</v>
      </c>
      <c r="Q3077" s="28">
        <f>169.93/1160.1</f>
        <v>0.14647875183173867</v>
      </c>
      <c r="U3077" s="29">
        <v>0.1</v>
      </c>
      <c r="W3077" s="741">
        <f t="shared" si="107"/>
        <v>2473.2937246789074</v>
      </c>
    </row>
    <row r="3078" spans="1:26" ht="15" customHeight="1">
      <c r="A3078" s="3">
        <v>40213</v>
      </c>
      <c r="B3078" s="4">
        <v>3975</v>
      </c>
      <c r="D3078" s="5">
        <v>88525</v>
      </c>
      <c r="E3078" s="5">
        <f t="shared" si="104"/>
        <v>65525</v>
      </c>
      <c r="F3078" s="5">
        <v>158025</v>
      </c>
      <c r="K3078" s="24">
        <v>2005</v>
      </c>
      <c r="L3078" s="6">
        <v>2018</v>
      </c>
      <c r="M3078" s="270">
        <f t="shared" si="106"/>
        <v>13</v>
      </c>
      <c r="N3078" s="19"/>
      <c r="O3078" s="280"/>
      <c r="P3078" s="345">
        <v>15550</v>
      </c>
      <c r="Q3078" s="28">
        <f>168.78/1152.2</f>
        <v>0.14648498524561707</v>
      </c>
      <c r="U3078" s="29">
        <v>0.1</v>
      </c>
      <c r="W3078" s="741">
        <f t="shared" si="107"/>
        <v>2505.62567262628</v>
      </c>
    </row>
    <row r="3079" spans="1:26" ht="15" customHeight="1">
      <c r="A3079" s="3">
        <v>40214</v>
      </c>
      <c r="B3079" s="4">
        <v>4275</v>
      </c>
      <c r="D3079" s="5">
        <v>88500</v>
      </c>
      <c r="E3079" s="5">
        <f t="shared" si="104"/>
        <v>65600</v>
      </c>
      <c r="F3079" s="5">
        <v>158375</v>
      </c>
      <c r="K3079" s="24">
        <v>1925</v>
      </c>
      <c r="L3079" s="6">
        <v>1937.5</v>
      </c>
      <c r="M3079" s="270">
        <f t="shared" si="106"/>
        <v>12.5</v>
      </c>
      <c r="N3079" s="19"/>
      <c r="O3079" s="280"/>
      <c r="P3079" s="345">
        <v>15200</v>
      </c>
      <c r="Q3079" s="28">
        <f>168.91/1153.3</f>
        <v>0.14645799011532126</v>
      </c>
      <c r="U3079" s="29">
        <v>0.1</v>
      </c>
      <c r="W3079" s="741">
        <f t="shared" si="107"/>
        <v>2448.7775947281716</v>
      </c>
    </row>
    <row r="3080" spans="1:26" ht="15" customHeight="1">
      <c r="A3080" s="3">
        <v>40217</v>
      </c>
      <c r="B3080" s="4">
        <v>4275</v>
      </c>
      <c r="D3080" s="5">
        <v>88000</v>
      </c>
      <c r="E3080" s="5">
        <f t="shared" si="104"/>
        <v>65600</v>
      </c>
      <c r="F3080" s="5">
        <v>157875</v>
      </c>
      <c r="K3080" s="24">
        <v>1935</v>
      </c>
      <c r="L3080" s="6">
        <v>1955</v>
      </c>
      <c r="M3080" s="270">
        <f t="shared" si="106"/>
        <v>20</v>
      </c>
      <c r="N3080" s="19"/>
      <c r="O3080" s="280"/>
      <c r="P3080" s="345">
        <v>15300</v>
      </c>
      <c r="Q3080" s="28">
        <f>171.49/1171</f>
        <v>0.14644748078565328</v>
      </c>
      <c r="U3080" s="29">
        <v>0.1</v>
      </c>
      <c r="W3080" s="741">
        <f t="shared" si="107"/>
        <v>2464.7111016225454</v>
      </c>
    </row>
    <row r="3081" spans="1:26" ht="15" customHeight="1">
      <c r="A3081" s="3">
        <v>40218</v>
      </c>
      <c r="B3081" s="4">
        <v>4775</v>
      </c>
      <c r="D3081" s="5">
        <v>87500</v>
      </c>
      <c r="E3081" s="5">
        <f t="shared" si="104"/>
        <v>65600</v>
      </c>
      <c r="F3081" s="5">
        <v>157875</v>
      </c>
      <c r="K3081" s="24">
        <v>1972</v>
      </c>
      <c r="L3081" s="6">
        <v>1995</v>
      </c>
      <c r="M3081" s="270">
        <f t="shared" si="106"/>
        <v>23</v>
      </c>
      <c r="N3081" s="19"/>
      <c r="O3081" s="280"/>
      <c r="P3081" s="345">
        <v>15350</v>
      </c>
      <c r="Q3081" s="28">
        <f>171.77/1172.6</f>
        <v>0.14648644038887942</v>
      </c>
      <c r="U3081" s="29">
        <v>0.1</v>
      </c>
      <c r="W3081" s="741">
        <f t="shared" si="107"/>
        <v>2473.4235459662291</v>
      </c>
    </row>
    <row r="3082" spans="1:26" ht="15" customHeight="1">
      <c r="A3082" s="3">
        <v>40219</v>
      </c>
      <c r="B3082" s="4">
        <v>4775</v>
      </c>
      <c r="D3082" s="5">
        <v>87150</v>
      </c>
      <c r="E3082" s="5">
        <f t="shared" si="104"/>
        <v>65600</v>
      </c>
      <c r="F3082" s="5">
        <v>157525</v>
      </c>
      <c r="K3082" s="24">
        <v>2079.5</v>
      </c>
      <c r="L3082" s="6">
        <v>2093</v>
      </c>
      <c r="M3082" s="270">
        <f t="shared" si="106"/>
        <v>13.5</v>
      </c>
      <c r="N3082" s="19"/>
      <c r="O3082" s="280"/>
      <c r="P3082" s="345">
        <v>15600</v>
      </c>
      <c r="Q3082" s="28">
        <f>170.86/1166.6</f>
        <v>0.14645979770272588</v>
      </c>
      <c r="U3082" s="29">
        <v>0.1</v>
      </c>
      <c r="W3082" s="741">
        <f t="shared" si="107"/>
        <v>2513.2501285787762</v>
      </c>
    </row>
    <row r="3083" spans="1:26" ht="15" customHeight="1">
      <c r="A3083" s="3">
        <v>40220</v>
      </c>
      <c r="B3083" s="4">
        <v>4650</v>
      </c>
      <c r="D3083" s="5">
        <v>87150</v>
      </c>
      <c r="E3083" s="5">
        <f t="shared" si="104"/>
        <v>66275</v>
      </c>
      <c r="F3083" s="5">
        <v>158075</v>
      </c>
      <c r="K3083" s="24">
        <v>2065</v>
      </c>
      <c r="L3083" s="6">
        <v>2070</v>
      </c>
      <c r="M3083" s="270">
        <f t="shared" si="106"/>
        <v>5</v>
      </c>
      <c r="N3083" s="19"/>
      <c r="O3083" s="280"/>
      <c r="P3083" s="345">
        <v>15700</v>
      </c>
      <c r="Q3083" s="28">
        <f>169.5/1157.9</f>
        <v>0.14638569824682615</v>
      </c>
      <c r="U3083" s="29">
        <v>0.1</v>
      </c>
      <c r="W3083" s="741">
        <f t="shared" si="107"/>
        <v>2528.0810087226878</v>
      </c>
    </row>
    <row r="3084" spans="1:26" ht="15" customHeight="1">
      <c r="A3084" s="3">
        <v>40221</v>
      </c>
      <c r="B3084" s="4">
        <v>4650</v>
      </c>
      <c r="D3084" s="5">
        <v>87150</v>
      </c>
      <c r="E3084" s="5">
        <f t="shared" si="104"/>
        <v>67425</v>
      </c>
      <c r="F3084" s="5">
        <v>159225</v>
      </c>
      <c r="K3084" s="24">
        <v>2080</v>
      </c>
      <c r="L3084" s="6">
        <v>2100</v>
      </c>
      <c r="M3084" s="270">
        <f t="shared" si="106"/>
        <v>20</v>
      </c>
      <c r="N3084" s="19"/>
      <c r="O3084" s="280"/>
      <c r="P3084" s="345">
        <v>15800</v>
      </c>
      <c r="Q3084" s="28">
        <f>169.28/1157.1</f>
        <v>0.14629677642381819</v>
      </c>
      <c r="U3084" s="29">
        <v>0.1</v>
      </c>
      <c r="W3084" s="741">
        <f t="shared" si="107"/>
        <v>2542.6379742459608</v>
      </c>
    </row>
    <row r="3085" spans="1:26" ht="15" customHeight="1">
      <c r="A3085" s="3">
        <v>40224</v>
      </c>
      <c r="B3085" s="4">
        <v>4625</v>
      </c>
      <c r="D3085" s="5">
        <v>87150</v>
      </c>
      <c r="E3085" s="5">
        <f t="shared" si="104"/>
        <v>67425</v>
      </c>
      <c r="F3085" s="5">
        <v>159200</v>
      </c>
      <c r="K3085" s="24">
        <v>2135</v>
      </c>
      <c r="L3085" s="6">
        <v>2150</v>
      </c>
      <c r="M3085" s="270">
        <f t="shared" si="106"/>
        <v>15</v>
      </c>
      <c r="N3085" s="19"/>
      <c r="O3085" s="280"/>
      <c r="P3085" s="345"/>
      <c r="Q3085" s="996" t="s">
        <v>120</v>
      </c>
      <c r="R3085" s="996"/>
      <c r="S3085" s="996"/>
      <c r="T3085" s="996"/>
      <c r="U3085" s="996"/>
      <c r="V3085" s="364"/>
      <c r="W3085" s="741" t="e">
        <f t="shared" si="107"/>
        <v>#VALUE!</v>
      </c>
    </row>
    <row r="3086" spans="1:26" ht="15" customHeight="1">
      <c r="A3086" s="3">
        <v>40225</v>
      </c>
      <c r="B3086" s="4">
        <v>4625</v>
      </c>
      <c r="D3086" s="5">
        <v>87150</v>
      </c>
      <c r="E3086" s="5">
        <f>F3086-(B3086+D3086)</f>
        <v>67750</v>
      </c>
      <c r="F3086" s="5">
        <v>159525</v>
      </c>
      <c r="K3086" s="24">
        <v>2196</v>
      </c>
      <c r="L3086" s="6">
        <v>2220</v>
      </c>
      <c r="M3086" s="270">
        <f t="shared" si="106"/>
        <v>24</v>
      </c>
      <c r="N3086" s="19"/>
      <c r="O3086" s="280"/>
      <c r="P3086" s="370"/>
      <c r="Q3086" s="996"/>
      <c r="R3086" s="996"/>
      <c r="S3086" s="996"/>
      <c r="T3086" s="996"/>
      <c r="U3086" s="996"/>
      <c r="V3086" s="364"/>
      <c r="W3086" s="741">
        <f t="shared" si="107"/>
        <v>0</v>
      </c>
    </row>
    <row r="3087" spans="1:26" ht="15" customHeight="1">
      <c r="A3087" s="3">
        <v>40226</v>
      </c>
      <c r="B3087" s="4">
        <v>5125</v>
      </c>
      <c r="D3087" s="5">
        <v>87150</v>
      </c>
      <c r="E3087" s="5">
        <f t="shared" si="104"/>
        <v>67925</v>
      </c>
      <c r="F3087" s="5">
        <v>160200</v>
      </c>
      <c r="K3087" s="24">
        <v>2275</v>
      </c>
      <c r="L3087" s="6">
        <v>2295.5</v>
      </c>
      <c r="M3087" s="270">
        <f t="shared" si="106"/>
        <v>20.5</v>
      </c>
      <c r="N3087" s="19"/>
      <c r="O3087" s="280"/>
      <c r="P3087" s="370"/>
      <c r="Q3087" s="996"/>
      <c r="R3087" s="996"/>
      <c r="S3087" s="996"/>
      <c r="T3087" s="996"/>
      <c r="U3087" s="996"/>
      <c r="V3087" s="364"/>
      <c r="W3087" s="741">
        <f t="shared" si="107"/>
        <v>0</v>
      </c>
      <c r="Z3087" s="19"/>
    </row>
    <row r="3088" spans="1:26" ht="15" customHeight="1">
      <c r="A3088" s="3">
        <v>40227</v>
      </c>
      <c r="B3088" s="4">
        <v>5225</v>
      </c>
      <c r="D3088" s="5">
        <v>87150</v>
      </c>
      <c r="E3088" s="5">
        <f t="shared" si="104"/>
        <v>67875</v>
      </c>
      <c r="F3088" s="5">
        <v>160250</v>
      </c>
      <c r="K3088" s="24">
        <v>2240</v>
      </c>
      <c r="L3088" s="6">
        <v>2266.5</v>
      </c>
      <c r="M3088" s="270">
        <f t="shared" si="106"/>
        <v>26.5</v>
      </c>
      <c r="N3088" s="19"/>
      <c r="O3088" s="280"/>
      <c r="P3088" s="370"/>
      <c r="Q3088" s="996"/>
      <c r="R3088" s="996"/>
      <c r="S3088" s="996"/>
      <c r="T3088" s="996"/>
      <c r="U3088" s="996"/>
      <c r="V3088" s="364"/>
      <c r="W3088" s="741">
        <f t="shared" si="107"/>
        <v>0</v>
      </c>
    </row>
    <row r="3089" spans="1:26" ht="15" customHeight="1">
      <c r="A3089" s="3">
        <v>40228</v>
      </c>
      <c r="B3089" s="4">
        <v>5225</v>
      </c>
      <c r="D3089" s="5">
        <v>87150</v>
      </c>
      <c r="E3089" s="5">
        <f t="shared" si="104"/>
        <v>67875</v>
      </c>
      <c r="F3089" s="5">
        <v>160250</v>
      </c>
      <c r="K3089" s="24">
        <v>2289.5</v>
      </c>
      <c r="L3089" s="6">
        <v>2319</v>
      </c>
      <c r="M3089" s="270">
        <f t="shared" si="106"/>
        <v>29.5</v>
      </c>
      <c r="N3089" s="19"/>
      <c r="O3089" s="280"/>
      <c r="P3089" s="370"/>
      <c r="Q3089" s="996"/>
      <c r="R3089" s="996"/>
      <c r="S3089" s="996"/>
      <c r="T3089" s="996"/>
      <c r="U3089" s="996"/>
      <c r="V3089" s="364"/>
      <c r="W3089" s="741">
        <f t="shared" si="107"/>
        <v>0</v>
      </c>
    </row>
    <row r="3090" spans="1:26" ht="15" customHeight="1">
      <c r="A3090" s="3">
        <v>40231</v>
      </c>
      <c r="B3090" s="4">
        <v>5225</v>
      </c>
      <c r="D3090" s="5">
        <v>87150</v>
      </c>
      <c r="E3090" s="5">
        <f t="shared" si="104"/>
        <v>68225</v>
      </c>
      <c r="F3090" s="5">
        <v>160600</v>
      </c>
      <c r="K3090" s="24">
        <v>2319.5</v>
      </c>
      <c r="L3090" s="6">
        <v>2340</v>
      </c>
      <c r="M3090" s="270">
        <f t="shared" si="106"/>
        <v>20.5</v>
      </c>
      <c r="N3090" s="19"/>
      <c r="O3090" s="280"/>
      <c r="P3090" s="345">
        <v>16150</v>
      </c>
      <c r="Q3090" s="28">
        <f>169.54/1157.8</f>
        <v>0.14643288996372431</v>
      </c>
      <c r="U3090" s="29">
        <v>0.1</v>
      </c>
      <c r="W3090" s="741">
        <f t="shared" si="107"/>
        <v>2601.3802902055622</v>
      </c>
    </row>
    <row r="3091" spans="1:26" ht="15" customHeight="1">
      <c r="A3091" s="3">
        <v>40232</v>
      </c>
      <c r="B3091" s="4">
        <v>5125</v>
      </c>
      <c r="D3091" s="5">
        <v>87150</v>
      </c>
      <c r="E3091" s="5">
        <f t="shared" si="104"/>
        <v>68425</v>
      </c>
      <c r="F3091" s="5">
        <v>160700</v>
      </c>
      <c r="K3091" s="24">
        <v>2295</v>
      </c>
      <c r="L3091" s="6">
        <v>2312</v>
      </c>
      <c r="M3091" s="270">
        <f t="shared" si="106"/>
        <v>17</v>
      </c>
      <c r="N3091" s="19"/>
      <c r="O3091" s="280"/>
      <c r="P3091" s="345">
        <v>16300</v>
      </c>
      <c r="Q3091" s="28">
        <f>168.34/1149.3</f>
        <v>0.14647176542243107</v>
      </c>
      <c r="U3091" s="29">
        <v>0.1</v>
      </c>
      <c r="W3091" s="741">
        <f t="shared" si="107"/>
        <v>2626.2387540241893</v>
      </c>
    </row>
    <row r="3092" spans="1:26" ht="15" customHeight="1">
      <c r="A3092" s="3">
        <v>40233</v>
      </c>
      <c r="B3092" s="4">
        <v>5000</v>
      </c>
      <c r="D3092" s="5">
        <v>88350</v>
      </c>
      <c r="E3092" s="5">
        <f t="shared" si="104"/>
        <v>68625</v>
      </c>
      <c r="F3092" s="5">
        <v>161975</v>
      </c>
      <c r="K3092" s="24">
        <v>2167.5</v>
      </c>
      <c r="L3092" s="6">
        <v>2181</v>
      </c>
      <c r="M3092" s="270">
        <f t="shared" si="106"/>
        <v>13.5</v>
      </c>
      <c r="N3092" s="19"/>
      <c r="O3092" s="280"/>
      <c r="P3092" s="345">
        <v>16100</v>
      </c>
      <c r="Q3092" s="28">
        <f>168.34/1149.3</f>
        <v>0.14647176542243107</v>
      </c>
      <c r="U3092" s="29">
        <v>0.1</v>
      </c>
      <c r="W3092" s="741">
        <f t="shared" si="107"/>
        <v>2594.0149656312542</v>
      </c>
    </row>
    <row r="3093" spans="1:26" ht="15" customHeight="1">
      <c r="A3093" s="3">
        <v>40234</v>
      </c>
      <c r="B3093" s="4">
        <v>5000</v>
      </c>
      <c r="D3093" s="5">
        <v>88375</v>
      </c>
      <c r="E3093" s="5">
        <f t="shared" si="104"/>
        <v>69650</v>
      </c>
      <c r="F3093" s="5">
        <v>163025</v>
      </c>
      <c r="K3093" s="24">
        <v>2150</v>
      </c>
      <c r="L3093" s="6">
        <v>2166.5</v>
      </c>
      <c r="M3093" s="270">
        <f t="shared" si="106"/>
        <v>16.5</v>
      </c>
      <c r="N3093" s="19"/>
      <c r="O3093" s="280"/>
      <c r="P3093" s="345">
        <v>16000</v>
      </c>
      <c r="Q3093" s="28">
        <f>169.34/1156.1</f>
        <v>0.14647521840671224</v>
      </c>
      <c r="U3093" s="29">
        <v>0.1</v>
      </c>
      <c r="W3093" s="741">
        <f t="shared" si="107"/>
        <v>2577.9638439581354</v>
      </c>
    </row>
    <row r="3094" spans="1:26" ht="15" customHeight="1" thickBot="1">
      <c r="A3094" s="12">
        <v>40235</v>
      </c>
      <c r="B3094" s="13">
        <v>5000</v>
      </c>
      <c r="C3094" s="13"/>
      <c r="D3094" s="14">
        <v>88525</v>
      </c>
      <c r="E3094" s="14">
        <f t="shared" si="104"/>
        <v>71550</v>
      </c>
      <c r="F3094" s="14">
        <v>165075</v>
      </c>
      <c r="G3094" s="14"/>
      <c r="H3094" s="14"/>
      <c r="I3094" s="14"/>
      <c r="J3094" s="264"/>
      <c r="K3094" s="25">
        <v>2138.5</v>
      </c>
      <c r="L3094" s="15">
        <v>2171</v>
      </c>
      <c r="M3094" s="271">
        <f t="shared" si="106"/>
        <v>32.5</v>
      </c>
      <c r="N3094" s="160">
        <f>AVERAGE(K3075:K3094)</f>
        <v>2123.6750000000002</v>
      </c>
      <c r="O3094" s="286">
        <f>AVERAGE(K3055:K3094)</f>
        <v>2246.0250000000001</v>
      </c>
      <c r="P3094" s="346">
        <v>15800</v>
      </c>
      <c r="Q3094" s="30">
        <f>169.66/1158.4</f>
        <v>0.14646063535911602</v>
      </c>
      <c r="R3094" s="30"/>
      <c r="S3094" s="30"/>
      <c r="T3094" s="30"/>
      <c r="U3094" s="31">
        <v>0.1</v>
      </c>
      <c r="V3094" s="46">
        <f>AVERAGE(P3075:P3094)</f>
        <v>15633.333333333334</v>
      </c>
      <c r="W3094" s="741">
        <f t="shared" si="107"/>
        <v>2545.4858425414363</v>
      </c>
    </row>
    <row r="3095" spans="1:26" ht="15" customHeight="1">
      <c r="A3095" s="36">
        <v>40238</v>
      </c>
      <c r="B3095" s="37">
        <v>4975</v>
      </c>
      <c r="C3095" s="37"/>
      <c r="D3095" s="38">
        <v>88750</v>
      </c>
      <c r="E3095" s="38">
        <f t="shared" si="104"/>
        <v>73475</v>
      </c>
      <c r="F3095" s="38">
        <v>167200</v>
      </c>
      <c r="G3095" s="38"/>
      <c r="H3095" s="38"/>
      <c r="I3095" s="38"/>
      <c r="J3095" s="268"/>
      <c r="K3095" s="39">
        <v>2151.5</v>
      </c>
      <c r="L3095" s="40">
        <v>2171</v>
      </c>
      <c r="M3095" s="270">
        <f t="shared" si="106"/>
        <v>19.5</v>
      </c>
      <c r="N3095" s="21"/>
      <c r="O3095" s="283"/>
      <c r="P3095" s="348">
        <v>15800</v>
      </c>
      <c r="Q3095" s="41">
        <f>169.66/1158.4</f>
        <v>0.14646063535911602</v>
      </c>
      <c r="R3095" s="41"/>
      <c r="S3095" s="41"/>
      <c r="T3095" s="41"/>
      <c r="U3095" s="42">
        <v>0.1</v>
      </c>
      <c r="V3095" s="45"/>
      <c r="W3095" s="741">
        <f t="shared" si="107"/>
        <v>2545.4858425414363</v>
      </c>
    </row>
    <row r="3096" spans="1:26" ht="15" customHeight="1">
      <c r="A3096" s="3">
        <v>40239</v>
      </c>
      <c r="B3096" s="4">
        <v>4975</v>
      </c>
      <c r="D3096" s="5">
        <v>88950</v>
      </c>
      <c r="E3096" s="5">
        <f t="shared" si="104"/>
        <v>73800</v>
      </c>
      <c r="F3096" s="5">
        <v>167725</v>
      </c>
      <c r="K3096" s="24">
        <v>2150</v>
      </c>
      <c r="L3096" s="6">
        <v>2175</v>
      </c>
      <c r="M3096" s="270">
        <f t="shared" si="106"/>
        <v>25</v>
      </c>
      <c r="N3096" s="19"/>
      <c r="O3096" s="280"/>
      <c r="P3096" s="345">
        <v>15700</v>
      </c>
      <c r="Q3096" s="28">
        <f>169.94/1160.2</f>
        <v>0.14647474573349423</v>
      </c>
      <c r="U3096" s="29">
        <v>0.1</v>
      </c>
      <c r="W3096" s="741">
        <f t="shared" si="107"/>
        <v>2529.6188588174455</v>
      </c>
    </row>
    <row r="3097" spans="1:26" ht="15" customHeight="1">
      <c r="A3097" s="3">
        <v>40240</v>
      </c>
      <c r="B3097" s="4">
        <v>4975</v>
      </c>
      <c r="D3097" s="5">
        <v>89200</v>
      </c>
      <c r="E3097" s="5">
        <f t="shared" si="104"/>
        <v>73800</v>
      </c>
      <c r="F3097" s="5">
        <v>167975</v>
      </c>
      <c r="K3097" s="24">
        <v>2201</v>
      </c>
      <c r="L3097" s="6">
        <v>2226</v>
      </c>
      <c r="M3097" s="270">
        <f t="shared" si="106"/>
        <v>25</v>
      </c>
      <c r="N3097" s="19"/>
      <c r="O3097" s="280"/>
      <c r="P3097" s="345">
        <v>15700</v>
      </c>
      <c r="Q3097" s="28">
        <f>168.83/1152.7</f>
        <v>0.14646482172291142</v>
      </c>
      <c r="U3097" s="29">
        <v>0.1</v>
      </c>
      <c r="W3097" s="741">
        <f t="shared" si="107"/>
        <v>2529.4474711546804</v>
      </c>
    </row>
    <row r="3098" spans="1:26" ht="15" customHeight="1">
      <c r="A3098" s="3">
        <v>40241</v>
      </c>
      <c r="B3098" s="4">
        <v>4975</v>
      </c>
      <c r="D3098" s="5">
        <v>89300</v>
      </c>
      <c r="E3098" s="5">
        <f t="shared" si="104"/>
        <v>74400</v>
      </c>
      <c r="F3098" s="5">
        <v>168675</v>
      </c>
      <c r="K3098" s="24">
        <v>2196.5</v>
      </c>
      <c r="L3098" s="6">
        <v>2225</v>
      </c>
      <c r="M3098" s="270">
        <f t="shared" si="106"/>
        <v>28.5</v>
      </c>
      <c r="N3098" s="19"/>
      <c r="O3098" s="280"/>
      <c r="P3098" s="345">
        <v>15700</v>
      </c>
      <c r="Q3098" s="28">
        <f>167.96/1146.6</f>
        <v>0.14648526077097507</v>
      </c>
      <c r="U3098" s="29">
        <v>0.1</v>
      </c>
      <c r="W3098" s="741">
        <f t="shared" si="107"/>
        <v>2529.8004535147393</v>
      </c>
    </row>
    <row r="3099" spans="1:26" ht="15" customHeight="1">
      <c r="A3099" s="3">
        <v>40242</v>
      </c>
      <c r="B3099" s="4">
        <v>4975</v>
      </c>
      <c r="D3099" s="5">
        <v>89600</v>
      </c>
      <c r="E3099" s="5">
        <f t="shared" si="104"/>
        <v>75400</v>
      </c>
      <c r="F3099" s="5">
        <v>169975</v>
      </c>
      <c r="K3099" s="24">
        <v>2178</v>
      </c>
      <c r="L3099" s="6">
        <v>2200</v>
      </c>
      <c r="M3099" s="270">
        <f t="shared" si="106"/>
        <v>22</v>
      </c>
      <c r="N3099" s="19"/>
      <c r="O3099" s="280"/>
      <c r="P3099" s="345">
        <v>15700</v>
      </c>
      <c r="Q3099" s="28">
        <f>167.56/1143.8</f>
        <v>0.14649414233257563</v>
      </c>
      <c r="U3099" s="29">
        <v>0.1</v>
      </c>
      <c r="W3099" s="741">
        <f t="shared" si="107"/>
        <v>2529.9538380835816</v>
      </c>
    </row>
    <row r="3100" spans="1:26" ht="15" customHeight="1">
      <c r="A3100" s="3">
        <v>40245</v>
      </c>
      <c r="B3100" s="4">
        <v>4975</v>
      </c>
      <c r="D3100" s="5">
        <v>89750</v>
      </c>
      <c r="E3100" s="5">
        <f t="shared" si="104"/>
        <v>75800</v>
      </c>
      <c r="F3100" s="5">
        <v>170525</v>
      </c>
      <c r="K3100" s="24">
        <v>2240.5</v>
      </c>
      <c r="L3100" s="6">
        <v>2275</v>
      </c>
      <c r="M3100" s="270">
        <f t="shared" si="106"/>
        <v>34.5</v>
      </c>
      <c r="N3100" s="19"/>
      <c r="O3100" s="280"/>
      <c r="P3100" s="345">
        <v>15800</v>
      </c>
      <c r="Q3100" s="28">
        <f>167.27/1141.9</f>
        <v>0.14648393029161924</v>
      </c>
      <c r="U3100" s="29">
        <v>0.1</v>
      </c>
      <c r="W3100" s="741">
        <f t="shared" si="107"/>
        <v>2545.8907084683428</v>
      </c>
    </row>
    <row r="3101" spans="1:26" ht="15" customHeight="1">
      <c r="A3101" s="3">
        <v>40246</v>
      </c>
      <c r="B3101" s="4">
        <v>4975</v>
      </c>
      <c r="D3101" s="5">
        <v>89575</v>
      </c>
      <c r="E3101" s="5">
        <f t="shared" si="104"/>
        <v>75800</v>
      </c>
      <c r="F3101" s="5">
        <v>170350</v>
      </c>
      <c r="K3101" s="24">
        <v>2206</v>
      </c>
      <c r="L3101" s="6">
        <v>2228</v>
      </c>
      <c r="M3101" s="270">
        <f t="shared" si="106"/>
        <v>22</v>
      </c>
      <c r="N3101" s="19"/>
      <c r="O3101" s="280"/>
      <c r="P3101" s="345">
        <v>15800</v>
      </c>
      <c r="Q3101" s="28">
        <f>166.05/1133.7</f>
        <v>0.1464673193966658</v>
      </c>
      <c r="U3101" s="29">
        <v>0.1</v>
      </c>
      <c r="W3101" s="741">
        <f t="shared" si="107"/>
        <v>2545.6020111140519</v>
      </c>
    </row>
    <row r="3102" spans="1:26" ht="15" customHeight="1">
      <c r="A3102" s="3">
        <v>40247</v>
      </c>
      <c r="B3102" s="4">
        <v>4975</v>
      </c>
      <c r="D3102" s="5">
        <v>89425</v>
      </c>
      <c r="E3102" s="5">
        <f t="shared" si="104"/>
        <v>76075</v>
      </c>
      <c r="F3102" s="5">
        <v>170475</v>
      </c>
      <c r="K3102" s="24">
        <v>2282.5</v>
      </c>
      <c r="L3102" s="6">
        <v>2310</v>
      </c>
      <c r="M3102" s="270">
        <f t="shared" si="106"/>
        <v>27.5</v>
      </c>
      <c r="N3102" s="19"/>
      <c r="O3102" s="280"/>
      <c r="P3102" s="345">
        <v>15800</v>
      </c>
      <c r="Q3102" s="28">
        <f>166.17/1134.5</f>
        <v>0.14646981048920227</v>
      </c>
      <c r="U3102" s="29">
        <v>0.1</v>
      </c>
      <c r="W3102" s="741">
        <f t="shared" si="107"/>
        <v>2545.6453063023359</v>
      </c>
    </row>
    <row r="3103" spans="1:26" ht="15" customHeight="1">
      <c r="A3103" s="3">
        <v>40248</v>
      </c>
      <c r="B3103" s="4">
        <v>4975</v>
      </c>
      <c r="D3103" s="5">
        <v>89225</v>
      </c>
      <c r="E3103" s="5">
        <f t="shared" si="104"/>
        <v>76025</v>
      </c>
      <c r="F3103" s="5">
        <v>170225</v>
      </c>
      <c r="K3103" s="24">
        <v>2241</v>
      </c>
      <c r="L3103" s="6">
        <v>2265</v>
      </c>
      <c r="M3103" s="270">
        <f t="shared" si="106"/>
        <v>24</v>
      </c>
      <c r="N3103" s="19"/>
      <c r="O3103" s="280"/>
      <c r="P3103" s="345">
        <v>15700</v>
      </c>
      <c r="Q3103" s="28">
        <f>165.94/1132.7</f>
        <v>0.14649951443453693</v>
      </c>
      <c r="U3103" s="29">
        <v>0.1</v>
      </c>
      <c r="W3103" s="741">
        <f t="shared" si="107"/>
        <v>2530.046614284453</v>
      </c>
    </row>
    <row r="3104" spans="1:26" ht="15" customHeight="1">
      <c r="A3104" s="3">
        <v>40249</v>
      </c>
      <c r="B3104" s="4">
        <v>4975</v>
      </c>
      <c r="D3104" s="5">
        <v>89175</v>
      </c>
      <c r="E3104" s="5">
        <f t="shared" si="104"/>
        <v>76000</v>
      </c>
      <c r="F3104" s="5">
        <v>170150</v>
      </c>
      <c r="K3104" s="24">
        <v>2251</v>
      </c>
      <c r="L3104" s="6">
        <v>2281</v>
      </c>
      <c r="M3104" s="270">
        <f t="shared" si="106"/>
        <v>30</v>
      </c>
      <c r="N3104" s="19"/>
      <c r="O3104" s="280"/>
      <c r="P3104" s="345">
        <v>15800</v>
      </c>
      <c r="Q3104" s="28">
        <f>165.65/1131</f>
        <v>0.14646330680813441</v>
      </c>
      <c r="U3104" s="29">
        <v>0.1</v>
      </c>
      <c r="W3104" s="741">
        <f t="shared" si="107"/>
        <v>2545.5322723253762</v>
      </c>
      <c r="Z3104" s="19"/>
    </row>
    <row r="3105" spans="1:23" ht="15" customHeight="1">
      <c r="A3105" s="3">
        <v>40252</v>
      </c>
      <c r="B3105" s="4">
        <v>4975</v>
      </c>
      <c r="D3105" s="5">
        <v>89425</v>
      </c>
      <c r="E3105" s="5">
        <f t="shared" si="104"/>
        <v>76025</v>
      </c>
      <c r="F3105" s="5">
        <v>170425</v>
      </c>
      <c r="K3105" s="24">
        <v>2185</v>
      </c>
      <c r="L3105" s="6">
        <v>2210</v>
      </c>
      <c r="M3105" s="270">
        <f t="shared" si="106"/>
        <v>25</v>
      </c>
      <c r="N3105" s="19"/>
      <c r="O3105" s="280"/>
      <c r="P3105" s="345">
        <v>15700</v>
      </c>
      <c r="Q3105" s="28">
        <f>165.71/1131.1</f>
        <v>0.14650340376624527</v>
      </c>
      <c r="U3105" s="29">
        <v>0.1</v>
      </c>
      <c r="W3105" s="741">
        <f t="shared" si="107"/>
        <v>2530.1137830430562</v>
      </c>
    </row>
    <row r="3106" spans="1:23" ht="15" customHeight="1">
      <c r="A3106" s="3">
        <v>40253</v>
      </c>
      <c r="B3106" s="4">
        <v>4975</v>
      </c>
      <c r="C3106" s="4">
        <v>5925</v>
      </c>
      <c r="D3106" s="5">
        <v>89300</v>
      </c>
      <c r="E3106" s="5">
        <f t="shared" ref="E3106:E3158" si="108">F3106-(B3106+C3106+D3106)</f>
        <v>70100</v>
      </c>
      <c r="F3106" s="5">
        <v>170300</v>
      </c>
      <c r="K3106" s="24">
        <v>2194.5</v>
      </c>
      <c r="L3106" s="6">
        <v>2222</v>
      </c>
      <c r="M3106" s="270">
        <f t="shared" si="106"/>
        <v>27.5</v>
      </c>
      <c r="N3106" s="19"/>
      <c r="O3106" s="280"/>
      <c r="P3106" s="345">
        <v>15600</v>
      </c>
      <c r="Q3106" s="28">
        <f>166.09/1133.9</f>
        <v>0.1464767616191904</v>
      </c>
      <c r="U3106" s="29">
        <v>0.1</v>
      </c>
      <c r="W3106" s="741">
        <f t="shared" si="107"/>
        <v>2513.5412293853078</v>
      </c>
    </row>
    <row r="3107" spans="1:23" ht="15" customHeight="1">
      <c r="A3107" s="3">
        <v>40254</v>
      </c>
      <c r="B3107" s="4">
        <v>4975</v>
      </c>
      <c r="C3107" s="4">
        <v>5925</v>
      </c>
      <c r="D3107" s="5">
        <v>89375</v>
      </c>
      <c r="E3107" s="5">
        <f t="shared" si="108"/>
        <v>70100</v>
      </c>
      <c r="F3107" s="5">
        <v>170375</v>
      </c>
      <c r="K3107" s="24">
        <v>2245</v>
      </c>
      <c r="L3107" s="6">
        <v>2276</v>
      </c>
      <c r="M3107" s="270">
        <f t="shared" si="106"/>
        <v>31</v>
      </c>
      <c r="N3107" s="19"/>
      <c r="O3107" s="280"/>
      <c r="P3107" s="345">
        <v>15700</v>
      </c>
      <c r="Q3107" s="28">
        <f>166.06/1133.7</f>
        <v>0.14647614007232954</v>
      </c>
      <c r="U3107" s="29">
        <v>0.1</v>
      </c>
      <c r="W3107" s="741">
        <f t="shared" si="107"/>
        <v>2529.6429390491312</v>
      </c>
    </row>
    <row r="3108" spans="1:23" ht="15" customHeight="1">
      <c r="A3108" s="3">
        <v>40255</v>
      </c>
      <c r="B3108" s="4">
        <v>4975</v>
      </c>
      <c r="C3108" s="4">
        <v>5925</v>
      </c>
      <c r="D3108" s="5">
        <v>89350</v>
      </c>
      <c r="E3108" s="5">
        <f t="shared" si="108"/>
        <v>70100</v>
      </c>
      <c r="F3108" s="5">
        <v>170350</v>
      </c>
      <c r="K3108" s="24">
        <v>2222.5</v>
      </c>
      <c r="L3108" s="6">
        <v>2252</v>
      </c>
      <c r="M3108" s="270">
        <f t="shared" si="106"/>
        <v>29.5</v>
      </c>
      <c r="N3108" s="19"/>
      <c r="O3108" s="280"/>
      <c r="P3108" s="345">
        <v>15750</v>
      </c>
      <c r="Q3108" s="28">
        <f>165.45/1129.5</f>
        <v>0.14648074369189906</v>
      </c>
      <c r="U3108" s="29">
        <v>0.1</v>
      </c>
      <c r="W3108" s="741">
        <f t="shared" si="107"/>
        <v>2537.7788844621514</v>
      </c>
    </row>
    <row r="3109" spans="1:23" ht="15" customHeight="1">
      <c r="A3109" s="3">
        <v>40256</v>
      </c>
      <c r="B3109" s="4">
        <v>4975</v>
      </c>
      <c r="C3109" s="4">
        <v>5925</v>
      </c>
      <c r="D3109" s="5">
        <v>89375</v>
      </c>
      <c r="E3109" s="5">
        <f t="shared" si="108"/>
        <v>70725</v>
      </c>
      <c r="F3109" s="5">
        <v>171000</v>
      </c>
      <c r="K3109" s="24">
        <v>2210.5</v>
      </c>
      <c r="L3109" s="6">
        <v>2237</v>
      </c>
      <c r="M3109" s="270">
        <f t="shared" si="106"/>
        <v>26.5</v>
      </c>
      <c r="N3109" s="19"/>
      <c r="O3109" s="280"/>
      <c r="P3109" s="345">
        <v>15750</v>
      </c>
      <c r="Q3109" s="28">
        <f>165.73/1131.3</f>
        <v>0.14649518253336868</v>
      </c>
      <c r="U3109" s="29">
        <v>0.1</v>
      </c>
      <c r="W3109" s="741">
        <f t="shared" si="107"/>
        <v>2538.0290373906128</v>
      </c>
    </row>
    <row r="3110" spans="1:23" ht="15" customHeight="1">
      <c r="A3110" s="3">
        <v>40259</v>
      </c>
      <c r="B3110" s="4">
        <v>4975</v>
      </c>
      <c r="C3110" s="4">
        <v>5925</v>
      </c>
      <c r="D3110" s="5">
        <v>89500</v>
      </c>
      <c r="E3110" s="5">
        <f t="shared" si="108"/>
        <v>70975</v>
      </c>
      <c r="F3110" s="5">
        <v>171375</v>
      </c>
      <c r="K3110" s="24">
        <v>2140</v>
      </c>
      <c r="L3110" s="6">
        <v>2160.5</v>
      </c>
      <c r="M3110" s="270">
        <f t="shared" si="106"/>
        <v>20.5</v>
      </c>
      <c r="N3110" s="19"/>
      <c r="O3110" s="280"/>
      <c r="P3110" s="345">
        <v>15700</v>
      </c>
      <c r="Q3110" s="28">
        <f>165.95/1132.9</f>
        <v>0.1464824785947568</v>
      </c>
      <c r="U3110" s="29">
        <v>0.1</v>
      </c>
      <c r="W3110" s="741">
        <f t="shared" si="107"/>
        <v>2529.7524053314505</v>
      </c>
    </row>
    <row r="3111" spans="1:23" ht="15" customHeight="1">
      <c r="A3111" s="3">
        <v>40260</v>
      </c>
      <c r="B3111" s="4">
        <v>4975</v>
      </c>
      <c r="C3111" s="4">
        <v>5925</v>
      </c>
      <c r="D3111" s="5">
        <v>89975</v>
      </c>
      <c r="E3111" s="5">
        <f t="shared" si="108"/>
        <v>70975</v>
      </c>
      <c r="F3111" s="5">
        <v>171850</v>
      </c>
      <c r="K3111" s="24">
        <v>2136</v>
      </c>
      <c r="L3111" s="6">
        <v>2170</v>
      </c>
      <c r="M3111" s="270">
        <f t="shared" si="106"/>
        <v>34</v>
      </c>
      <c r="N3111" s="19"/>
      <c r="O3111" s="280"/>
      <c r="P3111" s="345">
        <v>15600</v>
      </c>
      <c r="Q3111" s="28">
        <f>166.46/1136.5</f>
        <v>0.14646722393312803</v>
      </c>
      <c r="U3111" s="29">
        <v>0.1</v>
      </c>
      <c r="W3111" s="741">
        <f t="shared" si="107"/>
        <v>2513.3775626924771</v>
      </c>
    </row>
    <row r="3112" spans="1:23" ht="15" customHeight="1">
      <c r="A3112" s="3">
        <v>40261</v>
      </c>
      <c r="B3112" s="4">
        <v>4975</v>
      </c>
      <c r="C3112" s="4">
        <v>5925</v>
      </c>
      <c r="D3112" s="5">
        <v>89750</v>
      </c>
      <c r="E3112" s="5">
        <f t="shared" si="108"/>
        <v>70950</v>
      </c>
      <c r="F3112" s="5">
        <v>171600</v>
      </c>
      <c r="K3112" s="24">
        <v>2001</v>
      </c>
      <c r="L3112" s="6">
        <v>2035</v>
      </c>
      <c r="M3112" s="270">
        <f t="shared" si="106"/>
        <v>34</v>
      </c>
      <c r="N3112" s="19"/>
      <c r="O3112" s="280"/>
      <c r="P3112" s="345">
        <v>15550</v>
      </c>
      <c r="Q3112" s="28">
        <f>166.16/1134.3</f>
        <v>0.14648682006523847</v>
      </c>
      <c r="U3112" s="29">
        <v>0.1</v>
      </c>
      <c r="W3112" s="741">
        <f t="shared" si="107"/>
        <v>2505.6570572159044</v>
      </c>
    </row>
    <row r="3113" spans="1:23" ht="15" customHeight="1">
      <c r="A3113" s="3">
        <v>40262</v>
      </c>
      <c r="B3113" s="4">
        <v>4975</v>
      </c>
      <c r="C3113" s="4">
        <v>5925</v>
      </c>
      <c r="D3113" s="5">
        <v>89650</v>
      </c>
      <c r="E3113" s="5">
        <f t="shared" si="108"/>
        <v>71450</v>
      </c>
      <c r="F3113" s="5">
        <v>172000</v>
      </c>
      <c r="K3113" s="24">
        <v>2025.5</v>
      </c>
      <c r="L3113" s="6">
        <v>2053</v>
      </c>
      <c r="M3113" s="270">
        <f t="shared" si="106"/>
        <v>27.5</v>
      </c>
      <c r="N3113" s="19"/>
      <c r="O3113" s="280"/>
      <c r="P3113" s="345">
        <v>15400</v>
      </c>
      <c r="Q3113" s="28">
        <f>166.33/1135.5</f>
        <v>0.14648172611184501</v>
      </c>
      <c r="U3113" s="29">
        <v>0.1</v>
      </c>
      <c r="W3113" s="741">
        <f t="shared" si="107"/>
        <v>2481.4004403346548</v>
      </c>
    </row>
    <row r="3114" spans="1:23" ht="15" customHeight="1">
      <c r="A3114" s="3">
        <v>40263</v>
      </c>
      <c r="B3114" s="4">
        <v>4975</v>
      </c>
      <c r="C3114" s="4">
        <v>5925</v>
      </c>
      <c r="D3114" s="5">
        <v>89425</v>
      </c>
      <c r="E3114" s="5">
        <f t="shared" si="108"/>
        <v>71925</v>
      </c>
      <c r="F3114" s="5">
        <v>172250</v>
      </c>
      <c r="K3114" s="24">
        <v>2090</v>
      </c>
      <c r="L3114" s="6">
        <v>2120</v>
      </c>
      <c r="M3114" s="270">
        <f t="shared" si="106"/>
        <v>30</v>
      </c>
      <c r="N3114" s="19"/>
      <c r="O3114" s="280"/>
      <c r="P3114" s="345">
        <v>15450</v>
      </c>
      <c r="Q3114" s="28">
        <f>167.13/1141.2</f>
        <v>0.14645110410094636</v>
      </c>
      <c r="U3114" s="29">
        <v>0.1</v>
      </c>
      <c r="W3114" s="741">
        <f t="shared" si="107"/>
        <v>2488.9365141955832</v>
      </c>
    </row>
    <row r="3115" spans="1:23" ht="15" customHeight="1">
      <c r="A3115" s="3">
        <v>40265</v>
      </c>
      <c r="B3115" s="4">
        <v>4975</v>
      </c>
      <c r="C3115" s="4">
        <v>5925</v>
      </c>
      <c r="D3115" s="5">
        <v>89150</v>
      </c>
      <c r="E3115" s="5">
        <f t="shared" si="108"/>
        <v>74475</v>
      </c>
      <c r="F3115" s="5">
        <v>174525</v>
      </c>
      <c r="K3115" s="24">
        <v>2153</v>
      </c>
      <c r="L3115" s="6">
        <v>2187</v>
      </c>
      <c r="M3115" s="270">
        <f t="shared" si="106"/>
        <v>34</v>
      </c>
      <c r="N3115" s="19"/>
      <c r="O3115" s="280"/>
      <c r="P3115" s="345">
        <v>15550</v>
      </c>
      <c r="Q3115" s="28">
        <f>167.23/1141.7</f>
        <v>0.14647455548743102</v>
      </c>
      <c r="U3115" s="29">
        <v>0.1</v>
      </c>
      <c r="W3115" s="741">
        <f t="shared" si="107"/>
        <v>2505.4472716125078</v>
      </c>
    </row>
    <row r="3116" spans="1:23" ht="15" customHeight="1">
      <c r="A3116" s="3">
        <v>40267</v>
      </c>
      <c r="B3116" s="4">
        <v>4975</v>
      </c>
      <c r="C3116" s="4">
        <v>5925</v>
      </c>
      <c r="D3116" s="5">
        <v>88975</v>
      </c>
      <c r="E3116" s="5">
        <f t="shared" si="108"/>
        <v>75850</v>
      </c>
      <c r="F3116" s="5">
        <v>175725</v>
      </c>
      <c r="K3116" s="24">
        <v>2137</v>
      </c>
      <c r="L3116" s="6">
        <v>2169</v>
      </c>
      <c r="M3116" s="270">
        <f t="shared" si="106"/>
        <v>32</v>
      </c>
      <c r="N3116" s="19"/>
      <c r="O3116" s="280"/>
      <c r="P3116" s="345">
        <v>15600</v>
      </c>
      <c r="Q3116" s="28">
        <f>166.79/1138.6</f>
        <v>0.14648691375373266</v>
      </c>
      <c r="U3116" s="29">
        <v>0.1</v>
      </c>
      <c r="W3116" s="741">
        <f t="shared" si="107"/>
        <v>2513.7154400140525</v>
      </c>
    </row>
    <row r="3117" spans="1:23" ht="15" customHeight="1" thickBot="1">
      <c r="A3117" s="12">
        <v>40268</v>
      </c>
      <c r="B3117" s="13">
        <v>4925</v>
      </c>
      <c r="C3117" s="13">
        <v>5925</v>
      </c>
      <c r="D3117" s="14">
        <v>88675</v>
      </c>
      <c r="E3117" s="14">
        <f t="shared" si="108"/>
        <v>76325</v>
      </c>
      <c r="F3117" s="14">
        <v>175850</v>
      </c>
      <c r="G3117" s="14"/>
      <c r="H3117" s="14"/>
      <c r="I3117" s="14"/>
      <c r="J3117" s="264"/>
      <c r="K3117" s="25">
        <v>2120</v>
      </c>
      <c r="L3117" s="15">
        <v>2155</v>
      </c>
      <c r="M3117" s="271">
        <f>L3117-K3117</f>
        <v>35</v>
      </c>
      <c r="N3117" s="160">
        <f>AVERAGE(K3095:K3117)</f>
        <v>2172.086956521739</v>
      </c>
      <c r="O3117" s="286">
        <f>AVERAGE(K3055:K3117)</f>
        <v>2219.031746031746</v>
      </c>
      <c r="P3117" s="346">
        <v>15600</v>
      </c>
      <c r="Q3117" s="30">
        <f>165.66/1130.8</f>
        <v>0.14649805447470818</v>
      </c>
      <c r="R3117" s="30"/>
      <c r="S3117" s="30"/>
      <c r="T3117" s="30"/>
      <c r="U3117" s="31">
        <v>0.1</v>
      </c>
      <c r="V3117" s="46">
        <f>AVERAGE(P3095:P3117)</f>
        <v>15671.739130434782</v>
      </c>
      <c r="W3117" s="741">
        <f t="shared" ref="W3117:W3180" si="109">(P3117*Q3117)*(1+U3117)</f>
        <v>2513.9066147859921</v>
      </c>
    </row>
    <row r="3118" spans="1:23" ht="15" customHeight="1">
      <c r="A3118" s="3">
        <v>40269</v>
      </c>
      <c r="B3118" s="4">
        <v>4925</v>
      </c>
      <c r="C3118" s="4">
        <v>5925</v>
      </c>
      <c r="D3118" s="5">
        <v>88375</v>
      </c>
      <c r="E3118" s="5">
        <f t="shared" si="108"/>
        <v>77100</v>
      </c>
      <c r="F3118" s="5">
        <v>176325</v>
      </c>
      <c r="K3118" s="24">
        <v>2182.5</v>
      </c>
      <c r="L3118" s="6">
        <v>2212</v>
      </c>
      <c r="M3118" s="270">
        <f>L3118-K3118</f>
        <v>29.5</v>
      </c>
      <c r="N3118" s="19"/>
      <c r="O3118" s="280"/>
      <c r="P3118" s="348">
        <v>15600</v>
      </c>
      <c r="Q3118" s="41">
        <f>165.91/1132.5</f>
        <v>0.14649889624724061</v>
      </c>
      <c r="R3118" s="41"/>
      <c r="S3118" s="41"/>
      <c r="T3118" s="41"/>
      <c r="U3118" s="42">
        <v>0.1</v>
      </c>
      <c r="V3118" s="45"/>
      <c r="W3118" s="741">
        <f t="shared" si="109"/>
        <v>2513.9210596026492</v>
      </c>
    </row>
    <row r="3119" spans="1:23" ht="15" customHeight="1">
      <c r="A3119" s="3">
        <v>40270</v>
      </c>
      <c r="C3119" s="368"/>
      <c r="D3119" s="368"/>
      <c r="E3119" s="368"/>
      <c r="F3119" s="368"/>
      <c r="G3119" s="1007" t="s">
        <v>61</v>
      </c>
      <c r="H3119" s="1007"/>
      <c r="I3119" s="1007"/>
      <c r="J3119" s="1007"/>
      <c r="K3119" s="368"/>
      <c r="L3119" s="368"/>
      <c r="M3119" s="368"/>
      <c r="N3119" s="19"/>
      <c r="O3119" s="280"/>
      <c r="P3119" s="345">
        <v>15700</v>
      </c>
      <c r="Q3119" s="28">
        <f>165.28/1128.3</f>
        <v>0.14648586368873528</v>
      </c>
      <c r="U3119" s="29">
        <v>0.1</v>
      </c>
      <c r="W3119" s="741">
        <f t="shared" si="109"/>
        <v>2529.8108659044588</v>
      </c>
    </row>
    <row r="3120" spans="1:23" ht="15" customHeight="1">
      <c r="A3120" s="3">
        <v>40273</v>
      </c>
      <c r="B3120" s="368"/>
      <c r="C3120" s="368"/>
      <c r="D3120" s="368"/>
      <c r="E3120" s="368"/>
      <c r="F3120" s="368"/>
      <c r="G3120" s="1007"/>
      <c r="H3120" s="1007"/>
      <c r="I3120" s="1007"/>
      <c r="J3120" s="1007"/>
      <c r="K3120" s="368"/>
      <c r="L3120" s="368"/>
      <c r="M3120" s="368"/>
      <c r="N3120" s="19"/>
      <c r="O3120" s="280"/>
      <c r="P3120" s="370"/>
      <c r="Q3120" s="996" t="s">
        <v>10</v>
      </c>
      <c r="R3120" s="996"/>
      <c r="S3120" s="996"/>
      <c r="T3120" s="996"/>
      <c r="U3120" s="996"/>
      <c r="V3120" s="364"/>
      <c r="W3120" s="741" t="e">
        <f t="shared" si="109"/>
        <v>#VALUE!</v>
      </c>
    </row>
    <row r="3121" spans="1:26" ht="15" customHeight="1">
      <c r="A3121" s="3">
        <v>40274</v>
      </c>
      <c r="B3121" s="4">
        <v>4800</v>
      </c>
      <c r="C3121" s="4">
        <v>5925</v>
      </c>
      <c r="D3121" s="5">
        <v>87950</v>
      </c>
      <c r="E3121" s="5">
        <f t="shared" si="108"/>
        <v>77050</v>
      </c>
      <c r="F3121" s="5">
        <v>175725</v>
      </c>
      <c r="K3121" s="24">
        <v>2228</v>
      </c>
      <c r="L3121" s="6">
        <v>2255.5</v>
      </c>
      <c r="M3121" s="270">
        <f>L3121-K3121</f>
        <v>27.5</v>
      </c>
      <c r="N3121" s="19"/>
      <c r="O3121" s="280"/>
      <c r="P3121" s="345">
        <v>15700</v>
      </c>
      <c r="Q3121" s="28">
        <f>164.83/1125.1</f>
        <v>0.14650253310816819</v>
      </c>
      <c r="U3121" s="29">
        <v>0.1</v>
      </c>
      <c r="W3121" s="741">
        <f t="shared" si="109"/>
        <v>2530.0987467780647</v>
      </c>
    </row>
    <row r="3122" spans="1:26" ht="15" customHeight="1">
      <c r="A3122" s="3">
        <v>40275</v>
      </c>
      <c r="B3122" s="4">
        <v>4800</v>
      </c>
      <c r="C3122" s="4">
        <v>5925</v>
      </c>
      <c r="D3122" s="5">
        <v>87425</v>
      </c>
      <c r="E3122" s="5">
        <f t="shared" si="108"/>
        <v>77450</v>
      </c>
      <c r="F3122" s="5">
        <v>175600</v>
      </c>
      <c r="K3122" s="24">
        <v>2262.5</v>
      </c>
      <c r="L3122" s="6">
        <v>2293</v>
      </c>
      <c r="M3122" s="270">
        <f t="shared" ref="M3122:M3159" si="110">L3122-K3122</f>
        <v>30.5</v>
      </c>
      <c r="N3122" s="19"/>
      <c r="O3122" s="280"/>
      <c r="P3122" s="345">
        <v>15800</v>
      </c>
      <c r="Q3122" s="28">
        <f>164.54/1123.1</f>
        <v>0.14650520879707951</v>
      </c>
      <c r="U3122" s="29">
        <v>0.1</v>
      </c>
      <c r="W3122" s="741">
        <f t="shared" si="109"/>
        <v>2546.2605288932423</v>
      </c>
    </row>
    <row r="3123" spans="1:26" ht="15" customHeight="1">
      <c r="A3123" s="3">
        <v>40276</v>
      </c>
      <c r="B3123" s="4">
        <v>4800</v>
      </c>
      <c r="C3123" s="4">
        <v>5925</v>
      </c>
      <c r="D3123" s="5">
        <v>86875</v>
      </c>
      <c r="E3123" s="5">
        <f t="shared" si="108"/>
        <v>77425</v>
      </c>
      <c r="F3123" s="5">
        <v>175025</v>
      </c>
      <c r="K3123" s="24">
        <v>2225</v>
      </c>
      <c r="L3123" s="6">
        <v>2255</v>
      </c>
      <c r="M3123" s="270">
        <f t="shared" si="110"/>
        <v>30</v>
      </c>
      <c r="N3123" s="19"/>
      <c r="O3123" s="280"/>
      <c r="P3123" s="345">
        <v>15800</v>
      </c>
      <c r="Q3123" s="28">
        <f>164.36/1121.8</f>
        <v>0.14651453021929045</v>
      </c>
      <c r="U3123" s="29">
        <v>0.1</v>
      </c>
      <c r="W3123" s="741">
        <f t="shared" si="109"/>
        <v>2546.422535211268</v>
      </c>
      <c r="Z3123" s="19"/>
    </row>
    <row r="3124" spans="1:26" ht="15" customHeight="1">
      <c r="A3124" s="3">
        <v>40277</v>
      </c>
      <c r="B3124" s="4">
        <v>4800</v>
      </c>
      <c r="C3124" s="4">
        <v>5925</v>
      </c>
      <c r="D3124" s="5">
        <v>86250</v>
      </c>
      <c r="E3124" s="5">
        <f t="shared" si="108"/>
        <v>77425</v>
      </c>
      <c r="F3124" s="5">
        <v>174400</v>
      </c>
      <c r="K3124" s="24">
        <v>2280</v>
      </c>
      <c r="L3124" s="6">
        <v>2309</v>
      </c>
      <c r="M3124" s="270">
        <f t="shared" si="110"/>
        <v>29</v>
      </c>
      <c r="N3124" s="19"/>
      <c r="O3124" s="280"/>
      <c r="P3124" s="345">
        <v>15700</v>
      </c>
      <c r="Q3124" s="28">
        <f>164.59/1123.2</f>
        <v>0.1465366809116809</v>
      </c>
      <c r="U3124" s="29">
        <v>0.1</v>
      </c>
      <c r="W3124" s="741">
        <f t="shared" si="109"/>
        <v>2530.6884793447293</v>
      </c>
    </row>
    <row r="3125" spans="1:26" ht="15" customHeight="1">
      <c r="A3125" s="3">
        <v>40280</v>
      </c>
      <c r="B3125" s="4">
        <v>4800</v>
      </c>
      <c r="C3125" s="4">
        <v>5925</v>
      </c>
      <c r="D3125" s="5">
        <v>85600</v>
      </c>
      <c r="E3125" s="5">
        <f t="shared" si="108"/>
        <v>77425</v>
      </c>
      <c r="F3125" s="5">
        <v>173750</v>
      </c>
      <c r="K3125" s="24">
        <v>2315</v>
      </c>
      <c r="L3125" s="6">
        <v>2342</v>
      </c>
      <c r="M3125" s="270">
        <f t="shared" si="110"/>
        <v>27</v>
      </c>
      <c r="N3125" s="19"/>
      <c r="O3125" s="280"/>
      <c r="P3125" s="345">
        <v>15900</v>
      </c>
      <c r="Q3125" s="28">
        <f>163.97/1118.8</f>
        <v>0.14655881301394352</v>
      </c>
      <c r="U3125" s="29">
        <v>0.1</v>
      </c>
      <c r="W3125" s="741">
        <f t="shared" si="109"/>
        <v>2563.3136396138725</v>
      </c>
    </row>
    <row r="3126" spans="1:26" ht="15" customHeight="1">
      <c r="A3126" s="3">
        <v>40281</v>
      </c>
      <c r="B3126" s="4">
        <v>4800</v>
      </c>
      <c r="C3126" s="4">
        <v>5925</v>
      </c>
      <c r="D3126" s="5">
        <v>85125</v>
      </c>
      <c r="E3126" s="5">
        <f t="shared" si="108"/>
        <v>77725</v>
      </c>
      <c r="F3126" s="5">
        <v>173575</v>
      </c>
      <c r="K3126" s="24">
        <v>2305.5</v>
      </c>
      <c r="L3126" s="6">
        <v>2331</v>
      </c>
      <c r="M3126" s="270">
        <f t="shared" si="110"/>
        <v>25.5</v>
      </c>
      <c r="N3126" s="19"/>
      <c r="O3126" s="280"/>
      <c r="P3126" s="345">
        <v>15950</v>
      </c>
      <c r="Q3126" s="28">
        <f>163.04/1113</f>
        <v>0.14648697214734949</v>
      </c>
      <c r="U3126" s="29">
        <v>0.1</v>
      </c>
      <c r="W3126" s="741">
        <f t="shared" si="109"/>
        <v>2570.1139263252471</v>
      </c>
    </row>
    <row r="3127" spans="1:26" ht="15" customHeight="1">
      <c r="A3127" s="3">
        <v>40282</v>
      </c>
      <c r="B3127" s="4">
        <v>4800</v>
      </c>
      <c r="C3127" s="4">
        <v>6075</v>
      </c>
      <c r="D3127" s="5">
        <v>91675</v>
      </c>
      <c r="E3127" s="5">
        <f t="shared" si="108"/>
        <v>77875</v>
      </c>
      <c r="F3127" s="5">
        <v>180425</v>
      </c>
      <c r="K3127" s="24">
        <v>2333.5</v>
      </c>
      <c r="L3127" s="6">
        <v>2358</v>
      </c>
      <c r="M3127" s="270">
        <f t="shared" si="110"/>
        <v>24.5</v>
      </c>
      <c r="N3127" s="19"/>
      <c r="O3127" s="280"/>
      <c r="P3127" s="345">
        <v>15950</v>
      </c>
      <c r="Q3127" s="28">
        <f>164.1/1120.1</f>
        <v>0.14650477635925366</v>
      </c>
      <c r="U3127" s="29">
        <v>0.1</v>
      </c>
      <c r="W3127" s="741">
        <f t="shared" si="109"/>
        <v>2570.4263012231054</v>
      </c>
    </row>
    <row r="3128" spans="1:26" ht="15" customHeight="1">
      <c r="A3128" s="3">
        <v>40283</v>
      </c>
      <c r="B3128" s="4">
        <v>4800</v>
      </c>
      <c r="C3128" s="4">
        <v>6275</v>
      </c>
      <c r="D3128" s="5">
        <v>91225</v>
      </c>
      <c r="E3128" s="5">
        <f t="shared" si="108"/>
        <v>77775</v>
      </c>
      <c r="F3128" s="5">
        <v>180075</v>
      </c>
      <c r="K3128" s="24">
        <v>2290</v>
      </c>
      <c r="L3128" s="6">
        <v>2306.5</v>
      </c>
      <c r="M3128" s="270">
        <f t="shared" si="110"/>
        <v>16.5</v>
      </c>
      <c r="N3128" s="19"/>
      <c r="O3128" s="280"/>
      <c r="P3128" s="345">
        <v>15950</v>
      </c>
      <c r="Q3128" s="28">
        <f>163.45/1115.7</f>
        <v>0.14649995518508557</v>
      </c>
      <c r="U3128" s="29">
        <v>0.1</v>
      </c>
      <c r="W3128" s="741">
        <f t="shared" si="109"/>
        <v>2570.3417137223264</v>
      </c>
    </row>
    <row r="3129" spans="1:26" ht="15" customHeight="1">
      <c r="A3129" s="3">
        <v>40284</v>
      </c>
      <c r="B3129" s="4">
        <v>5000</v>
      </c>
      <c r="C3129" s="4">
        <v>6375</v>
      </c>
      <c r="D3129" s="5">
        <v>91025</v>
      </c>
      <c r="E3129" s="5">
        <f t="shared" si="108"/>
        <v>77725</v>
      </c>
      <c r="F3129" s="5">
        <v>180125</v>
      </c>
      <c r="K3129" s="24">
        <v>2368</v>
      </c>
      <c r="L3129" s="6">
        <v>2390</v>
      </c>
      <c r="M3129" s="270">
        <f t="shared" si="110"/>
        <v>22</v>
      </c>
      <c r="N3129" s="19"/>
      <c r="O3129" s="280"/>
      <c r="P3129" s="345">
        <v>15800</v>
      </c>
      <c r="Q3129" s="28">
        <f>162.42/1108.7</f>
        <v>0.1464958960945251</v>
      </c>
      <c r="U3129" s="29">
        <v>0.1</v>
      </c>
      <c r="W3129" s="741">
        <f t="shared" si="109"/>
        <v>2546.0986741228467</v>
      </c>
    </row>
    <row r="3130" spans="1:26" ht="15" customHeight="1">
      <c r="A3130" s="3">
        <v>40287</v>
      </c>
      <c r="B3130" s="4">
        <v>4950</v>
      </c>
      <c r="C3130" s="4">
        <v>6425</v>
      </c>
      <c r="D3130" s="5">
        <v>90550</v>
      </c>
      <c r="E3130" s="5">
        <f t="shared" si="108"/>
        <v>78025</v>
      </c>
      <c r="F3130" s="5">
        <v>179950</v>
      </c>
      <c r="K3130" s="24">
        <v>2187.5</v>
      </c>
      <c r="L3130" s="6">
        <v>2206</v>
      </c>
      <c r="M3130" s="270">
        <f t="shared" si="110"/>
        <v>18.5</v>
      </c>
      <c r="N3130" s="19"/>
      <c r="O3130" s="280"/>
      <c r="P3130" s="345">
        <v>15650</v>
      </c>
      <c r="Q3130" s="28">
        <f>163.09/1113.2</f>
        <v>0.14650556952928495</v>
      </c>
      <c r="U3130" s="29">
        <v>0.1</v>
      </c>
      <c r="W3130" s="741">
        <f t="shared" si="109"/>
        <v>2522.0933794466409</v>
      </c>
    </row>
    <row r="3131" spans="1:26" ht="15" customHeight="1">
      <c r="A3131" s="3">
        <v>40288</v>
      </c>
      <c r="B3131" s="4">
        <v>5075</v>
      </c>
      <c r="C3131" s="4">
        <v>6425</v>
      </c>
      <c r="D3131" s="5">
        <v>90025</v>
      </c>
      <c r="E3131" s="5">
        <f t="shared" si="108"/>
        <v>78075</v>
      </c>
      <c r="F3131" s="5">
        <v>179600</v>
      </c>
      <c r="K3131" s="24">
        <v>2264</v>
      </c>
      <c r="L3131" s="6">
        <v>2294</v>
      </c>
      <c r="M3131" s="270">
        <f t="shared" si="110"/>
        <v>30</v>
      </c>
      <c r="N3131" s="19"/>
      <c r="O3131" s="280"/>
      <c r="P3131" s="345">
        <v>15600</v>
      </c>
      <c r="Q3131" s="28">
        <f>163.63/1117</f>
        <v>0.14649059982094897</v>
      </c>
      <c r="U3131" s="29">
        <v>0.1</v>
      </c>
      <c r="W3131" s="741">
        <f t="shared" si="109"/>
        <v>2513.7786929274848</v>
      </c>
    </row>
    <row r="3132" spans="1:26" ht="15" customHeight="1">
      <c r="A3132" s="3">
        <v>40289</v>
      </c>
      <c r="B3132" s="4">
        <v>5075</v>
      </c>
      <c r="C3132" s="4">
        <v>6425</v>
      </c>
      <c r="D3132" s="5">
        <v>89525</v>
      </c>
      <c r="E3132" s="5">
        <f t="shared" si="108"/>
        <v>78125</v>
      </c>
      <c r="F3132" s="5">
        <v>179150</v>
      </c>
      <c r="K3132" s="24">
        <v>2295</v>
      </c>
      <c r="L3132" s="6">
        <v>2324</v>
      </c>
      <c r="M3132" s="270">
        <f t="shared" si="110"/>
        <v>29</v>
      </c>
      <c r="N3132" s="19"/>
      <c r="O3132" s="280"/>
      <c r="P3132" s="345">
        <v>15700</v>
      </c>
      <c r="Q3132" s="28">
        <f>163.48/1115.8</f>
        <v>0.14651371213479117</v>
      </c>
      <c r="U3132" s="29">
        <v>0.1</v>
      </c>
      <c r="W3132" s="741">
        <f t="shared" si="109"/>
        <v>2530.2918085678439</v>
      </c>
    </row>
    <row r="3133" spans="1:26" ht="15" customHeight="1">
      <c r="A3133" s="3">
        <v>40290</v>
      </c>
      <c r="B3133" s="4">
        <v>5075</v>
      </c>
      <c r="C3133" s="4">
        <v>6425</v>
      </c>
      <c r="D3133" s="5">
        <v>89425</v>
      </c>
      <c r="E3133" s="5">
        <f t="shared" si="108"/>
        <v>78075</v>
      </c>
      <c r="F3133" s="5">
        <v>179000</v>
      </c>
      <c r="K3133" s="24">
        <v>2275.5</v>
      </c>
      <c r="L3133" s="6">
        <v>2305</v>
      </c>
      <c r="M3133" s="270">
        <f t="shared" si="110"/>
        <v>29.5</v>
      </c>
      <c r="N3133" s="19"/>
      <c r="O3133" s="280"/>
      <c r="P3133" s="345">
        <v>15700</v>
      </c>
      <c r="Q3133" s="28">
        <f>162.59/1110.1</f>
        <v>0.14646428249707236</v>
      </c>
      <c r="U3133" s="29">
        <v>0.1</v>
      </c>
      <c r="W3133" s="741">
        <f t="shared" si="109"/>
        <v>2529.4381587244397</v>
      </c>
    </row>
    <row r="3134" spans="1:26" ht="15" customHeight="1">
      <c r="A3134" s="3">
        <v>40291</v>
      </c>
      <c r="B3134" s="4">
        <v>5075</v>
      </c>
      <c r="C3134" s="4">
        <v>6425</v>
      </c>
      <c r="D3134" s="5">
        <v>89425</v>
      </c>
      <c r="E3134" s="5">
        <f t="shared" si="108"/>
        <v>78700</v>
      </c>
      <c r="F3134" s="5">
        <v>179625</v>
      </c>
      <c r="K3134" s="24">
        <v>2253.5</v>
      </c>
      <c r="L3134" s="6">
        <v>2279.5</v>
      </c>
      <c r="M3134" s="270">
        <f t="shared" si="110"/>
        <v>26</v>
      </c>
      <c r="N3134" s="19"/>
      <c r="O3134" s="280"/>
      <c r="P3134" s="345">
        <v>15700</v>
      </c>
      <c r="Q3134" s="28">
        <f>162.66/1110.5</f>
        <v>0.14647456100855472</v>
      </c>
      <c r="U3134" s="29">
        <v>0.1</v>
      </c>
      <c r="W3134" s="741">
        <f t="shared" si="109"/>
        <v>2529.6156686177401</v>
      </c>
    </row>
    <row r="3135" spans="1:26" ht="15" customHeight="1">
      <c r="A3135" s="3">
        <v>40294</v>
      </c>
      <c r="B3135" s="4">
        <v>5075</v>
      </c>
      <c r="C3135" s="4">
        <v>6425</v>
      </c>
      <c r="D3135" s="5">
        <v>89425</v>
      </c>
      <c r="E3135" s="5">
        <f t="shared" si="108"/>
        <v>78650</v>
      </c>
      <c r="F3135" s="5">
        <v>179575</v>
      </c>
      <c r="K3135" s="24">
        <v>2310.5</v>
      </c>
      <c r="L3135" s="6">
        <v>2340</v>
      </c>
      <c r="M3135" s="270">
        <f t="shared" si="110"/>
        <v>29.5</v>
      </c>
      <c r="N3135" s="19"/>
      <c r="O3135" s="280"/>
      <c r="P3135" s="345">
        <v>15700</v>
      </c>
      <c r="Q3135" s="28">
        <f>162.58/1110</f>
        <v>0.14646846846846848</v>
      </c>
      <c r="U3135" s="29">
        <v>0.1</v>
      </c>
      <c r="W3135" s="741">
        <f t="shared" si="109"/>
        <v>2529.5104504504507</v>
      </c>
    </row>
    <row r="3136" spans="1:26" ht="15" customHeight="1">
      <c r="A3136" s="3">
        <v>40295</v>
      </c>
      <c r="B3136" s="4">
        <v>5075</v>
      </c>
      <c r="C3136" s="4">
        <v>6425</v>
      </c>
      <c r="D3136" s="5">
        <v>89425</v>
      </c>
      <c r="E3136" s="5">
        <f t="shared" si="108"/>
        <v>78850</v>
      </c>
      <c r="F3136" s="5">
        <v>179775</v>
      </c>
      <c r="K3136" s="24">
        <v>2291</v>
      </c>
      <c r="L3136" s="6">
        <v>2324.5</v>
      </c>
      <c r="M3136" s="270">
        <f t="shared" si="110"/>
        <v>33.5</v>
      </c>
      <c r="N3136" s="19"/>
      <c r="O3136" s="280"/>
      <c r="P3136" s="345">
        <v>15850</v>
      </c>
      <c r="Q3136" s="28">
        <f>161.72/1104</f>
        <v>0.14648550724637682</v>
      </c>
      <c r="U3136" s="29">
        <v>0.1</v>
      </c>
      <c r="W3136" s="741">
        <f t="shared" si="109"/>
        <v>2553.9748188405802</v>
      </c>
    </row>
    <row r="3137" spans="1:26" ht="15" customHeight="1">
      <c r="A3137" s="3">
        <v>40296</v>
      </c>
      <c r="B3137" s="4">
        <v>5075</v>
      </c>
      <c r="C3137" s="4">
        <v>6425</v>
      </c>
      <c r="D3137" s="5">
        <v>89425</v>
      </c>
      <c r="E3137" s="5">
        <f t="shared" si="108"/>
        <v>79150</v>
      </c>
      <c r="F3137" s="5">
        <v>180075</v>
      </c>
      <c r="K3137" s="24">
        <v>2225</v>
      </c>
      <c r="L3137" s="6">
        <v>2255</v>
      </c>
      <c r="M3137" s="270">
        <f t="shared" si="110"/>
        <v>30</v>
      </c>
      <c r="N3137" s="19"/>
      <c r="O3137" s="280"/>
      <c r="P3137" s="345">
        <v>15700</v>
      </c>
      <c r="Q3137" s="28">
        <f>162.15/1106.8</f>
        <v>0.1465034333212866</v>
      </c>
      <c r="U3137" s="29">
        <v>0.1</v>
      </c>
      <c r="W3137" s="741">
        <f t="shared" si="109"/>
        <v>2530.1142934586196</v>
      </c>
    </row>
    <row r="3138" spans="1:26" ht="15" customHeight="1">
      <c r="A3138" s="3">
        <v>40297</v>
      </c>
      <c r="B3138" s="4">
        <v>5075</v>
      </c>
      <c r="C3138" s="4">
        <v>6425</v>
      </c>
      <c r="D3138" s="5">
        <v>89425</v>
      </c>
      <c r="E3138" s="5">
        <f t="shared" si="108"/>
        <v>79150</v>
      </c>
      <c r="F3138" s="5">
        <v>180075</v>
      </c>
      <c r="K3138" s="24">
        <v>2229</v>
      </c>
      <c r="L3138" s="6">
        <v>2253</v>
      </c>
      <c r="M3138" s="270">
        <f t="shared" si="110"/>
        <v>24</v>
      </c>
      <c r="N3138" s="19"/>
      <c r="O3138" s="280"/>
      <c r="P3138" s="345">
        <v>15700</v>
      </c>
      <c r="Q3138" s="28">
        <f>163.94/1118.9</f>
        <v>0.1465189024935204</v>
      </c>
      <c r="U3138" s="29">
        <v>0.1</v>
      </c>
      <c r="W3138" s="741">
        <f t="shared" si="109"/>
        <v>2530.3814460630974</v>
      </c>
    </row>
    <row r="3139" spans="1:26" ht="15" customHeight="1" thickBot="1">
      <c r="A3139" s="12">
        <v>40298</v>
      </c>
      <c r="B3139" s="13">
        <v>5075</v>
      </c>
      <c r="C3139" s="13">
        <v>6425</v>
      </c>
      <c r="D3139" s="14">
        <v>89575</v>
      </c>
      <c r="E3139" s="14">
        <f t="shared" si="108"/>
        <v>79775</v>
      </c>
      <c r="F3139" s="14">
        <v>180850</v>
      </c>
      <c r="G3139" s="14"/>
      <c r="H3139" s="14"/>
      <c r="I3139" s="14"/>
      <c r="J3139" s="264"/>
      <c r="K3139" s="25">
        <v>2176</v>
      </c>
      <c r="L3139" s="15">
        <v>2208</v>
      </c>
      <c r="M3139" s="270">
        <f t="shared" si="110"/>
        <v>32</v>
      </c>
      <c r="N3139" s="160">
        <f>AVERAGE(K3118:K3139)</f>
        <v>2264.85</v>
      </c>
      <c r="O3139" s="286">
        <f>AVERAGE(K3055:K3139)</f>
        <v>2230.0722891566265</v>
      </c>
      <c r="P3139" s="346">
        <v>15650</v>
      </c>
      <c r="Q3139" s="30">
        <f>163.42/1115.5</f>
        <v>0.14649932765575974</v>
      </c>
      <c r="R3139" s="30"/>
      <c r="S3139" s="30"/>
      <c r="T3139" s="30"/>
      <c r="U3139" s="31">
        <v>0.1</v>
      </c>
      <c r="V3139" s="46">
        <f>AVERAGE(P3118:P3139)</f>
        <v>15752.380952380952</v>
      </c>
      <c r="W3139" s="741">
        <f t="shared" si="109"/>
        <v>2521.9859255939041</v>
      </c>
    </row>
    <row r="3140" spans="1:26" ht="15" customHeight="1">
      <c r="A3140" s="36">
        <v>40301</v>
      </c>
      <c r="C3140" s="374"/>
      <c r="D3140" s="374"/>
      <c r="E3140" s="374"/>
      <c r="F3140" s="374"/>
      <c r="G3140" s="1034" t="s">
        <v>61</v>
      </c>
      <c r="H3140" s="1034"/>
      <c r="I3140" s="1034"/>
      <c r="J3140" s="1034"/>
      <c r="K3140" s="374"/>
      <c r="L3140" s="374"/>
      <c r="M3140" s="374"/>
      <c r="N3140" s="21"/>
      <c r="O3140" s="283"/>
      <c r="P3140" s="362"/>
      <c r="Q3140" s="1010" t="s">
        <v>10</v>
      </c>
      <c r="R3140" s="1010"/>
      <c r="S3140" s="1010"/>
      <c r="T3140" s="1010"/>
      <c r="U3140" s="1010"/>
      <c r="V3140" s="362"/>
      <c r="W3140" s="741" t="e">
        <f t="shared" si="109"/>
        <v>#VALUE!</v>
      </c>
    </row>
    <row r="3141" spans="1:26" ht="15" customHeight="1">
      <c r="A3141" s="3">
        <v>40302</v>
      </c>
      <c r="B3141" s="4">
        <v>5075</v>
      </c>
      <c r="C3141" s="4">
        <v>6925</v>
      </c>
      <c r="D3141" s="5">
        <v>89575</v>
      </c>
      <c r="E3141" s="5">
        <f t="shared" si="108"/>
        <v>80550</v>
      </c>
      <c r="F3141" s="5">
        <v>182125</v>
      </c>
      <c r="K3141" s="24">
        <v>2129.5</v>
      </c>
      <c r="L3141" s="6">
        <v>2149</v>
      </c>
      <c r="M3141" s="270">
        <f t="shared" si="110"/>
        <v>19.5</v>
      </c>
      <c r="N3141" s="19"/>
      <c r="O3141" s="280"/>
      <c r="P3141" s="345">
        <v>15650</v>
      </c>
      <c r="Q3141" s="28">
        <f>162.41/1108.5</f>
        <v>0.14651330626973388</v>
      </c>
      <c r="U3141" s="29">
        <v>0.1</v>
      </c>
      <c r="W3141" s="741">
        <f t="shared" si="109"/>
        <v>2522.226567433469</v>
      </c>
    </row>
    <row r="3142" spans="1:26" ht="15" customHeight="1">
      <c r="A3142" s="3">
        <v>40303</v>
      </c>
      <c r="B3142" s="4">
        <v>5325</v>
      </c>
      <c r="C3142" s="4">
        <v>6925</v>
      </c>
      <c r="D3142" s="5">
        <v>89725</v>
      </c>
      <c r="E3142" s="5">
        <f t="shared" si="108"/>
        <v>80550</v>
      </c>
      <c r="F3142" s="5">
        <v>182525</v>
      </c>
      <c r="K3142" s="24">
        <v>1962</v>
      </c>
      <c r="L3142" s="6">
        <v>2005</v>
      </c>
      <c r="M3142" s="270">
        <f t="shared" si="110"/>
        <v>43</v>
      </c>
      <c r="N3142" s="19"/>
      <c r="O3142" s="280"/>
      <c r="P3142" s="345">
        <v>15500</v>
      </c>
      <c r="Q3142" s="28">
        <f>163.49/1115.8</f>
        <v>0.14652267431439328</v>
      </c>
      <c r="U3142" s="29">
        <v>0.1</v>
      </c>
      <c r="W3142" s="741">
        <f t="shared" si="109"/>
        <v>2498.2115970604054</v>
      </c>
    </row>
    <row r="3143" spans="1:26" ht="15" customHeight="1">
      <c r="A3143" s="3">
        <v>40304</v>
      </c>
      <c r="B3143" s="4">
        <v>5325</v>
      </c>
      <c r="C3143" s="4">
        <v>6925</v>
      </c>
      <c r="D3143" s="5">
        <v>89725</v>
      </c>
      <c r="E3143" s="5">
        <f t="shared" si="108"/>
        <v>80750</v>
      </c>
      <c r="F3143" s="5">
        <v>182725</v>
      </c>
      <c r="K3143" s="24">
        <v>1965</v>
      </c>
      <c r="L3143" s="6">
        <v>1994.5</v>
      </c>
      <c r="M3143" s="270">
        <f t="shared" si="110"/>
        <v>29.5</v>
      </c>
      <c r="N3143" s="19"/>
      <c r="O3143" s="280"/>
      <c r="P3143" s="345">
        <v>15350</v>
      </c>
      <c r="Q3143" s="28">
        <f>163.28/1114.6</f>
        <v>0.14649201507267182</v>
      </c>
      <c r="U3143" s="29">
        <v>0.1</v>
      </c>
      <c r="W3143" s="741">
        <f t="shared" si="109"/>
        <v>2473.5176745020635</v>
      </c>
    </row>
    <row r="3144" spans="1:26" ht="15" customHeight="1">
      <c r="A3144" s="3">
        <v>40305</v>
      </c>
      <c r="B3144" s="4">
        <v>5300</v>
      </c>
      <c r="C3144" s="4">
        <v>7125</v>
      </c>
      <c r="D3144" s="5">
        <v>89725</v>
      </c>
      <c r="E3144" s="5">
        <f t="shared" si="108"/>
        <v>80825</v>
      </c>
      <c r="F3144" s="5">
        <v>182975</v>
      </c>
      <c r="K3144" s="24">
        <v>1979</v>
      </c>
      <c r="L3144" s="6">
        <v>2008.5</v>
      </c>
      <c r="M3144" s="270">
        <f t="shared" si="110"/>
        <v>29.5</v>
      </c>
      <c r="N3144" s="19"/>
      <c r="O3144" s="280"/>
      <c r="P3144" s="345">
        <v>15350</v>
      </c>
      <c r="Q3144" s="28">
        <f>166.57/1137.1</f>
        <v>0.14648667663354148</v>
      </c>
      <c r="U3144" s="29">
        <v>0.1</v>
      </c>
      <c r="W3144" s="741">
        <f t="shared" si="109"/>
        <v>2473.4275349573481</v>
      </c>
    </row>
    <row r="3145" spans="1:26" ht="15" customHeight="1">
      <c r="A3145" s="3">
        <v>40308</v>
      </c>
      <c r="B3145" s="4">
        <v>5275</v>
      </c>
      <c r="C3145" s="4">
        <v>7400</v>
      </c>
      <c r="D3145" s="5">
        <v>89725</v>
      </c>
      <c r="E3145" s="5">
        <f t="shared" si="108"/>
        <v>80550</v>
      </c>
      <c r="F3145" s="5">
        <v>182950</v>
      </c>
      <c r="K3145" s="24">
        <v>2081</v>
      </c>
      <c r="L3145" s="6">
        <v>2124</v>
      </c>
      <c r="M3145" s="270">
        <f t="shared" si="110"/>
        <v>43</v>
      </c>
      <c r="N3145" s="19"/>
      <c r="O3145" s="280"/>
      <c r="P3145" s="345">
        <v>15350</v>
      </c>
      <c r="Q3145" s="28">
        <f>169.76/1158.7</f>
        <v>0.14650901872788469</v>
      </c>
      <c r="U3145" s="29">
        <v>0.1</v>
      </c>
      <c r="W3145" s="741">
        <f t="shared" si="109"/>
        <v>2473.8047812203336</v>
      </c>
    </row>
    <row r="3146" spans="1:26" ht="15" customHeight="1">
      <c r="A3146" s="3">
        <v>40309</v>
      </c>
      <c r="B3146" s="4">
        <v>5875</v>
      </c>
      <c r="C3146" s="4">
        <v>7400</v>
      </c>
      <c r="D3146" s="5">
        <v>89725</v>
      </c>
      <c r="E3146" s="5">
        <f t="shared" si="108"/>
        <v>81575</v>
      </c>
      <c r="F3146" s="5">
        <v>184575</v>
      </c>
      <c r="K3146" s="24">
        <v>1976</v>
      </c>
      <c r="L3146" s="6">
        <v>2000</v>
      </c>
      <c r="M3146" s="270">
        <f t="shared" si="110"/>
        <v>24</v>
      </c>
      <c r="N3146" s="19"/>
      <c r="O3146" s="280"/>
      <c r="P3146" s="345">
        <v>15450</v>
      </c>
      <c r="Q3146" s="28">
        <f>166.09/1133.8</f>
        <v>0.14648968071970367</v>
      </c>
      <c r="U3146" s="29">
        <v>0.1</v>
      </c>
      <c r="W3146" s="741">
        <f t="shared" si="109"/>
        <v>2489.592123831364</v>
      </c>
    </row>
    <row r="3147" spans="1:26" ht="15" customHeight="1">
      <c r="A3147" s="3">
        <v>40310</v>
      </c>
      <c r="B3147" s="4">
        <v>5525</v>
      </c>
      <c r="C3147" s="4">
        <v>7400</v>
      </c>
      <c r="D3147" s="5">
        <v>89725</v>
      </c>
      <c r="E3147" s="5">
        <f t="shared" si="108"/>
        <v>82175</v>
      </c>
      <c r="F3147" s="5">
        <v>184825</v>
      </c>
      <c r="K3147" s="24">
        <v>2026</v>
      </c>
      <c r="L3147" s="6">
        <v>2055</v>
      </c>
      <c r="M3147" s="270">
        <f t="shared" si="110"/>
        <v>29</v>
      </c>
      <c r="N3147" s="19"/>
      <c r="O3147" s="280"/>
      <c r="P3147" s="345">
        <v>15400</v>
      </c>
      <c r="Q3147" s="28">
        <f>165.49/1130.1</f>
        <v>0.14643836828599241</v>
      </c>
      <c r="U3147" s="29">
        <v>0.1</v>
      </c>
      <c r="W3147" s="741">
        <f t="shared" si="109"/>
        <v>2480.6659587647118</v>
      </c>
    </row>
    <row r="3148" spans="1:26" ht="15" customHeight="1">
      <c r="A3148" s="3">
        <v>40311</v>
      </c>
      <c r="B3148" s="4">
        <v>5375</v>
      </c>
      <c r="C3148" s="4">
        <v>7400</v>
      </c>
      <c r="D3148" s="5">
        <v>90150</v>
      </c>
      <c r="E3148" s="5">
        <f t="shared" si="108"/>
        <v>82175</v>
      </c>
      <c r="F3148" s="5">
        <v>185100</v>
      </c>
      <c r="K3148" s="24">
        <v>2016.5</v>
      </c>
      <c r="L3148" s="6">
        <v>2045.5</v>
      </c>
      <c r="M3148" s="270">
        <f t="shared" si="110"/>
        <v>29</v>
      </c>
      <c r="N3148" s="19"/>
      <c r="O3148" s="280"/>
      <c r="P3148" s="345">
        <v>15350</v>
      </c>
      <c r="Q3148" s="28">
        <f>166.67/1138.1</f>
        <v>0.14644583077058254</v>
      </c>
      <c r="U3148" s="29">
        <v>0.1</v>
      </c>
      <c r="W3148" s="741">
        <f t="shared" si="109"/>
        <v>2472.7378525612862</v>
      </c>
    </row>
    <row r="3149" spans="1:26" ht="15" customHeight="1">
      <c r="A3149" s="3">
        <v>40312</v>
      </c>
      <c r="B3149" s="4">
        <v>5325</v>
      </c>
      <c r="C3149" s="4">
        <v>7400</v>
      </c>
      <c r="D3149" s="5">
        <v>90150</v>
      </c>
      <c r="E3149" s="5">
        <f t="shared" si="108"/>
        <v>82175</v>
      </c>
      <c r="F3149" s="5">
        <v>185050</v>
      </c>
      <c r="K3149" s="24">
        <v>1952</v>
      </c>
      <c r="L3149" s="6">
        <v>1981</v>
      </c>
      <c r="M3149" s="270">
        <f t="shared" si="110"/>
        <v>29</v>
      </c>
      <c r="N3149" s="19"/>
      <c r="O3149" s="280"/>
      <c r="P3149" s="345">
        <v>15350</v>
      </c>
      <c r="Q3149" s="28">
        <f>165.65/1131</f>
        <v>0.14646330680813441</v>
      </c>
      <c r="U3149" s="29">
        <v>0.1</v>
      </c>
      <c r="W3149" s="741">
        <f t="shared" si="109"/>
        <v>2473.0329354553496</v>
      </c>
    </row>
    <row r="3150" spans="1:26" ht="15" customHeight="1">
      <c r="A3150" s="3">
        <v>40315</v>
      </c>
      <c r="B3150" s="4">
        <v>5325</v>
      </c>
      <c r="C3150" s="4">
        <v>7400</v>
      </c>
      <c r="D3150" s="5">
        <v>90150</v>
      </c>
      <c r="E3150" s="5">
        <f t="shared" si="108"/>
        <v>82500</v>
      </c>
      <c r="F3150" s="5">
        <v>185375</v>
      </c>
      <c r="K3150" s="24">
        <v>1864</v>
      </c>
      <c r="L3150" s="6">
        <v>1905</v>
      </c>
      <c r="M3150" s="270">
        <f t="shared" si="110"/>
        <v>41</v>
      </c>
      <c r="N3150" s="19"/>
      <c r="O3150" s="280"/>
      <c r="P3150" s="345">
        <v>15200</v>
      </c>
      <c r="Q3150" s="28">
        <f>165.98/1133.1</f>
        <v>0.14648309946165386</v>
      </c>
      <c r="U3150" s="29">
        <v>0.1</v>
      </c>
      <c r="W3150" s="741">
        <f t="shared" si="109"/>
        <v>2449.1974229988527</v>
      </c>
      <c r="Z3150" s="19"/>
    </row>
    <row r="3151" spans="1:26" ht="15" customHeight="1">
      <c r="A3151" s="3">
        <v>40316</v>
      </c>
      <c r="B3151" s="4">
        <v>6250</v>
      </c>
      <c r="C3151" s="4">
        <v>7400</v>
      </c>
      <c r="D3151" s="5">
        <v>90150</v>
      </c>
      <c r="E3151" s="5">
        <f t="shared" si="108"/>
        <v>83000</v>
      </c>
      <c r="F3151" s="5">
        <v>186800</v>
      </c>
      <c r="K3151" s="24">
        <v>1795.5</v>
      </c>
      <c r="L3151" s="6">
        <v>1835</v>
      </c>
      <c r="M3151" s="270">
        <f t="shared" si="110"/>
        <v>39.5</v>
      </c>
      <c r="N3151" s="19"/>
      <c r="O3151" s="280"/>
      <c r="P3151" s="345">
        <v>14700</v>
      </c>
      <c r="Q3151" s="28">
        <f>168.42/1149.9</f>
        <v>0.14646490999217321</v>
      </c>
      <c r="U3151" s="29">
        <v>0.1</v>
      </c>
      <c r="W3151" s="741">
        <f t="shared" si="109"/>
        <v>2368.337594573441</v>
      </c>
    </row>
    <row r="3152" spans="1:26" ht="15" customHeight="1">
      <c r="A3152" s="3">
        <v>40317</v>
      </c>
      <c r="B3152" s="4">
        <v>6250</v>
      </c>
      <c r="C3152" s="4">
        <v>7400</v>
      </c>
      <c r="D3152" s="5">
        <v>90150</v>
      </c>
      <c r="E3152" s="5">
        <f t="shared" si="108"/>
        <v>82900</v>
      </c>
      <c r="F3152" s="5">
        <v>186700</v>
      </c>
      <c r="K3152" s="24">
        <v>1721</v>
      </c>
      <c r="L3152" s="6">
        <v>1762</v>
      </c>
      <c r="M3152" s="270">
        <f t="shared" si="110"/>
        <v>41</v>
      </c>
      <c r="N3152" s="19"/>
      <c r="O3152" s="280"/>
      <c r="P3152" s="345">
        <v>14700</v>
      </c>
      <c r="Q3152" s="28">
        <f>168.47/1150.2</f>
        <v>0.14647017909928708</v>
      </c>
      <c r="U3152" s="29">
        <v>0.1</v>
      </c>
      <c r="W3152" s="741">
        <f t="shared" si="109"/>
        <v>2368.4227960354724</v>
      </c>
    </row>
    <row r="3153" spans="1:23" ht="15" customHeight="1">
      <c r="A3153" s="3">
        <v>40318</v>
      </c>
      <c r="B3153" s="4">
        <v>6250</v>
      </c>
      <c r="C3153" s="4">
        <v>7400</v>
      </c>
      <c r="D3153" s="5">
        <v>90150</v>
      </c>
      <c r="E3153" s="5">
        <f t="shared" si="108"/>
        <v>82900</v>
      </c>
      <c r="F3153" s="5">
        <v>186700</v>
      </c>
      <c r="K3153" s="24">
        <v>1720</v>
      </c>
      <c r="L3153" s="6">
        <v>1750</v>
      </c>
      <c r="M3153" s="270">
        <f t="shared" si="110"/>
        <v>30</v>
      </c>
      <c r="N3153" s="19"/>
      <c r="O3153" s="280"/>
      <c r="P3153" s="345">
        <v>14700</v>
      </c>
      <c r="Q3153" s="28">
        <f>170.65/1165.1</f>
        <v>0.14646811432495066</v>
      </c>
      <c r="U3153" s="29">
        <v>0.1</v>
      </c>
      <c r="W3153" s="741">
        <f t="shared" si="109"/>
        <v>2368.3894086344521</v>
      </c>
    </row>
    <row r="3154" spans="1:23" ht="15" customHeight="1">
      <c r="A3154" s="3">
        <v>40319</v>
      </c>
      <c r="B3154" s="4">
        <v>6350</v>
      </c>
      <c r="C3154" s="4">
        <v>7400</v>
      </c>
      <c r="D3154" s="5">
        <v>90150</v>
      </c>
      <c r="E3154" s="5">
        <f t="shared" si="108"/>
        <v>82750</v>
      </c>
      <c r="F3154" s="5">
        <v>186650</v>
      </c>
      <c r="K3154" s="24">
        <v>1722.5</v>
      </c>
      <c r="L3154" s="6">
        <v>1760</v>
      </c>
      <c r="M3154" s="270">
        <f t="shared" si="110"/>
        <v>37.5</v>
      </c>
      <c r="N3154" s="19"/>
      <c r="O3154" s="280"/>
      <c r="P3154" s="345">
        <v>14700</v>
      </c>
      <c r="Q3154" s="28">
        <f>170.65/1165.1</f>
        <v>0.14646811432495066</v>
      </c>
      <c r="U3154" s="29">
        <v>0.1</v>
      </c>
      <c r="W3154" s="741">
        <f t="shared" si="109"/>
        <v>2368.3894086344521</v>
      </c>
    </row>
    <row r="3155" spans="1:23" ht="15" customHeight="1">
      <c r="A3155" s="3">
        <v>40322</v>
      </c>
      <c r="B3155" s="4">
        <v>6375</v>
      </c>
      <c r="C3155" s="4">
        <v>7350</v>
      </c>
      <c r="D3155" s="5">
        <v>90025</v>
      </c>
      <c r="E3155" s="5">
        <f t="shared" si="108"/>
        <v>83050</v>
      </c>
      <c r="F3155" s="5">
        <v>186800</v>
      </c>
      <c r="K3155" s="24">
        <v>1779</v>
      </c>
      <c r="L3155" s="6">
        <v>1808.5</v>
      </c>
      <c r="M3155" s="270">
        <f t="shared" si="110"/>
        <v>29.5</v>
      </c>
      <c r="N3155" s="19"/>
      <c r="O3155" s="280"/>
      <c r="P3155" s="345">
        <v>14800</v>
      </c>
      <c r="Q3155" s="28">
        <f>172.66/1178.6</f>
        <v>0.1464958425250297</v>
      </c>
      <c r="U3155" s="29">
        <v>0.1</v>
      </c>
      <c r="W3155" s="741">
        <f t="shared" si="109"/>
        <v>2384.9523163074837</v>
      </c>
    </row>
    <row r="3156" spans="1:23" ht="15" customHeight="1">
      <c r="A3156" s="3">
        <v>40323</v>
      </c>
      <c r="B3156" s="4">
        <v>6775</v>
      </c>
      <c r="C3156" s="4">
        <v>7350</v>
      </c>
      <c r="D3156" s="5">
        <v>89925</v>
      </c>
      <c r="E3156" s="5">
        <f t="shared" si="108"/>
        <v>86075</v>
      </c>
      <c r="F3156" s="5">
        <v>190125</v>
      </c>
      <c r="K3156" s="24">
        <v>1724</v>
      </c>
      <c r="L3156" s="6">
        <v>1755</v>
      </c>
      <c r="M3156" s="270">
        <f t="shared" si="110"/>
        <v>31</v>
      </c>
      <c r="N3156" s="19"/>
      <c r="O3156" s="280"/>
      <c r="P3156" s="345">
        <v>14900</v>
      </c>
      <c r="Q3156" s="28">
        <f>177.49/1212</f>
        <v>0.14644389438943894</v>
      </c>
      <c r="U3156" s="29">
        <v>0.1</v>
      </c>
      <c r="W3156" s="741">
        <f t="shared" si="109"/>
        <v>2400.2154290429048</v>
      </c>
    </row>
    <row r="3157" spans="1:23" ht="15" customHeight="1">
      <c r="A3157" s="3">
        <v>40324</v>
      </c>
      <c r="B3157" s="4">
        <v>6625</v>
      </c>
      <c r="C3157" s="4">
        <v>7350</v>
      </c>
      <c r="D3157" s="5">
        <v>89800</v>
      </c>
      <c r="E3157" s="5">
        <f t="shared" si="108"/>
        <v>86050</v>
      </c>
      <c r="F3157" s="5">
        <v>189825</v>
      </c>
      <c r="K3157" s="24">
        <v>1760</v>
      </c>
      <c r="L3157" s="6">
        <v>1792</v>
      </c>
      <c r="M3157" s="270">
        <f t="shared" si="110"/>
        <v>32</v>
      </c>
      <c r="N3157" s="19"/>
      <c r="O3157" s="280"/>
      <c r="P3157" s="345">
        <v>14750</v>
      </c>
      <c r="Q3157" s="28">
        <f>183.73/1255.1</f>
        <v>0.14638674209226357</v>
      </c>
      <c r="U3157" s="29">
        <v>0.1</v>
      </c>
      <c r="W3157" s="741">
        <f t="shared" si="109"/>
        <v>2375.1248904469767</v>
      </c>
    </row>
    <row r="3158" spans="1:23" ht="15" customHeight="1">
      <c r="A3158" s="3">
        <v>40325</v>
      </c>
      <c r="B3158" s="4">
        <v>6500</v>
      </c>
      <c r="C3158" s="4">
        <v>7350</v>
      </c>
      <c r="D3158" s="5">
        <v>89675</v>
      </c>
      <c r="E3158" s="5">
        <f t="shared" si="108"/>
        <v>86875</v>
      </c>
      <c r="F3158" s="5">
        <v>190400</v>
      </c>
      <c r="K3158" s="24">
        <v>1777</v>
      </c>
      <c r="L3158" s="6">
        <v>1806</v>
      </c>
      <c r="M3158" s="270">
        <f t="shared" si="110"/>
        <v>29</v>
      </c>
      <c r="N3158" s="19"/>
      <c r="O3158" s="280"/>
      <c r="P3158" s="345">
        <v>14650</v>
      </c>
      <c r="Q3158" s="28">
        <f>183.47/1252.9</f>
        <v>0.14643626785856811</v>
      </c>
      <c r="U3158" s="29">
        <v>0.1</v>
      </c>
      <c r="W3158" s="741">
        <f t="shared" si="109"/>
        <v>2359.8204565408255</v>
      </c>
    </row>
    <row r="3159" spans="1:23" ht="15" customHeight="1">
      <c r="A3159" s="3">
        <v>40326</v>
      </c>
      <c r="B3159" s="4">
        <v>6350</v>
      </c>
      <c r="C3159" s="4">
        <v>7875</v>
      </c>
      <c r="D3159" s="5">
        <v>89825</v>
      </c>
      <c r="E3159" s="5">
        <f>F3159-(B3159+C3159+D3159)</f>
        <v>86550</v>
      </c>
      <c r="F3159" s="5">
        <v>190600</v>
      </c>
      <c r="K3159" s="24">
        <v>1821</v>
      </c>
      <c r="L3159" s="6">
        <v>1850</v>
      </c>
      <c r="M3159" s="270">
        <f t="shared" si="110"/>
        <v>29</v>
      </c>
      <c r="N3159" s="19"/>
      <c r="O3159" s="280"/>
      <c r="P3159" s="345">
        <v>14800</v>
      </c>
      <c r="Q3159" s="28">
        <f>180.71/1234.2</f>
        <v>0.14641873278236914</v>
      </c>
      <c r="U3159" s="29">
        <v>0.1</v>
      </c>
      <c r="W3159" s="741">
        <f t="shared" si="109"/>
        <v>2383.6969696969695</v>
      </c>
    </row>
    <row r="3160" spans="1:23" ht="15" customHeight="1" thickBot="1">
      <c r="A3160" s="12">
        <v>40329</v>
      </c>
      <c r="B3160" s="13"/>
      <c r="C3160" s="375"/>
      <c r="D3160" s="375"/>
      <c r="E3160" s="375"/>
      <c r="F3160" s="375"/>
      <c r="G3160" s="1046" t="s">
        <v>118</v>
      </c>
      <c r="H3160" s="1046"/>
      <c r="I3160" s="1046"/>
      <c r="J3160" s="1046"/>
      <c r="K3160" s="375"/>
      <c r="L3160" s="375"/>
      <c r="M3160" s="375"/>
      <c r="N3160" s="160">
        <f>AVERAGE(K3141:K3160)</f>
        <v>1882.6842105263158</v>
      </c>
      <c r="O3160" s="286">
        <f>AVERAGE(K3055:K3160)</f>
        <v>2165.3627450980393</v>
      </c>
      <c r="P3160" s="346">
        <v>14800</v>
      </c>
      <c r="Q3160" s="30">
        <f>175.72/1200.2</f>
        <v>0.14640893184469256</v>
      </c>
      <c r="R3160" s="30"/>
      <c r="S3160" s="30"/>
      <c r="T3160" s="30"/>
      <c r="U3160" s="31">
        <v>0.1</v>
      </c>
      <c r="V3160" s="46">
        <f>AVERAGE(P3140:P3160)</f>
        <v>15072.5</v>
      </c>
      <c r="W3160" s="741">
        <f t="shared" si="109"/>
        <v>2383.5374104315947</v>
      </c>
    </row>
    <row r="3161" spans="1:23" ht="15" customHeight="1">
      <c r="A3161" s="3">
        <v>40330</v>
      </c>
      <c r="B3161" s="4">
        <v>6350</v>
      </c>
      <c r="C3161" s="4">
        <v>7875</v>
      </c>
      <c r="D3161" s="5">
        <v>91475</v>
      </c>
      <c r="E3161" s="5">
        <f t="shared" ref="E3161:E3224" si="111">F3161-(B3161+C3161+D3161)</f>
        <v>86975</v>
      </c>
      <c r="F3161" s="5">
        <v>192675</v>
      </c>
      <c r="K3161" s="24">
        <v>1751</v>
      </c>
      <c r="L3161" s="6">
        <v>1775</v>
      </c>
      <c r="M3161" s="270">
        <f>L3161-K3161</f>
        <v>24</v>
      </c>
      <c r="N3161" s="19"/>
      <c r="O3161" s="280"/>
      <c r="P3161" s="345">
        <v>14700</v>
      </c>
      <c r="Q3161" s="28">
        <f>175.99/1201.6</f>
        <v>0.14646304926764317</v>
      </c>
      <c r="U3161" s="29">
        <v>0.1</v>
      </c>
      <c r="W3161" s="741">
        <f t="shared" si="109"/>
        <v>2368.3075066577903</v>
      </c>
    </row>
    <row r="3162" spans="1:23" ht="15" customHeight="1">
      <c r="A3162" s="3">
        <v>40331</v>
      </c>
      <c r="B3162" s="4">
        <v>6350</v>
      </c>
      <c r="C3162" s="4">
        <v>7875</v>
      </c>
      <c r="D3162" s="5">
        <v>91175</v>
      </c>
      <c r="E3162" s="5">
        <f t="shared" si="111"/>
        <v>86825</v>
      </c>
      <c r="F3162" s="5">
        <v>192225</v>
      </c>
      <c r="K3162" s="24">
        <v>1709.5</v>
      </c>
      <c r="L3162" s="6">
        <v>1732.5</v>
      </c>
      <c r="M3162" s="270">
        <f t="shared" ref="M3162:M3226" si="112">L3162-K3162</f>
        <v>23</v>
      </c>
      <c r="N3162" s="19"/>
      <c r="O3162" s="280"/>
      <c r="P3162" s="345">
        <v>14600</v>
      </c>
      <c r="Q3162" s="1012" t="s">
        <v>67</v>
      </c>
      <c r="R3162" s="1012"/>
      <c r="S3162" s="1012"/>
      <c r="T3162" s="1012"/>
      <c r="U3162" s="1012"/>
      <c r="V3162" s="382"/>
      <c r="W3162" s="741" t="e">
        <f t="shared" si="109"/>
        <v>#VALUE!</v>
      </c>
    </row>
    <row r="3163" spans="1:23" ht="15" customHeight="1">
      <c r="A3163" s="3">
        <v>40332</v>
      </c>
      <c r="B3163" s="4">
        <v>6500</v>
      </c>
      <c r="C3163" s="4">
        <v>7875</v>
      </c>
      <c r="D3163" s="5">
        <v>90900</v>
      </c>
      <c r="E3163" s="5">
        <f t="shared" si="111"/>
        <v>86925</v>
      </c>
      <c r="F3163" s="5">
        <v>192200</v>
      </c>
      <c r="K3163" s="24">
        <v>1640.5</v>
      </c>
      <c r="L3163" s="6">
        <v>1671</v>
      </c>
      <c r="M3163" s="270">
        <f t="shared" si="112"/>
        <v>30.5</v>
      </c>
      <c r="N3163" s="19"/>
      <c r="O3163" s="280"/>
      <c r="P3163" s="345">
        <v>14550</v>
      </c>
      <c r="Q3163" s="28">
        <f>177.01/1208.9</f>
        <v>0.14642236744147571</v>
      </c>
      <c r="U3163" s="29">
        <v>0.1</v>
      </c>
      <c r="W3163" s="741">
        <f t="shared" si="109"/>
        <v>2343.4899909008191</v>
      </c>
    </row>
    <row r="3164" spans="1:23" ht="15" customHeight="1">
      <c r="A3164" s="3">
        <v>40333</v>
      </c>
      <c r="B3164" s="4">
        <v>6475</v>
      </c>
      <c r="C3164" s="4">
        <v>7875</v>
      </c>
      <c r="D3164" s="5">
        <v>90850</v>
      </c>
      <c r="E3164" s="5">
        <f t="shared" si="111"/>
        <v>86725</v>
      </c>
      <c r="F3164" s="5">
        <v>191925</v>
      </c>
      <c r="K3164" s="24">
        <v>1621</v>
      </c>
      <c r="L3164" s="6">
        <v>1652</v>
      </c>
      <c r="M3164" s="270">
        <f t="shared" si="112"/>
        <v>31</v>
      </c>
      <c r="N3164" s="19"/>
      <c r="O3164" s="280"/>
      <c r="P3164" s="345">
        <v>14450</v>
      </c>
      <c r="Q3164" s="28">
        <f>176.43/1204.7</f>
        <v>0.14645139868847015</v>
      </c>
      <c r="U3164" s="29">
        <v>0.1</v>
      </c>
      <c r="W3164" s="741">
        <f t="shared" si="109"/>
        <v>2327.8449821532331</v>
      </c>
    </row>
    <row r="3165" spans="1:23" ht="15" customHeight="1">
      <c r="A3165" s="3">
        <v>40336</v>
      </c>
      <c r="B3165" s="4">
        <v>7325</v>
      </c>
      <c r="C3165" s="4">
        <v>7875</v>
      </c>
      <c r="D3165" s="5">
        <v>90725</v>
      </c>
      <c r="E3165" s="5">
        <f t="shared" si="111"/>
        <v>86725</v>
      </c>
      <c r="F3165" s="5">
        <v>192650</v>
      </c>
      <c r="K3165" s="24">
        <v>1558.5</v>
      </c>
      <c r="L3165" s="6">
        <v>1581</v>
      </c>
      <c r="M3165" s="270">
        <f t="shared" si="112"/>
        <v>22.5</v>
      </c>
      <c r="N3165" s="19"/>
      <c r="O3165" s="280"/>
      <c r="P3165" s="345">
        <v>14100</v>
      </c>
      <c r="Q3165" s="28">
        <f>175.89/1201.1</f>
        <v>0.14644076263425193</v>
      </c>
      <c r="U3165" s="29">
        <v>0.1</v>
      </c>
      <c r="W3165" s="741">
        <f t="shared" si="109"/>
        <v>2271.2962284572477</v>
      </c>
    </row>
    <row r="3166" spans="1:23" ht="15" customHeight="1">
      <c r="A3166" s="3">
        <v>40337</v>
      </c>
      <c r="B3166" s="4">
        <v>7925</v>
      </c>
      <c r="C3166" s="4">
        <v>7875</v>
      </c>
      <c r="D3166" s="5">
        <v>90575</v>
      </c>
      <c r="E3166" s="5">
        <f t="shared" si="111"/>
        <v>85850</v>
      </c>
      <c r="F3166" s="5">
        <v>192225</v>
      </c>
      <c r="K3166" s="24">
        <v>1562.5</v>
      </c>
      <c r="L3166" s="6">
        <v>1580.5</v>
      </c>
      <c r="M3166" s="270">
        <f t="shared" si="112"/>
        <v>18</v>
      </c>
      <c r="N3166" s="19"/>
      <c r="O3166" s="280"/>
      <c r="P3166" s="345">
        <v>13800</v>
      </c>
      <c r="Q3166" s="28">
        <f>180.73/1234.8</f>
        <v>0.14636378360868157</v>
      </c>
      <c r="U3166" s="29">
        <v>0.1</v>
      </c>
      <c r="W3166" s="741">
        <f t="shared" si="109"/>
        <v>2221.8022351797863</v>
      </c>
    </row>
    <row r="3167" spans="1:23" ht="15" customHeight="1">
      <c r="A3167" s="3">
        <v>40338</v>
      </c>
      <c r="B3167" s="4">
        <v>7925</v>
      </c>
      <c r="C3167" s="4">
        <v>7375</v>
      </c>
      <c r="D3167" s="5">
        <v>90550</v>
      </c>
      <c r="E3167" s="5">
        <f t="shared" si="111"/>
        <v>87100</v>
      </c>
      <c r="F3167" s="5">
        <v>192950</v>
      </c>
      <c r="K3167" s="24">
        <v>1655</v>
      </c>
      <c r="L3167" s="6">
        <v>1675</v>
      </c>
      <c r="M3167" s="270">
        <f t="shared" si="112"/>
        <v>20</v>
      </c>
      <c r="N3167" s="19"/>
      <c r="O3167" s="280"/>
      <c r="P3167" s="345">
        <v>13800</v>
      </c>
      <c r="Q3167" s="28">
        <f>180.61/1233.5</f>
        <v>0.14642075395216864</v>
      </c>
      <c r="U3167" s="29">
        <v>0.1</v>
      </c>
      <c r="W3167" s="741">
        <f t="shared" si="109"/>
        <v>2222.6670449939202</v>
      </c>
    </row>
    <row r="3168" spans="1:23" ht="15" customHeight="1">
      <c r="A3168" s="3">
        <v>40339</v>
      </c>
      <c r="B3168" s="4">
        <v>7600</v>
      </c>
      <c r="C3168" s="4">
        <v>7375</v>
      </c>
      <c r="D3168" s="5">
        <v>90475</v>
      </c>
      <c r="E3168" s="5">
        <f t="shared" si="111"/>
        <v>86925</v>
      </c>
      <c r="F3168" s="5">
        <v>192375</v>
      </c>
      <c r="K3168" s="24">
        <v>1655.5</v>
      </c>
      <c r="L3168" s="6">
        <v>1680</v>
      </c>
      <c r="M3168" s="270">
        <f t="shared" si="112"/>
        <v>24.5</v>
      </c>
      <c r="N3168" s="19"/>
      <c r="O3168" s="280"/>
      <c r="P3168" s="345">
        <v>13850</v>
      </c>
      <c r="Q3168" s="28">
        <f>181.91/1242.2</f>
        <v>0.14644179681210753</v>
      </c>
      <c r="U3168" s="29">
        <v>0.1</v>
      </c>
      <c r="W3168" s="741">
        <f t="shared" si="109"/>
        <v>2231.0407744324584</v>
      </c>
    </row>
    <row r="3169" spans="1:26" ht="15" customHeight="1">
      <c r="A3169" s="3">
        <v>40340</v>
      </c>
      <c r="B3169" s="4">
        <v>8550</v>
      </c>
      <c r="C3169" s="4">
        <v>7375</v>
      </c>
      <c r="D3169" s="5">
        <v>90425</v>
      </c>
      <c r="E3169" s="5">
        <f t="shared" si="111"/>
        <v>86475</v>
      </c>
      <c r="F3169" s="5">
        <v>192825</v>
      </c>
      <c r="K3169" s="24">
        <v>1676</v>
      </c>
      <c r="L3169" s="6">
        <v>1703</v>
      </c>
      <c r="M3169" s="270">
        <f t="shared" si="112"/>
        <v>27</v>
      </c>
      <c r="N3169" s="19"/>
      <c r="O3169" s="280"/>
      <c r="P3169" s="345">
        <v>14100</v>
      </c>
      <c r="Q3169" s="28">
        <f>184.65/1261.5</f>
        <v>0.14637336504161713</v>
      </c>
      <c r="U3169" s="29">
        <v>0.1</v>
      </c>
      <c r="W3169" s="741">
        <f t="shared" si="109"/>
        <v>2270.2508917954819</v>
      </c>
    </row>
    <row r="3170" spans="1:26" ht="15" customHeight="1">
      <c r="A3170" s="3">
        <v>40343</v>
      </c>
      <c r="B3170" s="4">
        <v>7950</v>
      </c>
      <c r="C3170" s="4">
        <v>7075</v>
      </c>
      <c r="D3170" s="5">
        <v>90425</v>
      </c>
      <c r="E3170" s="5">
        <f t="shared" si="111"/>
        <v>87550</v>
      </c>
      <c r="F3170" s="5">
        <v>193000</v>
      </c>
      <c r="K3170" s="24">
        <v>1674</v>
      </c>
      <c r="L3170" s="6">
        <v>1710</v>
      </c>
      <c r="M3170" s="270">
        <f t="shared" si="112"/>
        <v>36</v>
      </c>
      <c r="N3170" s="19"/>
      <c r="O3170" s="280"/>
      <c r="P3170" s="370"/>
      <c r="Q3170" s="1012" t="s">
        <v>67</v>
      </c>
      <c r="R3170" s="1012"/>
      <c r="S3170" s="1012"/>
      <c r="T3170" s="1012"/>
      <c r="U3170" s="1012"/>
      <c r="V3170" s="364"/>
      <c r="W3170" s="741" t="e">
        <f t="shared" si="109"/>
        <v>#VALUE!</v>
      </c>
    </row>
    <row r="3171" spans="1:26" ht="15" customHeight="1">
      <c r="A3171" s="3">
        <v>40344</v>
      </c>
      <c r="B3171" s="4">
        <v>7950</v>
      </c>
      <c r="C3171" s="4">
        <v>7075</v>
      </c>
      <c r="D3171" s="5">
        <v>90425</v>
      </c>
      <c r="E3171" s="5">
        <f t="shared" si="111"/>
        <v>87150</v>
      </c>
      <c r="F3171" s="5">
        <v>192600</v>
      </c>
      <c r="K3171" s="24">
        <v>1685</v>
      </c>
      <c r="L3171" s="6">
        <v>1710</v>
      </c>
      <c r="M3171" s="270">
        <f t="shared" si="112"/>
        <v>25</v>
      </c>
      <c r="N3171" s="19"/>
      <c r="O3171" s="280"/>
      <c r="P3171" s="370"/>
      <c r="Q3171" s="1012"/>
      <c r="R3171" s="1012"/>
      <c r="S3171" s="1012"/>
      <c r="T3171" s="1012"/>
      <c r="U3171" s="1012"/>
      <c r="V3171" s="364"/>
      <c r="W3171" s="741">
        <f t="shared" si="109"/>
        <v>0</v>
      </c>
    </row>
    <row r="3172" spans="1:26" ht="15" customHeight="1">
      <c r="A3172" s="3">
        <v>40345</v>
      </c>
      <c r="B3172" s="4">
        <v>7900</v>
      </c>
      <c r="C3172" s="4">
        <v>6975</v>
      </c>
      <c r="D3172" s="5">
        <v>90325</v>
      </c>
      <c r="E3172" s="5">
        <f t="shared" si="111"/>
        <v>86500</v>
      </c>
      <c r="F3172" s="5">
        <v>191700</v>
      </c>
      <c r="K3172" s="24">
        <v>1701</v>
      </c>
      <c r="L3172" s="6">
        <v>1726</v>
      </c>
      <c r="M3172" s="270">
        <f t="shared" si="112"/>
        <v>25</v>
      </c>
      <c r="N3172" s="19"/>
      <c r="O3172" s="280"/>
      <c r="P3172" s="370"/>
      <c r="Q3172" s="1012"/>
      <c r="R3172" s="1012"/>
      <c r="S3172" s="1012"/>
      <c r="T3172" s="1012"/>
      <c r="U3172" s="1012"/>
      <c r="V3172" s="364"/>
      <c r="W3172" s="741">
        <f t="shared" si="109"/>
        <v>0</v>
      </c>
      <c r="Z3172" s="19"/>
    </row>
    <row r="3173" spans="1:26" ht="15" customHeight="1">
      <c r="A3173" s="3">
        <v>40346</v>
      </c>
      <c r="B3173" s="4">
        <v>7750</v>
      </c>
      <c r="C3173" s="4">
        <v>6975</v>
      </c>
      <c r="D3173" s="5">
        <v>90175</v>
      </c>
      <c r="E3173" s="5">
        <f t="shared" si="111"/>
        <v>85950</v>
      </c>
      <c r="F3173" s="5">
        <v>190850</v>
      </c>
      <c r="K3173" s="24">
        <v>1715</v>
      </c>
      <c r="L3173" s="6">
        <v>1735.5</v>
      </c>
      <c r="M3173" s="270">
        <f t="shared" si="112"/>
        <v>20.5</v>
      </c>
      <c r="N3173" s="19"/>
      <c r="O3173" s="280"/>
      <c r="P3173" s="345">
        <v>14400</v>
      </c>
      <c r="Q3173" s="28">
        <f>177.22/1211</f>
        <v>0.14634186622625928</v>
      </c>
      <c r="U3173" s="29">
        <v>0.1</v>
      </c>
      <c r="W3173" s="741">
        <f t="shared" si="109"/>
        <v>2318.0551610239472</v>
      </c>
    </row>
    <row r="3174" spans="1:26" ht="15" customHeight="1">
      <c r="A3174" s="3">
        <v>40347</v>
      </c>
      <c r="B3174" s="4">
        <v>7250</v>
      </c>
      <c r="C3174" s="4">
        <v>6975</v>
      </c>
      <c r="D3174" s="5">
        <v>90025</v>
      </c>
      <c r="E3174" s="5">
        <f t="shared" si="111"/>
        <v>85550</v>
      </c>
      <c r="F3174" s="5">
        <v>189800</v>
      </c>
      <c r="K3174" s="24">
        <v>1706.5</v>
      </c>
      <c r="L3174" s="6">
        <v>1735</v>
      </c>
      <c r="M3174" s="270">
        <f t="shared" si="112"/>
        <v>28.5</v>
      </c>
      <c r="N3174" s="19"/>
      <c r="O3174" s="280"/>
      <c r="P3174" s="345">
        <v>14300</v>
      </c>
      <c r="Q3174" s="28">
        <f>178.02/1215.9</f>
        <v>0.14641006661732051</v>
      </c>
      <c r="U3174" s="29">
        <v>0.1</v>
      </c>
      <c r="W3174" s="741">
        <f t="shared" si="109"/>
        <v>2303.0303478904516</v>
      </c>
    </row>
    <row r="3175" spans="1:26" ht="15" customHeight="1">
      <c r="A3175" s="3">
        <v>40350</v>
      </c>
      <c r="B3175" s="4">
        <v>7050</v>
      </c>
      <c r="C3175" s="4">
        <v>6975</v>
      </c>
      <c r="D3175" s="5">
        <v>89875</v>
      </c>
      <c r="E3175" s="5">
        <f t="shared" si="111"/>
        <v>85525</v>
      </c>
      <c r="F3175" s="5">
        <v>189425</v>
      </c>
      <c r="K3175" s="24">
        <v>1786</v>
      </c>
      <c r="L3175" s="6">
        <v>1810</v>
      </c>
      <c r="M3175" s="270">
        <f t="shared" si="112"/>
        <v>24</v>
      </c>
      <c r="N3175" s="19"/>
      <c r="O3175" s="280"/>
      <c r="P3175" s="345">
        <v>14400</v>
      </c>
      <c r="Q3175" s="28">
        <f>176.63/1205.9</f>
        <v>0.14647151505099923</v>
      </c>
      <c r="U3175" s="29">
        <v>0.1</v>
      </c>
      <c r="W3175" s="741">
        <f t="shared" si="109"/>
        <v>2320.1087984078281</v>
      </c>
    </row>
    <row r="3176" spans="1:26" ht="15" customHeight="1">
      <c r="A3176" s="3">
        <v>40351</v>
      </c>
      <c r="B3176" s="4">
        <v>6950</v>
      </c>
      <c r="C3176" s="4">
        <v>6975</v>
      </c>
      <c r="D3176" s="5">
        <v>89800</v>
      </c>
      <c r="E3176" s="5">
        <f t="shared" si="111"/>
        <v>85175</v>
      </c>
      <c r="F3176" s="5">
        <v>188900</v>
      </c>
      <c r="K3176" s="24">
        <v>1766</v>
      </c>
      <c r="L3176" s="6">
        <v>1792</v>
      </c>
      <c r="M3176" s="270">
        <f t="shared" si="112"/>
        <v>26</v>
      </c>
      <c r="N3176" s="19"/>
      <c r="O3176" s="280"/>
      <c r="P3176" s="345">
        <v>14700</v>
      </c>
      <c r="Q3176" s="28">
        <f>173.12/1176.7</f>
        <v>0.1471233109543639</v>
      </c>
      <c r="U3176" s="29">
        <v>0.1</v>
      </c>
      <c r="W3176" s="741">
        <f t="shared" si="109"/>
        <v>2378.9839381320648</v>
      </c>
    </row>
    <row r="3177" spans="1:26" ht="15" customHeight="1">
      <c r="A3177" s="3">
        <v>40352</v>
      </c>
      <c r="B3177" s="4">
        <v>6950</v>
      </c>
      <c r="C3177" s="4">
        <v>6650</v>
      </c>
      <c r="D3177" s="5">
        <v>89700</v>
      </c>
      <c r="E3177" s="5">
        <f t="shared" si="111"/>
        <v>85500</v>
      </c>
      <c r="F3177" s="5">
        <v>188800</v>
      </c>
      <c r="K3177" s="24">
        <v>1782</v>
      </c>
      <c r="L3177" s="6">
        <v>1811</v>
      </c>
      <c r="M3177" s="270">
        <f t="shared" si="112"/>
        <v>29</v>
      </c>
      <c r="N3177" s="19"/>
      <c r="O3177" s="280"/>
      <c r="P3177" s="345">
        <v>14900</v>
      </c>
      <c r="Q3177" s="28">
        <f>173.57/1182.6</f>
        <v>0.14676982918992051</v>
      </c>
      <c r="U3177" s="29">
        <v>0.1</v>
      </c>
      <c r="W3177" s="741">
        <f t="shared" si="109"/>
        <v>2405.5575004227976</v>
      </c>
    </row>
    <row r="3178" spans="1:26" ht="15" customHeight="1">
      <c r="A3178" s="3">
        <v>40353</v>
      </c>
      <c r="B3178" s="4">
        <v>6800</v>
      </c>
      <c r="C3178" s="4">
        <v>6650</v>
      </c>
      <c r="D3178" s="5">
        <v>89700</v>
      </c>
      <c r="E3178" s="5">
        <f t="shared" si="111"/>
        <v>86075</v>
      </c>
      <c r="F3178" s="5">
        <v>189225</v>
      </c>
      <c r="K3178" s="24">
        <v>1780.5</v>
      </c>
      <c r="L3178" s="6">
        <v>1803</v>
      </c>
      <c r="M3178" s="270">
        <f t="shared" si="112"/>
        <v>22.5</v>
      </c>
      <c r="N3178" s="19"/>
      <c r="O3178" s="280"/>
      <c r="P3178" s="345">
        <v>14900</v>
      </c>
      <c r="Q3178" s="28">
        <f>174.42/1188.2</f>
        <v>0.14679346911294394</v>
      </c>
      <c r="U3178" s="29">
        <v>0.1</v>
      </c>
      <c r="W3178" s="741">
        <f t="shared" si="109"/>
        <v>2405.9449587611512</v>
      </c>
    </row>
    <row r="3179" spans="1:26" ht="15" customHeight="1">
      <c r="A3179" s="3">
        <v>40354</v>
      </c>
      <c r="B3179" s="4">
        <v>6725</v>
      </c>
      <c r="C3179" s="4">
        <v>6650</v>
      </c>
      <c r="D3179" s="5">
        <v>89150</v>
      </c>
      <c r="E3179" s="5">
        <f t="shared" si="111"/>
        <v>86275</v>
      </c>
      <c r="F3179" s="5">
        <v>188800</v>
      </c>
      <c r="K3179" s="24">
        <v>1802</v>
      </c>
      <c r="L3179" s="6">
        <v>1825</v>
      </c>
      <c r="M3179" s="270">
        <f t="shared" si="112"/>
        <v>23</v>
      </c>
      <c r="N3179" s="19"/>
      <c r="O3179" s="280"/>
      <c r="P3179" s="345">
        <v>14950</v>
      </c>
      <c r="Q3179" s="28">
        <f>174.3/1185.2</f>
        <v>0.14706378670266623</v>
      </c>
      <c r="U3179" s="29">
        <v>0.1</v>
      </c>
      <c r="W3179" s="741">
        <f t="shared" si="109"/>
        <v>2418.4639723253463</v>
      </c>
    </row>
    <row r="3180" spans="1:26" ht="15" customHeight="1">
      <c r="A3180" s="3">
        <v>40357</v>
      </c>
      <c r="B3180" s="4">
        <v>7125</v>
      </c>
      <c r="C3180" s="4">
        <v>6650</v>
      </c>
      <c r="D3180" s="5">
        <v>88600</v>
      </c>
      <c r="E3180" s="5">
        <f t="shared" si="111"/>
        <v>87050</v>
      </c>
      <c r="F3180" s="5">
        <v>189425</v>
      </c>
      <c r="K3180" s="24">
        <v>1828</v>
      </c>
      <c r="L3180" s="6">
        <v>1848</v>
      </c>
      <c r="M3180" s="270">
        <f t="shared" si="112"/>
        <v>20</v>
      </c>
      <c r="N3180" s="19"/>
      <c r="O3180" s="280"/>
      <c r="P3180" s="345">
        <v>14950</v>
      </c>
      <c r="Q3180" s="28">
        <f>177.37/1204.7</f>
        <v>0.14723167593591766</v>
      </c>
      <c r="U3180" s="29">
        <v>0.1</v>
      </c>
      <c r="W3180" s="741">
        <f t="shared" si="109"/>
        <v>2421.2249107661664</v>
      </c>
    </row>
    <row r="3181" spans="1:26" ht="15" customHeight="1">
      <c r="A3181" s="3">
        <v>40358</v>
      </c>
      <c r="B3181" s="4">
        <v>7650</v>
      </c>
      <c r="C3181" s="4">
        <v>6600</v>
      </c>
      <c r="D3181" s="5">
        <v>88075</v>
      </c>
      <c r="E3181" s="5">
        <f t="shared" si="111"/>
        <v>87225</v>
      </c>
      <c r="F3181" s="5">
        <v>189550</v>
      </c>
      <c r="K3181" s="24">
        <v>1741.5</v>
      </c>
      <c r="L3181" s="6">
        <v>1767.5</v>
      </c>
      <c r="M3181" s="270">
        <f t="shared" si="112"/>
        <v>26</v>
      </c>
      <c r="N3181" s="19"/>
      <c r="O3181" s="280"/>
      <c r="P3181" s="345">
        <v>14950</v>
      </c>
      <c r="Q3181" s="28">
        <f>176.62/1200.4</f>
        <v>0.1471342885704765</v>
      </c>
      <c r="U3181" s="29">
        <v>0.1</v>
      </c>
      <c r="W3181" s="741">
        <f t="shared" ref="W3181:W3244" si="113">(P3181*Q3181)*(1+U3181)</f>
        <v>2419.6233755414864</v>
      </c>
    </row>
    <row r="3182" spans="1:26" ht="15" customHeight="1" thickBot="1">
      <c r="A3182" s="12">
        <v>40359</v>
      </c>
      <c r="B3182" s="13">
        <v>7650</v>
      </c>
      <c r="C3182" s="13">
        <v>6500</v>
      </c>
      <c r="D3182" s="14">
        <v>87575</v>
      </c>
      <c r="E3182" s="14">
        <f t="shared" si="111"/>
        <v>88225</v>
      </c>
      <c r="F3182" s="14">
        <v>189950</v>
      </c>
      <c r="G3182" s="14"/>
      <c r="H3182" s="14"/>
      <c r="I3182" s="14"/>
      <c r="J3182" s="264"/>
      <c r="K3182" s="25">
        <v>1690</v>
      </c>
      <c r="L3182" s="15">
        <v>1716</v>
      </c>
      <c r="M3182" s="271">
        <f t="shared" si="112"/>
        <v>26</v>
      </c>
      <c r="N3182" s="160">
        <f>AVERAGE(K3161:K3182)</f>
        <v>1703.9545454545455</v>
      </c>
      <c r="O3182" s="286">
        <f>AVERAGE(K3055:K3182)</f>
        <v>2083.5</v>
      </c>
      <c r="P3182" s="346">
        <v>14700</v>
      </c>
      <c r="Q3182" s="30">
        <f>178.04/1210.3</f>
        <v>0.14710402379575313</v>
      </c>
      <c r="R3182" s="30"/>
      <c r="S3182" s="30"/>
      <c r="T3182" s="30"/>
      <c r="U3182" s="31">
        <v>0.1</v>
      </c>
      <c r="V3182" s="46">
        <f>AVERAGE(P3161:P3182)</f>
        <v>14478.947368421053</v>
      </c>
      <c r="W3182" s="741">
        <f t="shared" si="113"/>
        <v>2378.6720647773282</v>
      </c>
    </row>
    <row r="3183" spans="1:26" ht="15" customHeight="1">
      <c r="A3183" s="36">
        <v>40360</v>
      </c>
      <c r="B3183" s="37">
        <v>8075</v>
      </c>
      <c r="C3183" s="37">
        <v>6300</v>
      </c>
      <c r="D3183" s="38">
        <v>86950</v>
      </c>
      <c r="E3183" s="38">
        <f t="shared" si="111"/>
        <v>89150</v>
      </c>
      <c r="F3183" s="38">
        <v>190475</v>
      </c>
      <c r="G3183" s="38"/>
      <c r="H3183" s="38"/>
      <c r="I3183" s="38"/>
      <c r="J3183" s="268"/>
      <c r="K3183" s="39">
        <v>1692.5</v>
      </c>
      <c r="L3183" s="40">
        <v>1720</v>
      </c>
      <c r="M3183" s="270">
        <f t="shared" si="112"/>
        <v>27.5</v>
      </c>
      <c r="N3183" s="21"/>
      <c r="O3183" s="283"/>
      <c r="P3183" s="348">
        <v>14700</v>
      </c>
      <c r="Q3183" s="41">
        <f>181.39/1230.1</f>
        <v>0.14745955613364767</v>
      </c>
      <c r="R3183" s="41"/>
      <c r="S3183" s="41"/>
      <c r="T3183" s="41"/>
      <c r="U3183" s="42">
        <v>0.1</v>
      </c>
      <c r="V3183" s="45"/>
      <c r="W3183" s="741">
        <f t="shared" si="113"/>
        <v>2384.4210226810833</v>
      </c>
    </row>
    <row r="3184" spans="1:26" ht="15" customHeight="1">
      <c r="A3184" s="3">
        <v>40361</v>
      </c>
      <c r="B3184" s="4">
        <v>8075</v>
      </c>
      <c r="C3184" s="4">
        <v>6300</v>
      </c>
      <c r="D3184" s="5">
        <v>86225</v>
      </c>
      <c r="E3184" s="5">
        <f t="shared" si="111"/>
        <v>89100</v>
      </c>
      <c r="F3184" s="5">
        <v>189700</v>
      </c>
      <c r="K3184" s="24">
        <v>1736</v>
      </c>
      <c r="L3184" s="6">
        <v>1762</v>
      </c>
      <c r="M3184" s="270">
        <f t="shared" si="112"/>
        <v>26</v>
      </c>
      <c r="N3184" s="19"/>
      <c r="O3184" s="280"/>
      <c r="P3184" s="345">
        <v>14600</v>
      </c>
      <c r="Q3184" s="28">
        <f>181.57/1231.2</f>
        <v>0.1474740090968161</v>
      </c>
      <c r="U3184" s="29">
        <v>0.1</v>
      </c>
      <c r="W3184" s="741">
        <f t="shared" si="113"/>
        <v>2368.432586094867</v>
      </c>
    </row>
    <row r="3185" spans="1:26" ht="15" customHeight="1">
      <c r="A3185" s="3">
        <v>40364</v>
      </c>
      <c r="B3185" s="4">
        <v>8025</v>
      </c>
      <c r="C3185" s="4">
        <v>6300</v>
      </c>
      <c r="D3185" s="5">
        <v>86100</v>
      </c>
      <c r="E3185" s="5">
        <f t="shared" si="111"/>
        <v>89200</v>
      </c>
      <c r="F3185" s="5">
        <v>189625</v>
      </c>
      <c r="K3185" s="24">
        <v>1731.5</v>
      </c>
      <c r="L3185" s="6">
        <v>1760.5</v>
      </c>
      <c r="M3185" s="270">
        <f t="shared" si="112"/>
        <v>29</v>
      </c>
      <c r="N3185" s="19"/>
      <c r="O3185" s="280"/>
      <c r="P3185" s="345">
        <v>14700</v>
      </c>
      <c r="Q3185" s="28">
        <f>180.34/1221.2</f>
        <v>0.14767441860465116</v>
      </c>
      <c r="U3185" s="29">
        <v>0.1</v>
      </c>
      <c r="W3185" s="741">
        <f t="shared" si="113"/>
        <v>2387.8953488372094</v>
      </c>
    </row>
    <row r="3186" spans="1:26" ht="15" customHeight="1">
      <c r="A3186" s="3">
        <v>40365</v>
      </c>
      <c r="B3186" s="4">
        <v>8025</v>
      </c>
      <c r="C3186" s="4">
        <v>6250</v>
      </c>
      <c r="D3186" s="5">
        <v>86075</v>
      </c>
      <c r="E3186" s="5">
        <f t="shared" si="111"/>
        <v>89000</v>
      </c>
      <c r="F3186" s="5">
        <v>189350</v>
      </c>
      <c r="K3186" s="24">
        <v>1755</v>
      </c>
      <c r="L3186" s="6">
        <v>1783</v>
      </c>
      <c r="M3186" s="270">
        <f t="shared" si="112"/>
        <v>28</v>
      </c>
      <c r="N3186" s="19"/>
      <c r="O3186" s="280"/>
      <c r="P3186" s="345">
        <v>14700</v>
      </c>
      <c r="Q3186" s="28">
        <f>180.59/1223.6</f>
        <v>0.14758908139915006</v>
      </c>
      <c r="U3186" s="29">
        <v>0.1</v>
      </c>
      <c r="W3186" s="741">
        <f t="shared" si="113"/>
        <v>2386.5154462242567</v>
      </c>
    </row>
    <row r="3187" spans="1:26" ht="15" customHeight="1">
      <c r="A3187" s="3">
        <v>40366</v>
      </c>
      <c r="B3187" s="4">
        <v>7925</v>
      </c>
      <c r="C3187" s="4">
        <v>6200</v>
      </c>
      <c r="D3187" s="5">
        <v>86075</v>
      </c>
      <c r="E3187" s="5">
        <f t="shared" si="111"/>
        <v>89650</v>
      </c>
      <c r="F3187" s="5">
        <v>189850</v>
      </c>
      <c r="K3187" s="24">
        <v>1756</v>
      </c>
      <c r="L3187" s="6">
        <v>1770</v>
      </c>
      <c r="M3187" s="270">
        <f t="shared" si="112"/>
        <v>14</v>
      </c>
      <c r="N3187" s="19"/>
      <c r="O3187" s="280"/>
      <c r="P3187" s="345">
        <v>14750</v>
      </c>
      <c r="Q3187" s="28">
        <f>181.2/1228.6</f>
        <v>0.14748494221064626</v>
      </c>
      <c r="U3187" s="29">
        <v>0.1</v>
      </c>
      <c r="W3187" s="741">
        <f t="shared" si="113"/>
        <v>2392.9431873677354</v>
      </c>
    </row>
    <row r="3188" spans="1:26" ht="15" customHeight="1">
      <c r="A3188" s="3">
        <v>40367</v>
      </c>
      <c r="B3188" s="4">
        <v>7825</v>
      </c>
      <c r="C3188" s="4">
        <v>6200</v>
      </c>
      <c r="D3188" s="5">
        <v>85800</v>
      </c>
      <c r="E3188" s="5">
        <f t="shared" si="111"/>
        <v>89525</v>
      </c>
      <c r="F3188" s="5">
        <v>189350</v>
      </c>
      <c r="K3188" s="24">
        <v>1804</v>
      </c>
      <c r="L3188" s="6">
        <v>1825.5</v>
      </c>
      <c r="M3188" s="270">
        <f t="shared" si="112"/>
        <v>21.5</v>
      </c>
      <c r="N3188" s="19"/>
      <c r="O3188" s="280"/>
      <c r="P3188" s="345">
        <v>14750</v>
      </c>
      <c r="Q3188" s="28">
        <f>180.28/1221.8</f>
        <v>0.14755279096415125</v>
      </c>
      <c r="U3188" s="29">
        <v>0.1</v>
      </c>
      <c r="W3188" s="741">
        <f t="shared" si="113"/>
        <v>2394.0440333933543</v>
      </c>
    </row>
    <row r="3189" spans="1:26" ht="15" customHeight="1">
      <c r="A3189" s="3">
        <v>40368</v>
      </c>
      <c r="B3189" s="4">
        <v>7825</v>
      </c>
      <c r="C3189" s="4">
        <v>6150</v>
      </c>
      <c r="D3189" s="5">
        <v>85575</v>
      </c>
      <c r="E3189" s="5">
        <f t="shared" si="111"/>
        <v>89475</v>
      </c>
      <c r="F3189" s="5">
        <v>189025</v>
      </c>
      <c r="K3189" s="24">
        <v>1808</v>
      </c>
      <c r="L3189" s="6">
        <v>1832</v>
      </c>
      <c r="M3189" s="270">
        <f t="shared" si="112"/>
        <v>24</v>
      </c>
      <c r="N3189" s="19"/>
      <c r="O3189" s="280"/>
      <c r="P3189" s="345">
        <v>14800</v>
      </c>
      <c r="Q3189" s="28">
        <f>178.74/1211.2</f>
        <v>0.14757265521796564</v>
      </c>
      <c r="U3189" s="29">
        <v>0.1</v>
      </c>
      <c r="W3189" s="741">
        <f t="shared" si="113"/>
        <v>2402.482826948481</v>
      </c>
    </row>
    <row r="3190" spans="1:26" ht="15" customHeight="1">
      <c r="A3190" s="3">
        <v>40371</v>
      </c>
      <c r="B3190" s="4">
        <v>7800</v>
      </c>
      <c r="C3190" s="4">
        <v>6150</v>
      </c>
      <c r="D3190" s="5">
        <v>85350</v>
      </c>
      <c r="E3190" s="5">
        <f t="shared" si="111"/>
        <v>89775</v>
      </c>
      <c r="F3190" s="5">
        <v>189075</v>
      </c>
      <c r="K3190" s="24">
        <v>1807</v>
      </c>
      <c r="L3190" s="6">
        <v>1816</v>
      </c>
      <c r="M3190" s="270">
        <f t="shared" si="112"/>
        <v>9</v>
      </c>
      <c r="N3190" s="19"/>
      <c r="O3190" s="280"/>
      <c r="P3190" s="345">
        <v>14900</v>
      </c>
      <c r="Q3190" s="28">
        <f>177/1198.8</f>
        <v>0.14764764764764765</v>
      </c>
      <c r="U3190" s="29">
        <v>0.1</v>
      </c>
      <c r="W3190" s="741">
        <f t="shared" si="113"/>
        <v>2419.9449449449448</v>
      </c>
    </row>
    <row r="3191" spans="1:26" ht="15" customHeight="1">
      <c r="A3191" s="3">
        <v>40372</v>
      </c>
      <c r="B3191" s="4">
        <v>8000</v>
      </c>
      <c r="C3191" s="4">
        <v>6150</v>
      </c>
      <c r="D3191" s="5">
        <v>85000</v>
      </c>
      <c r="E3191" s="5">
        <f t="shared" si="111"/>
        <v>89550</v>
      </c>
      <c r="F3191" s="5">
        <v>188700</v>
      </c>
      <c r="K3191" s="24">
        <v>1766.5</v>
      </c>
      <c r="L3191" s="6">
        <v>1789</v>
      </c>
      <c r="M3191" s="270">
        <f t="shared" si="112"/>
        <v>22.5</v>
      </c>
      <c r="N3191" s="19"/>
      <c r="O3191" s="280"/>
      <c r="P3191" s="345">
        <v>14800</v>
      </c>
      <c r="Q3191" s="28">
        <f>176.86/1197.5</f>
        <v>0.14769102296450939</v>
      </c>
      <c r="U3191" s="29">
        <v>0.1</v>
      </c>
      <c r="W3191" s="741">
        <f t="shared" si="113"/>
        <v>2404.4098538622134</v>
      </c>
    </row>
    <row r="3192" spans="1:26" ht="15" customHeight="1">
      <c r="A3192" s="3">
        <v>40373</v>
      </c>
      <c r="B3192" s="4">
        <v>7925</v>
      </c>
      <c r="C3192" s="4">
        <v>6150</v>
      </c>
      <c r="D3192" s="5">
        <v>84650</v>
      </c>
      <c r="E3192" s="5">
        <f t="shared" si="111"/>
        <v>89425</v>
      </c>
      <c r="F3192" s="5">
        <v>188150</v>
      </c>
      <c r="K3192" s="24">
        <v>1814</v>
      </c>
      <c r="L3192" s="6">
        <v>1834</v>
      </c>
      <c r="M3192" s="270">
        <f t="shared" si="112"/>
        <v>20</v>
      </c>
      <c r="N3192" s="19"/>
      <c r="O3192" s="280"/>
      <c r="P3192" s="345">
        <v>14850</v>
      </c>
      <c r="Q3192" s="28">
        <f>177.87/1204.6</f>
        <v>0.14765897393325586</v>
      </c>
      <c r="U3192" s="29">
        <v>0.1</v>
      </c>
      <c r="W3192" s="741">
        <f t="shared" si="113"/>
        <v>2412.0093391997348</v>
      </c>
    </row>
    <row r="3193" spans="1:26" ht="15" customHeight="1">
      <c r="A3193" s="3">
        <v>40374</v>
      </c>
      <c r="B3193" s="4">
        <v>7900</v>
      </c>
      <c r="C3193" s="4">
        <v>6150</v>
      </c>
      <c r="D3193" s="5">
        <v>84325</v>
      </c>
      <c r="E3193" s="5">
        <f t="shared" si="111"/>
        <v>89325</v>
      </c>
      <c r="F3193" s="5">
        <v>187700</v>
      </c>
      <c r="K3193" s="24">
        <v>1801</v>
      </c>
      <c r="L3193" s="6">
        <v>1820.5</v>
      </c>
      <c r="M3193" s="270">
        <f t="shared" si="112"/>
        <v>19.5</v>
      </c>
      <c r="N3193" s="19"/>
      <c r="O3193" s="280"/>
      <c r="P3193" s="345">
        <v>14850</v>
      </c>
      <c r="Q3193" s="28">
        <f>177.09/1199.2</f>
        <v>0.14767344896597731</v>
      </c>
      <c r="U3193" s="29">
        <v>0.1</v>
      </c>
      <c r="W3193" s="741">
        <f t="shared" si="113"/>
        <v>2412.2457888592394</v>
      </c>
    </row>
    <row r="3194" spans="1:26" ht="15" customHeight="1">
      <c r="A3194" s="3">
        <v>40375</v>
      </c>
      <c r="B3194" s="4">
        <v>7900</v>
      </c>
      <c r="C3194" s="4">
        <v>6150</v>
      </c>
      <c r="D3194" s="5">
        <v>84000</v>
      </c>
      <c r="E3194" s="5">
        <f t="shared" si="111"/>
        <v>88925</v>
      </c>
      <c r="F3194" s="5">
        <v>186975</v>
      </c>
      <c r="K3194" s="24">
        <v>1789</v>
      </c>
      <c r="L3194" s="6">
        <v>1800.5</v>
      </c>
      <c r="M3194" s="270">
        <f t="shared" si="112"/>
        <v>11.5</v>
      </c>
      <c r="N3194" s="19"/>
      <c r="O3194" s="280"/>
      <c r="P3194" s="345">
        <v>14850</v>
      </c>
      <c r="Q3194" s="28">
        <f>177.76/1204.7</f>
        <v>0.14755540798539055</v>
      </c>
      <c r="U3194" s="29">
        <v>0.1</v>
      </c>
      <c r="W3194" s="741">
        <f t="shared" si="113"/>
        <v>2410.3175894413548</v>
      </c>
      <c r="Z3194" s="19"/>
    </row>
    <row r="3195" spans="1:26" ht="15" customHeight="1">
      <c r="A3195" s="3">
        <v>40378</v>
      </c>
      <c r="B3195" s="4">
        <v>7875</v>
      </c>
      <c r="C3195" s="4">
        <v>5650</v>
      </c>
      <c r="D3195" s="5">
        <v>83625</v>
      </c>
      <c r="E3195" s="5">
        <f t="shared" si="111"/>
        <v>89625</v>
      </c>
      <c r="F3195" s="5">
        <v>186775</v>
      </c>
      <c r="K3195" s="24">
        <v>1751.5</v>
      </c>
      <c r="L3195" s="6">
        <v>1775</v>
      </c>
      <c r="M3195" s="270">
        <f t="shared" si="112"/>
        <v>23.5</v>
      </c>
      <c r="N3195" s="19"/>
      <c r="O3195" s="280"/>
      <c r="P3195" s="345">
        <v>14850</v>
      </c>
      <c r="Q3195" s="28">
        <f>177.28/1201.1</f>
        <v>0.1475980351344601</v>
      </c>
      <c r="U3195" s="29">
        <v>0.1</v>
      </c>
      <c r="W3195" s="741">
        <f t="shared" si="113"/>
        <v>2411.0139039214059</v>
      </c>
    </row>
    <row r="3196" spans="1:26" ht="15" customHeight="1">
      <c r="A3196" s="3">
        <v>40379</v>
      </c>
      <c r="B3196" s="4">
        <v>7850</v>
      </c>
      <c r="C3196" s="4">
        <v>5650</v>
      </c>
      <c r="D3196" s="5">
        <v>83075</v>
      </c>
      <c r="E3196" s="5">
        <f t="shared" si="111"/>
        <v>89200</v>
      </c>
      <c r="F3196" s="5">
        <v>185775</v>
      </c>
      <c r="K3196" s="24">
        <v>1762</v>
      </c>
      <c r="L3196" s="6">
        <v>1783</v>
      </c>
      <c r="M3196" s="270">
        <f t="shared" si="112"/>
        <v>21</v>
      </c>
      <c r="N3196" s="19"/>
      <c r="O3196" s="280"/>
      <c r="P3196" s="345">
        <v>14900</v>
      </c>
      <c r="Q3196" s="159">
        <f>179.38/1215.9</f>
        <v>0.14752857965293198</v>
      </c>
      <c r="R3196" s="159"/>
      <c r="S3196" s="159"/>
      <c r="T3196" s="159"/>
      <c r="U3196" s="29">
        <v>0.1</v>
      </c>
      <c r="W3196" s="741">
        <f t="shared" si="113"/>
        <v>2417.9934205115551</v>
      </c>
    </row>
    <row r="3197" spans="1:26" ht="15" customHeight="1">
      <c r="A3197" s="3">
        <v>40380</v>
      </c>
      <c r="B3197" s="4">
        <v>7850</v>
      </c>
      <c r="C3197" s="4">
        <v>4650</v>
      </c>
      <c r="D3197" s="5">
        <v>82525</v>
      </c>
      <c r="E3197" s="5">
        <f t="shared" si="111"/>
        <v>89600</v>
      </c>
      <c r="F3197" s="5">
        <v>184625</v>
      </c>
      <c r="K3197" s="24">
        <v>1844</v>
      </c>
      <c r="L3197" s="6">
        <v>1868</v>
      </c>
      <c r="M3197" s="270">
        <f t="shared" si="112"/>
        <v>24</v>
      </c>
      <c r="N3197" s="19"/>
      <c r="O3197" s="280"/>
      <c r="P3197" s="345">
        <v>15000</v>
      </c>
      <c r="Q3197" s="28">
        <f>178.78/1211.8</f>
        <v>0.14753259613797656</v>
      </c>
      <c r="U3197" s="29">
        <v>0.1</v>
      </c>
      <c r="W3197" s="741">
        <f t="shared" si="113"/>
        <v>2434.2878362766137</v>
      </c>
    </row>
    <row r="3198" spans="1:26" ht="15" customHeight="1">
      <c r="A3198" s="3">
        <v>40381</v>
      </c>
      <c r="B3198" s="4">
        <v>7850</v>
      </c>
      <c r="C3198" s="4">
        <v>4650</v>
      </c>
      <c r="D3198" s="5">
        <v>82000</v>
      </c>
      <c r="E3198" s="5">
        <f t="shared" si="111"/>
        <v>89700</v>
      </c>
      <c r="F3198" s="5">
        <v>184200</v>
      </c>
      <c r="K3198" s="24">
        <v>1894</v>
      </c>
      <c r="L3198" s="6">
        <v>1915</v>
      </c>
      <c r="M3198" s="270">
        <f t="shared" si="112"/>
        <v>21</v>
      </c>
      <c r="N3198" s="19"/>
      <c r="O3198" s="280"/>
      <c r="P3198" s="345">
        <v>15100</v>
      </c>
      <c r="Q3198" s="28">
        <f>177.6/1203.6</f>
        <v>0.14755732801595214</v>
      </c>
      <c r="U3198" s="29">
        <v>0.1</v>
      </c>
      <c r="W3198" s="741">
        <f t="shared" si="113"/>
        <v>2450.9272183449657</v>
      </c>
    </row>
    <row r="3199" spans="1:26" ht="15" customHeight="1">
      <c r="A3199" s="3">
        <v>40382</v>
      </c>
      <c r="B3199" s="4">
        <v>7600</v>
      </c>
      <c r="C3199" s="4">
        <v>4150</v>
      </c>
      <c r="D3199" s="5">
        <v>81275</v>
      </c>
      <c r="E3199" s="5">
        <f t="shared" si="111"/>
        <v>90200</v>
      </c>
      <c r="F3199" s="5">
        <v>183225</v>
      </c>
      <c r="K3199" s="24">
        <v>1930.5</v>
      </c>
      <c r="L3199" s="6">
        <v>1953.5</v>
      </c>
      <c r="M3199" s="270">
        <f t="shared" si="112"/>
        <v>23</v>
      </c>
      <c r="N3199" s="19"/>
      <c r="O3199" s="280"/>
      <c r="P3199" s="345">
        <v>15250</v>
      </c>
      <c r="Q3199" s="28">
        <f>178.025/1206.9</f>
        <v>0.14750600712569392</v>
      </c>
      <c r="U3199" s="29">
        <v>0.1</v>
      </c>
      <c r="W3199" s="741">
        <f t="shared" si="113"/>
        <v>2474.4132695335156</v>
      </c>
    </row>
    <row r="3200" spans="1:26" ht="15" customHeight="1">
      <c r="A3200" s="3">
        <v>40385</v>
      </c>
      <c r="B3200" s="4">
        <v>7600</v>
      </c>
      <c r="C3200" s="4">
        <v>4150</v>
      </c>
      <c r="D3200" s="5">
        <v>80825</v>
      </c>
      <c r="E3200" s="5">
        <f t="shared" si="111"/>
        <v>90225</v>
      </c>
      <c r="F3200" s="5">
        <v>182800</v>
      </c>
      <c r="K3200" s="24">
        <v>1960</v>
      </c>
      <c r="L3200" s="6">
        <v>1980</v>
      </c>
      <c r="M3200" s="270">
        <f t="shared" si="112"/>
        <v>20</v>
      </c>
      <c r="N3200" s="19"/>
      <c r="O3200" s="280"/>
      <c r="P3200" s="345">
        <v>15400</v>
      </c>
      <c r="Q3200" s="28">
        <v>0.14749999999999999</v>
      </c>
      <c r="U3200" s="29">
        <v>0.1</v>
      </c>
      <c r="W3200" s="741">
        <f t="shared" si="113"/>
        <v>2498.65</v>
      </c>
    </row>
    <row r="3201" spans="1:23" ht="15" customHeight="1">
      <c r="A3201" s="3">
        <v>40386</v>
      </c>
      <c r="B3201" s="4">
        <v>8100</v>
      </c>
      <c r="C3201" s="4">
        <v>4150</v>
      </c>
      <c r="D3201" s="5">
        <v>80475</v>
      </c>
      <c r="E3201" s="5">
        <f t="shared" si="111"/>
        <v>90450</v>
      </c>
      <c r="F3201" s="5">
        <v>183175</v>
      </c>
      <c r="K3201" s="24">
        <v>1975</v>
      </c>
      <c r="L3201" s="6">
        <v>1998</v>
      </c>
      <c r="M3201" s="270">
        <f t="shared" si="112"/>
        <v>23</v>
      </c>
      <c r="N3201" s="19"/>
      <c r="O3201" s="280"/>
      <c r="P3201" s="345">
        <v>15600</v>
      </c>
      <c r="Q3201" s="28">
        <v>0.14749999999999999</v>
      </c>
      <c r="U3201" s="29">
        <v>0.1</v>
      </c>
      <c r="W3201" s="741">
        <f t="shared" si="113"/>
        <v>2531.1000000000004</v>
      </c>
    </row>
    <row r="3202" spans="1:23" ht="15" customHeight="1">
      <c r="A3202" s="3">
        <v>40387</v>
      </c>
      <c r="B3202" s="4">
        <v>8100</v>
      </c>
      <c r="C3202" s="4">
        <v>4150</v>
      </c>
      <c r="D3202" s="5">
        <v>80350</v>
      </c>
      <c r="E3202" s="5">
        <f t="shared" si="111"/>
        <v>90750</v>
      </c>
      <c r="F3202" s="5">
        <v>183350</v>
      </c>
      <c r="K3202" s="24">
        <v>1968</v>
      </c>
      <c r="L3202" s="6">
        <v>1993</v>
      </c>
      <c r="M3202" s="270">
        <f t="shared" si="112"/>
        <v>25</v>
      </c>
      <c r="N3202" s="19"/>
      <c r="O3202" s="280"/>
      <c r="P3202" s="345">
        <v>15800</v>
      </c>
      <c r="Q3202" s="28">
        <f>174.61/1183.6</f>
        <v>0.14752450152078408</v>
      </c>
      <c r="U3202" s="29">
        <v>0.1</v>
      </c>
      <c r="W3202" s="741">
        <f t="shared" si="113"/>
        <v>2563.9758364312274</v>
      </c>
    </row>
    <row r="3203" spans="1:23" ht="15" customHeight="1">
      <c r="A3203" s="3">
        <v>40388</v>
      </c>
      <c r="B3203" s="4">
        <v>8100</v>
      </c>
      <c r="C3203" s="4">
        <v>4150</v>
      </c>
      <c r="D3203" s="5">
        <v>80225</v>
      </c>
      <c r="E3203" s="5">
        <f t="shared" si="111"/>
        <v>91350</v>
      </c>
      <c r="F3203" s="5">
        <v>183825</v>
      </c>
      <c r="K3203" s="24">
        <v>2003</v>
      </c>
      <c r="L3203" s="6">
        <v>2030</v>
      </c>
      <c r="M3203" s="270">
        <f t="shared" si="112"/>
        <v>27</v>
      </c>
      <c r="N3203" s="19"/>
      <c r="O3203" s="280"/>
      <c r="P3203" s="345">
        <v>15900</v>
      </c>
      <c r="Q3203" s="28">
        <f>175.05/1186.5</f>
        <v>0.14753476611883692</v>
      </c>
      <c r="U3203" s="29">
        <v>0.1</v>
      </c>
      <c r="W3203" s="741">
        <f t="shared" si="113"/>
        <v>2580.3830594184578</v>
      </c>
    </row>
    <row r="3204" spans="1:23" ht="15" customHeight="1" thickBot="1">
      <c r="A3204" s="12">
        <v>40389</v>
      </c>
      <c r="B3204" s="13">
        <v>8100</v>
      </c>
      <c r="C3204" s="13">
        <v>4150</v>
      </c>
      <c r="D3204" s="14">
        <v>80100</v>
      </c>
      <c r="E3204" s="14">
        <f t="shared" si="111"/>
        <v>91800</v>
      </c>
      <c r="F3204" s="14">
        <v>184150</v>
      </c>
      <c r="G3204" s="14"/>
      <c r="H3204" s="14"/>
      <c r="I3204" s="14"/>
      <c r="J3204" s="264"/>
      <c r="K3204" s="25">
        <v>2065</v>
      </c>
      <c r="L3204" s="15">
        <v>2060</v>
      </c>
      <c r="M3204" s="271">
        <f t="shared" si="112"/>
        <v>-5</v>
      </c>
      <c r="N3204" s="160">
        <f>AVERAGE(K3183:K3204)</f>
        <v>1836.9772727272727</v>
      </c>
      <c r="O3204" s="286">
        <f>AVERAGE(K3055:K3204)</f>
        <v>2046.3527397260275</v>
      </c>
      <c r="P3204" s="346">
        <v>15900</v>
      </c>
      <c r="Q3204" s="30">
        <f>175.2/1187.2</f>
        <v>0.14757412398921832</v>
      </c>
      <c r="R3204" s="30"/>
      <c r="S3204" s="30"/>
      <c r="T3204" s="30"/>
      <c r="U3204" s="31">
        <v>0.1</v>
      </c>
      <c r="V3204" s="46">
        <f>AVERAGE(P3183:P3204)</f>
        <v>15043.181818181818</v>
      </c>
      <c r="W3204" s="741">
        <f t="shared" si="113"/>
        <v>2581.0714285714284</v>
      </c>
    </row>
    <row r="3205" spans="1:23" ht="15" customHeight="1">
      <c r="A3205" s="36">
        <v>40392</v>
      </c>
      <c r="B3205" s="37">
        <v>8100</v>
      </c>
      <c r="C3205" s="37">
        <v>4150</v>
      </c>
      <c r="D3205" s="38">
        <v>79900</v>
      </c>
      <c r="E3205" s="38">
        <f t="shared" si="111"/>
        <v>91800</v>
      </c>
      <c r="F3205" s="38">
        <v>183950</v>
      </c>
      <c r="G3205" s="38"/>
      <c r="H3205" s="38"/>
      <c r="I3205" s="38"/>
      <c r="J3205" s="268"/>
      <c r="K3205" s="39">
        <v>2085</v>
      </c>
      <c r="L3205" s="40">
        <v>2112</v>
      </c>
      <c r="M3205" s="270">
        <f t="shared" si="112"/>
        <v>27</v>
      </c>
      <c r="N3205" s="21"/>
      <c r="O3205" s="283"/>
      <c r="P3205" s="348">
        <v>16000</v>
      </c>
      <c r="Q3205" s="41">
        <f>174.93/1185</f>
        <v>0.14762025316455696</v>
      </c>
      <c r="R3205" s="41"/>
      <c r="S3205" s="41"/>
      <c r="T3205" s="41"/>
      <c r="U3205" s="42">
        <v>0.1</v>
      </c>
      <c r="V3205" s="45"/>
      <c r="W3205" s="741">
        <f t="shared" si="113"/>
        <v>2598.116455696203</v>
      </c>
    </row>
    <row r="3206" spans="1:23" ht="15" customHeight="1">
      <c r="A3206" s="3">
        <v>40393</v>
      </c>
      <c r="B3206" s="4">
        <v>9100</v>
      </c>
      <c r="C3206" s="4">
        <v>4150</v>
      </c>
      <c r="D3206" s="5">
        <v>79800</v>
      </c>
      <c r="E3206" s="5">
        <f t="shared" si="111"/>
        <v>91800</v>
      </c>
      <c r="F3206" s="5">
        <v>184850</v>
      </c>
      <c r="K3206" s="24">
        <v>2175.5</v>
      </c>
      <c r="L3206" s="6">
        <v>2205.5</v>
      </c>
      <c r="M3206" s="270">
        <f t="shared" si="112"/>
        <v>30</v>
      </c>
      <c r="N3206" s="19"/>
      <c r="O3206" s="280"/>
      <c r="P3206" s="345">
        <v>16400</v>
      </c>
      <c r="Q3206" s="28">
        <f>173.21/1173.4</f>
        <v>0.14761377194477587</v>
      </c>
      <c r="U3206" s="29">
        <v>0.1</v>
      </c>
      <c r="W3206" s="741">
        <f t="shared" si="113"/>
        <v>2662.9524458837568</v>
      </c>
    </row>
    <row r="3207" spans="1:23" ht="15" customHeight="1">
      <c r="A3207" s="3">
        <v>40394</v>
      </c>
      <c r="B3207" s="4">
        <v>9100</v>
      </c>
      <c r="C3207" s="4">
        <v>4150</v>
      </c>
      <c r="D3207" s="5">
        <v>79975</v>
      </c>
      <c r="E3207" s="5">
        <f t="shared" si="111"/>
        <v>91750</v>
      </c>
      <c r="F3207" s="5">
        <v>184975</v>
      </c>
      <c r="K3207" s="24">
        <v>2183</v>
      </c>
      <c r="L3207" s="6">
        <v>2210</v>
      </c>
      <c r="M3207" s="270">
        <f t="shared" si="112"/>
        <v>27</v>
      </c>
      <c r="N3207" s="19"/>
      <c r="O3207" s="280"/>
      <c r="P3207" s="345">
        <v>16400</v>
      </c>
      <c r="Q3207" s="28">
        <f>172.55/1168.7</f>
        <v>0.14764267990074442</v>
      </c>
      <c r="U3207" s="29">
        <v>0.1</v>
      </c>
      <c r="W3207" s="741">
        <f t="shared" si="113"/>
        <v>2663.4739454094297</v>
      </c>
    </row>
    <row r="3208" spans="1:23" ht="15" customHeight="1">
      <c r="A3208" s="3">
        <v>40395</v>
      </c>
      <c r="B3208" s="4">
        <v>9100</v>
      </c>
      <c r="C3208" s="4">
        <v>4150</v>
      </c>
      <c r="D3208" s="5">
        <v>79975</v>
      </c>
      <c r="E3208" s="5">
        <f t="shared" si="111"/>
        <v>94000</v>
      </c>
      <c r="F3208" s="5">
        <v>187225</v>
      </c>
      <c r="K3208" s="24">
        <v>2190.5</v>
      </c>
      <c r="L3208" s="6">
        <v>2215.5</v>
      </c>
      <c r="M3208" s="270">
        <f t="shared" si="112"/>
        <v>25</v>
      </c>
      <c r="N3208" s="19"/>
      <c r="O3208" s="280"/>
      <c r="P3208" s="345">
        <v>16400</v>
      </c>
      <c r="Q3208" s="28">
        <f>172.68/1169.5</f>
        <v>0.14765284309533991</v>
      </c>
      <c r="U3208" s="29">
        <v>0.1</v>
      </c>
      <c r="W3208" s="741">
        <f t="shared" si="113"/>
        <v>2663.6572894399319</v>
      </c>
    </row>
    <row r="3209" spans="1:23" ht="15" customHeight="1">
      <c r="A3209" s="3">
        <v>40396</v>
      </c>
      <c r="B3209" s="4">
        <v>8850</v>
      </c>
      <c r="C3209" s="4">
        <v>4150</v>
      </c>
      <c r="D3209" s="5">
        <v>80975</v>
      </c>
      <c r="E3209" s="5">
        <f t="shared" si="111"/>
        <v>94000</v>
      </c>
      <c r="F3209" s="5">
        <v>187975</v>
      </c>
      <c r="K3209" s="24">
        <v>2167.5</v>
      </c>
      <c r="L3209" s="6">
        <v>2191</v>
      </c>
      <c r="M3209" s="270">
        <f t="shared" si="112"/>
        <v>23.5</v>
      </c>
      <c r="N3209" s="19"/>
      <c r="O3209" s="280"/>
      <c r="P3209" s="345">
        <v>16250</v>
      </c>
      <c r="Q3209" s="28">
        <f>172.52/1168.2</f>
        <v>0.14768019174798835</v>
      </c>
      <c r="U3209" s="29">
        <v>0.1</v>
      </c>
      <c r="W3209" s="741">
        <f t="shared" si="113"/>
        <v>2639.7834274952925</v>
      </c>
    </row>
    <row r="3210" spans="1:23" ht="15" customHeight="1">
      <c r="A3210" s="3">
        <v>40399</v>
      </c>
      <c r="B3210" s="4">
        <v>10850</v>
      </c>
      <c r="C3210" s="4">
        <v>4150</v>
      </c>
      <c r="D3210" s="5">
        <v>80975</v>
      </c>
      <c r="E3210" s="5">
        <f t="shared" si="111"/>
        <v>94000</v>
      </c>
      <c r="F3210" s="5">
        <v>189975</v>
      </c>
      <c r="K3210" s="24">
        <v>2171</v>
      </c>
      <c r="L3210" s="6">
        <v>2203.5</v>
      </c>
      <c r="M3210" s="270">
        <f t="shared" si="112"/>
        <v>32.5</v>
      </c>
      <c r="N3210" s="19"/>
      <c r="O3210" s="280"/>
      <c r="P3210" s="345">
        <v>16250</v>
      </c>
      <c r="Q3210" s="28">
        <f>172.24/1165.7</f>
        <v>0.14775671270481255</v>
      </c>
      <c r="U3210" s="29">
        <v>0.1</v>
      </c>
      <c r="W3210" s="741">
        <f t="shared" si="113"/>
        <v>2641.1512395985246</v>
      </c>
    </row>
    <row r="3211" spans="1:23" ht="15" customHeight="1">
      <c r="A3211" s="3">
        <v>40400</v>
      </c>
      <c r="B3211" s="4">
        <v>10850</v>
      </c>
      <c r="C3211" s="4">
        <v>4150</v>
      </c>
      <c r="D3211" s="5">
        <v>80975</v>
      </c>
      <c r="E3211" s="5">
        <f t="shared" si="111"/>
        <v>94000</v>
      </c>
      <c r="F3211" s="5">
        <v>189975</v>
      </c>
      <c r="K3211" s="24">
        <v>2100.5</v>
      </c>
      <c r="L3211" s="6">
        <v>2127</v>
      </c>
      <c r="M3211" s="270">
        <f t="shared" si="112"/>
        <v>26.5</v>
      </c>
      <c r="N3211" s="19"/>
      <c r="O3211" s="280"/>
      <c r="P3211" s="345">
        <v>16250</v>
      </c>
      <c r="Q3211" s="28">
        <f>171.3/1159.1</f>
        <v>0.1477870761797947</v>
      </c>
      <c r="U3211" s="29">
        <v>0.1</v>
      </c>
      <c r="W3211" s="741">
        <f t="shared" si="113"/>
        <v>2641.6939867138303</v>
      </c>
    </row>
    <row r="3212" spans="1:23" ht="15" customHeight="1">
      <c r="A3212" s="3">
        <v>40401</v>
      </c>
      <c r="B3212" s="4">
        <v>10850</v>
      </c>
      <c r="C3212" s="4">
        <v>4150</v>
      </c>
      <c r="D3212" s="5">
        <v>80975</v>
      </c>
      <c r="E3212" s="5">
        <f t="shared" si="111"/>
        <v>94450</v>
      </c>
      <c r="F3212" s="5">
        <v>190425</v>
      </c>
      <c r="K3212" s="24">
        <v>2047</v>
      </c>
      <c r="L3212" s="6">
        <v>2076</v>
      </c>
      <c r="M3212" s="270">
        <f t="shared" si="112"/>
        <v>29</v>
      </c>
      <c r="N3212" s="19"/>
      <c r="O3212" s="280"/>
      <c r="P3212" s="345">
        <v>16200</v>
      </c>
      <c r="Q3212" s="28">
        <f>172.35/1167.2</f>
        <v>0.1476610692254969</v>
      </c>
      <c r="U3212" s="29">
        <v>0.1</v>
      </c>
      <c r="W3212" s="741">
        <f t="shared" si="113"/>
        <v>2631.3202535983551</v>
      </c>
    </row>
    <row r="3213" spans="1:23" ht="15" customHeight="1">
      <c r="A3213" s="3">
        <v>40402</v>
      </c>
      <c r="B3213" s="4">
        <v>10850</v>
      </c>
      <c r="C3213" s="4">
        <v>4150</v>
      </c>
      <c r="D3213" s="5">
        <v>80975</v>
      </c>
      <c r="E3213" s="5">
        <f t="shared" si="111"/>
        <v>94450</v>
      </c>
      <c r="F3213" s="5">
        <v>190425</v>
      </c>
      <c r="K3213" s="24">
        <v>2028</v>
      </c>
      <c r="L3213" s="6">
        <v>2062</v>
      </c>
      <c r="M3213" s="270">
        <f t="shared" si="112"/>
        <v>34</v>
      </c>
      <c r="N3213" s="19"/>
      <c r="O3213" s="280"/>
      <c r="P3213" s="345">
        <v>16200</v>
      </c>
      <c r="Q3213" s="28">
        <f>173.81/1177.3</f>
        <v>0.14763441773549649</v>
      </c>
      <c r="U3213" s="29">
        <v>0.1</v>
      </c>
      <c r="W3213" s="741">
        <f t="shared" si="113"/>
        <v>2630.8453240465478</v>
      </c>
    </row>
    <row r="3214" spans="1:23" ht="15" customHeight="1">
      <c r="A3214" s="3">
        <v>40403</v>
      </c>
      <c r="B3214" s="4">
        <v>10975</v>
      </c>
      <c r="C3214" s="4">
        <v>4150</v>
      </c>
      <c r="D3214" s="5">
        <v>80675</v>
      </c>
      <c r="E3214" s="5">
        <f t="shared" si="111"/>
        <v>94450</v>
      </c>
      <c r="F3214" s="5">
        <v>190250</v>
      </c>
      <c r="K3214" s="24">
        <v>2065.5</v>
      </c>
      <c r="L3214" s="6">
        <v>2091</v>
      </c>
      <c r="M3214" s="270">
        <f t="shared" si="112"/>
        <v>25.5</v>
      </c>
      <c r="N3214" s="19"/>
      <c r="O3214" s="280"/>
      <c r="P3214" s="345">
        <v>16200</v>
      </c>
      <c r="Q3214" s="28">
        <f>175.94/1193.6</f>
        <v>0.14740281501340483</v>
      </c>
      <c r="U3214" s="29">
        <v>0.1</v>
      </c>
      <c r="W3214" s="741">
        <f t="shared" si="113"/>
        <v>2626.7181635388743</v>
      </c>
    </row>
    <row r="3215" spans="1:23" ht="15" customHeight="1">
      <c r="A3215" s="3">
        <v>40406</v>
      </c>
      <c r="B3215" s="4">
        <v>10925</v>
      </c>
      <c r="C3215" s="4">
        <v>4150</v>
      </c>
      <c r="D3215" s="5">
        <v>80450</v>
      </c>
      <c r="E3215" s="5">
        <f t="shared" si="111"/>
        <v>94450</v>
      </c>
      <c r="F3215" s="5">
        <v>189975</v>
      </c>
      <c r="K3215" s="24">
        <v>2040.5</v>
      </c>
      <c r="L3215" s="6">
        <v>2068</v>
      </c>
      <c r="M3215" s="270">
        <f t="shared" si="112"/>
        <v>27.5</v>
      </c>
      <c r="N3215" s="19"/>
      <c r="O3215" s="280"/>
      <c r="P3215" s="345">
        <v>16150</v>
      </c>
      <c r="Q3215" s="28">
        <f>174.61/1186.7</f>
        <v>0.14713912530546897</v>
      </c>
      <c r="U3215" s="29">
        <v>0.1</v>
      </c>
      <c r="W3215" s="741">
        <f t="shared" si="113"/>
        <v>2613.9265610516563</v>
      </c>
    </row>
    <row r="3216" spans="1:23" ht="15" customHeight="1">
      <c r="A3216" s="3">
        <v>40407</v>
      </c>
      <c r="B3216" s="4">
        <v>13475</v>
      </c>
      <c r="C3216" s="4">
        <v>4150</v>
      </c>
      <c r="D3216" s="5">
        <v>80325</v>
      </c>
      <c r="E3216" s="5">
        <f t="shared" si="111"/>
        <v>94450</v>
      </c>
      <c r="F3216" s="5">
        <v>192400</v>
      </c>
      <c r="K3216" s="24">
        <v>2113</v>
      </c>
      <c r="L3216" s="6">
        <v>2140</v>
      </c>
      <c r="M3216" s="270">
        <f t="shared" si="112"/>
        <v>27</v>
      </c>
      <c r="N3216" s="19"/>
      <c r="O3216" s="280"/>
      <c r="P3216" s="345">
        <v>16200</v>
      </c>
      <c r="Q3216" s="28">
        <f>175/1193.2</f>
        <v>0.14666443178008715</v>
      </c>
      <c r="U3216" s="29">
        <v>0.1</v>
      </c>
      <c r="W3216" s="741">
        <f t="shared" si="113"/>
        <v>2613.5601743211528</v>
      </c>
    </row>
    <row r="3217" spans="1:26" ht="15" customHeight="1">
      <c r="A3217" s="3">
        <v>40408</v>
      </c>
      <c r="B3217" s="4">
        <v>13475</v>
      </c>
      <c r="C3217" s="4">
        <v>4150</v>
      </c>
      <c r="D3217" s="5">
        <v>80400</v>
      </c>
      <c r="E3217" s="5">
        <f t="shared" si="111"/>
        <v>94450</v>
      </c>
      <c r="F3217" s="5">
        <v>192475</v>
      </c>
      <c r="K3217" s="24">
        <v>2119</v>
      </c>
      <c r="L3217" s="6">
        <v>2135</v>
      </c>
      <c r="M3217" s="270">
        <f t="shared" si="112"/>
        <v>16</v>
      </c>
      <c r="N3217" s="19"/>
      <c r="O3217" s="280"/>
      <c r="P3217" s="345">
        <v>16250</v>
      </c>
      <c r="Q3217" s="28">
        <f>173.54/1178.7</f>
        <v>0.1472299991516077</v>
      </c>
      <c r="U3217" s="29">
        <v>0.1</v>
      </c>
      <c r="W3217" s="741">
        <f t="shared" si="113"/>
        <v>2631.736234834988</v>
      </c>
      <c r="Z3217" s="19"/>
    </row>
    <row r="3218" spans="1:26" ht="15" customHeight="1">
      <c r="A3218" s="3">
        <v>40409</v>
      </c>
      <c r="B3218" s="4">
        <v>13475</v>
      </c>
      <c r="C3218" s="4">
        <v>4150</v>
      </c>
      <c r="D3218" s="5">
        <v>80450</v>
      </c>
      <c r="E3218" s="5">
        <f t="shared" si="111"/>
        <v>94425</v>
      </c>
      <c r="F3218" s="5">
        <v>192500</v>
      </c>
      <c r="K3218" s="24">
        <v>2103.5</v>
      </c>
      <c r="L3218" s="6">
        <v>2131.5</v>
      </c>
      <c r="M3218" s="270">
        <f t="shared" si="112"/>
        <v>28</v>
      </c>
      <c r="N3218" s="19"/>
      <c r="O3218" s="280"/>
      <c r="P3218" s="345">
        <v>16300</v>
      </c>
      <c r="Q3218" s="28">
        <f>172.84/1173.9</f>
        <v>0.1472357100264077</v>
      </c>
      <c r="U3218" s="29">
        <v>0.1</v>
      </c>
      <c r="W3218" s="741">
        <f t="shared" si="113"/>
        <v>2639.9362807734901</v>
      </c>
    </row>
    <row r="3219" spans="1:26" ht="15" customHeight="1">
      <c r="A3219" s="3">
        <v>40410</v>
      </c>
      <c r="B3219" s="4">
        <v>13475</v>
      </c>
      <c r="C3219" s="4">
        <v>4150</v>
      </c>
      <c r="D3219" s="5">
        <v>80475</v>
      </c>
      <c r="E3219" s="5">
        <f t="shared" si="111"/>
        <v>94425</v>
      </c>
      <c r="F3219" s="5">
        <v>192525</v>
      </c>
      <c r="K3219" s="24">
        <v>2040</v>
      </c>
      <c r="L3219" s="6">
        <v>2063</v>
      </c>
      <c r="M3219" s="270">
        <f t="shared" si="112"/>
        <v>23</v>
      </c>
      <c r="N3219" s="19"/>
      <c r="O3219" s="280"/>
      <c r="P3219" s="345">
        <v>16250</v>
      </c>
      <c r="Q3219" s="28">
        <f>172.8/1173.3</f>
        <v>0.14727691127588854</v>
      </c>
      <c r="U3219" s="29">
        <v>0.1</v>
      </c>
      <c r="W3219" s="741">
        <f t="shared" si="113"/>
        <v>2632.5747890565081</v>
      </c>
    </row>
    <row r="3220" spans="1:26" ht="15" customHeight="1">
      <c r="A3220" s="3">
        <v>40413</v>
      </c>
      <c r="B3220" s="4">
        <v>13450</v>
      </c>
      <c r="C3220" s="4">
        <v>4150</v>
      </c>
      <c r="D3220" s="5">
        <v>80675</v>
      </c>
      <c r="E3220" s="5">
        <f t="shared" si="111"/>
        <v>94425</v>
      </c>
      <c r="F3220" s="5">
        <v>192700</v>
      </c>
      <c r="K3220" s="24">
        <v>2021.5</v>
      </c>
      <c r="L3220" s="6">
        <v>2050.5</v>
      </c>
      <c r="M3220" s="270">
        <f t="shared" si="112"/>
        <v>29</v>
      </c>
      <c r="N3220" s="19"/>
      <c r="O3220" s="280"/>
      <c r="P3220" s="345">
        <v>16100</v>
      </c>
      <c r="Q3220" s="28">
        <f>173.75/1179.9</f>
        <v>0.14725824222391726</v>
      </c>
      <c r="U3220" s="29">
        <v>0.1</v>
      </c>
      <c r="W3220" s="741">
        <f t="shared" si="113"/>
        <v>2607.943469785575</v>
      </c>
    </row>
    <row r="3221" spans="1:26" ht="15" customHeight="1">
      <c r="A3221" s="3">
        <v>40414</v>
      </c>
      <c r="B3221" s="4">
        <v>13450</v>
      </c>
      <c r="C3221" s="4">
        <v>4150</v>
      </c>
      <c r="D3221" s="5">
        <v>80675</v>
      </c>
      <c r="E3221" s="5">
        <f t="shared" si="111"/>
        <v>94575</v>
      </c>
      <c r="F3221" s="5">
        <v>192850</v>
      </c>
      <c r="K3221" s="24">
        <v>1991</v>
      </c>
      <c r="L3221" s="6">
        <v>2020</v>
      </c>
      <c r="M3221" s="270">
        <f t="shared" si="112"/>
        <v>29</v>
      </c>
      <c r="N3221" s="19"/>
      <c r="O3221" s="280"/>
      <c r="P3221" s="345">
        <v>16050</v>
      </c>
      <c r="Q3221" s="28">
        <f>173.79/1181.8</f>
        <v>0.14705533931291251</v>
      </c>
      <c r="U3221" s="29">
        <v>0.1</v>
      </c>
      <c r="W3221" s="741">
        <f t="shared" si="113"/>
        <v>2596.2620155694703</v>
      </c>
    </row>
    <row r="3222" spans="1:26" ht="15" customHeight="1">
      <c r="A3222" s="3">
        <v>40415</v>
      </c>
      <c r="B3222" s="4">
        <v>13450</v>
      </c>
      <c r="C3222" s="4">
        <v>4150</v>
      </c>
      <c r="D3222" s="5">
        <v>80675</v>
      </c>
      <c r="E3222" s="5">
        <f t="shared" si="111"/>
        <v>94575</v>
      </c>
      <c r="F3222" s="5">
        <v>192850</v>
      </c>
      <c r="K3222" s="24">
        <v>1937</v>
      </c>
      <c r="L3222" s="6">
        <v>1964</v>
      </c>
      <c r="M3222" s="270">
        <f t="shared" si="112"/>
        <v>27</v>
      </c>
      <c r="N3222" s="19"/>
      <c r="O3222" s="280"/>
      <c r="P3222" s="345">
        <v>15900</v>
      </c>
      <c r="Q3222" s="28">
        <f>174.93/1189</f>
        <v>0.14712363330529857</v>
      </c>
      <c r="U3222" s="29">
        <v>0.1</v>
      </c>
      <c r="W3222" s="741">
        <f t="shared" si="113"/>
        <v>2573.192346509672</v>
      </c>
    </row>
    <row r="3223" spans="1:26" ht="15" customHeight="1">
      <c r="A3223" s="3">
        <v>40416</v>
      </c>
      <c r="B3223" s="4">
        <v>13175</v>
      </c>
      <c r="C3223" s="4">
        <v>4150</v>
      </c>
      <c r="D3223" s="5">
        <v>80675</v>
      </c>
      <c r="E3223" s="5">
        <f t="shared" si="111"/>
        <v>94450</v>
      </c>
      <c r="F3223" s="5">
        <v>192450</v>
      </c>
      <c r="K3223" s="24">
        <v>1980.5</v>
      </c>
      <c r="L3223" s="6">
        <v>2015</v>
      </c>
      <c r="M3223" s="270">
        <f t="shared" si="112"/>
        <v>34.5</v>
      </c>
      <c r="N3223" s="19"/>
      <c r="O3223" s="280"/>
      <c r="P3223" s="345">
        <v>15900</v>
      </c>
      <c r="Q3223" s="28">
        <f>175.8/1195.4</f>
        <v>0.14706374435335454</v>
      </c>
      <c r="U3223" s="29">
        <v>0.1</v>
      </c>
      <c r="W3223" s="741">
        <f t="shared" si="113"/>
        <v>2572.1448887401712</v>
      </c>
    </row>
    <row r="3224" spans="1:26" ht="15" customHeight="1">
      <c r="A3224" s="3">
        <v>40417</v>
      </c>
      <c r="B3224" s="4">
        <v>12925</v>
      </c>
      <c r="C3224" s="4">
        <v>4025</v>
      </c>
      <c r="D3224" s="5">
        <v>80625</v>
      </c>
      <c r="E3224" s="5">
        <f t="shared" si="111"/>
        <v>94575</v>
      </c>
      <c r="F3224" s="5">
        <v>192150</v>
      </c>
      <c r="K3224" s="24">
        <v>2010</v>
      </c>
      <c r="L3224" s="6">
        <v>2038</v>
      </c>
      <c r="M3224" s="270">
        <f t="shared" si="112"/>
        <v>28</v>
      </c>
      <c r="N3224" s="19"/>
      <c r="O3224" s="280"/>
      <c r="P3224" s="345">
        <v>15950</v>
      </c>
      <c r="Q3224" s="28">
        <f>175.65/1194.4</f>
        <v>0.14706128600133958</v>
      </c>
      <c r="U3224" s="29">
        <v>0.1</v>
      </c>
      <c r="W3224" s="741">
        <f t="shared" si="113"/>
        <v>2580.1902628935031</v>
      </c>
    </row>
    <row r="3225" spans="1:26" ht="15" customHeight="1">
      <c r="A3225" s="3">
        <v>40420</v>
      </c>
      <c r="C3225" s="19"/>
      <c r="D3225" s="19"/>
      <c r="E3225" s="19"/>
      <c r="F3225" s="19"/>
      <c r="G3225" s="1022" t="s">
        <v>70</v>
      </c>
      <c r="H3225" s="1022"/>
      <c r="I3225" s="1022"/>
      <c r="J3225" s="1022"/>
      <c r="K3225" s="19"/>
      <c r="L3225" s="19"/>
      <c r="M3225" s="19"/>
      <c r="N3225" s="19"/>
      <c r="O3225" s="280"/>
      <c r="P3225" s="345">
        <v>16100</v>
      </c>
      <c r="Q3225" s="28">
        <f>175.82/1195.2</f>
        <v>0.14710508701472555</v>
      </c>
      <c r="U3225" s="29">
        <v>0.1</v>
      </c>
      <c r="W3225" s="741">
        <f t="shared" si="113"/>
        <v>2605.2310910307901</v>
      </c>
    </row>
    <row r="3226" spans="1:26" ht="15" customHeight="1" thickBot="1">
      <c r="A3226" s="12">
        <v>40421</v>
      </c>
      <c r="B3226" s="13">
        <v>12350</v>
      </c>
      <c r="C3226" s="13">
        <v>4025</v>
      </c>
      <c r="D3226" s="14">
        <v>80450</v>
      </c>
      <c r="E3226" s="14">
        <f t="shared" ref="E3226:E3309" si="114">F3226-(B3226+C3226+D3226)</f>
        <v>94675</v>
      </c>
      <c r="F3226" s="14">
        <v>191500</v>
      </c>
      <c r="G3226" s="14"/>
      <c r="H3226" s="14"/>
      <c r="I3226" s="14"/>
      <c r="J3226" s="264"/>
      <c r="K3226" s="25">
        <v>2010.5</v>
      </c>
      <c r="L3226" s="15">
        <v>2048</v>
      </c>
      <c r="M3226" s="271">
        <f t="shared" si="112"/>
        <v>37.5</v>
      </c>
      <c r="N3226" s="164">
        <f>AVERAGE(K3205:K3226)</f>
        <v>2075.2380952380954</v>
      </c>
      <c r="O3226" s="288">
        <f>AVERAGE(K3055:K3226)</f>
        <v>2049.9850299401196</v>
      </c>
      <c r="P3226" s="346">
        <v>16200</v>
      </c>
      <c r="Q3226" s="30">
        <f>174.79/1189.1</f>
        <v>0.14699352451433859</v>
      </c>
      <c r="R3226" s="30"/>
      <c r="S3226" s="30"/>
      <c r="T3226" s="30"/>
      <c r="U3226" s="31">
        <v>0.1</v>
      </c>
      <c r="V3226" s="46">
        <f>AVERAGE(P3205:P3226)</f>
        <v>16177.272727272728</v>
      </c>
      <c r="W3226" s="741">
        <f t="shared" si="113"/>
        <v>2619.4246068455141</v>
      </c>
    </row>
    <row r="3227" spans="1:26" ht="15" customHeight="1">
      <c r="A3227" s="36">
        <v>40422</v>
      </c>
      <c r="B3227" s="37">
        <v>11925</v>
      </c>
      <c r="C3227" s="37">
        <v>4025</v>
      </c>
      <c r="D3227" s="38">
        <v>80325</v>
      </c>
      <c r="E3227" s="38">
        <f t="shared" si="114"/>
        <v>94825</v>
      </c>
      <c r="F3227" s="38">
        <v>191100</v>
      </c>
      <c r="G3227" s="38"/>
      <c r="H3227" s="38"/>
      <c r="I3227" s="38"/>
      <c r="J3227" s="268"/>
      <c r="K3227" s="39">
        <v>2089</v>
      </c>
      <c r="L3227" s="40">
        <v>2112</v>
      </c>
      <c r="M3227" s="270">
        <f>L3227-K3227</f>
        <v>23</v>
      </c>
      <c r="N3227" s="21"/>
      <c r="O3227" s="283"/>
      <c r="P3227" s="348">
        <v>16200</v>
      </c>
      <c r="Q3227" s="41">
        <f>175.8/1196.8</f>
        <v>0.14689171122994654</v>
      </c>
      <c r="R3227" s="41"/>
      <c r="S3227" s="41"/>
      <c r="T3227" s="41"/>
      <c r="U3227" s="42">
        <v>0.1</v>
      </c>
      <c r="V3227" s="45"/>
      <c r="W3227" s="741">
        <f t="shared" si="113"/>
        <v>2617.6102941176473</v>
      </c>
    </row>
    <row r="3228" spans="1:26" ht="15" customHeight="1">
      <c r="A3228" s="3">
        <v>40423</v>
      </c>
      <c r="B3228" s="4">
        <v>12425</v>
      </c>
      <c r="C3228" s="4">
        <v>3825</v>
      </c>
      <c r="D3228" s="5">
        <v>80425</v>
      </c>
      <c r="E3228" s="5">
        <f t="shared" si="114"/>
        <v>95125</v>
      </c>
      <c r="F3228" s="5">
        <v>191800</v>
      </c>
      <c r="K3228" s="24">
        <v>2130</v>
      </c>
      <c r="L3228" s="6">
        <v>2157</v>
      </c>
      <c r="M3228" s="270">
        <f t="shared" ref="M3228:M3291" si="115">L3228-K3228</f>
        <v>27</v>
      </c>
      <c r="N3228" s="19"/>
      <c r="O3228" s="280"/>
      <c r="P3228" s="345">
        <v>16300</v>
      </c>
      <c r="Q3228" s="28">
        <f>174.81/1190.6</f>
        <v>0.14682513018646062</v>
      </c>
      <c r="U3228" s="29">
        <v>0.1</v>
      </c>
      <c r="W3228" s="741">
        <f t="shared" si="113"/>
        <v>2632.5745842432393</v>
      </c>
    </row>
    <row r="3229" spans="1:26" ht="15" customHeight="1">
      <c r="A3229" s="3">
        <v>40424</v>
      </c>
      <c r="B3229" s="4">
        <v>12425</v>
      </c>
      <c r="C3229" s="4">
        <v>3825</v>
      </c>
      <c r="D3229" s="5">
        <v>80275</v>
      </c>
      <c r="E3229" s="5">
        <f t="shared" si="114"/>
        <v>94875</v>
      </c>
      <c r="F3229" s="5">
        <v>191400</v>
      </c>
      <c r="K3229" s="24">
        <v>2137</v>
      </c>
      <c r="L3229" s="6">
        <v>2162</v>
      </c>
      <c r="M3229" s="270">
        <f t="shared" si="115"/>
        <v>25</v>
      </c>
      <c r="N3229" s="19"/>
      <c r="O3229" s="280"/>
      <c r="P3229" s="345">
        <v>16300</v>
      </c>
      <c r="Q3229" s="28">
        <f>173.48/1181</f>
        <v>0.14689246401354783</v>
      </c>
      <c r="U3229" s="29">
        <v>0.1</v>
      </c>
      <c r="W3229" s="741">
        <f t="shared" si="113"/>
        <v>2633.7818797629125</v>
      </c>
    </row>
    <row r="3230" spans="1:26" ht="15" customHeight="1">
      <c r="A3230" s="3">
        <v>40427</v>
      </c>
      <c r="B3230" s="4">
        <v>12175</v>
      </c>
      <c r="C3230" s="4">
        <v>3825</v>
      </c>
      <c r="D3230" s="5">
        <v>80325</v>
      </c>
      <c r="E3230" s="5">
        <f t="shared" si="114"/>
        <v>94675</v>
      </c>
      <c r="F3230" s="5">
        <v>191000</v>
      </c>
      <c r="K3230" s="24">
        <v>2160</v>
      </c>
      <c r="L3230" s="6">
        <v>2175.5</v>
      </c>
      <c r="M3230" s="270">
        <f t="shared" si="115"/>
        <v>15.5</v>
      </c>
      <c r="N3230" s="19"/>
      <c r="O3230" s="280"/>
      <c r="P3230" s="345">
        <v>16350</v>
      </c>
      <c r="Q3230" s="28">
        <f>173.17/1177.8</f>
        <v>0.14702835795551028</v>
      </c>
      <c r="U3230" s="29">
        <v>0.1</v>
      </c>
      <c r="W3230" s="741">
        <f t="shared" si="113"/>
        <v>2644.3050178298527</v>
      </c>
    </row>
    <row r="3231" spans="1:26" ht="15" customHeight="1">
      <c r="A3231" s="3">
        <v>40428</v>
      </c>
      <c r="B3231" s="4">
        <v>12175</v>
      </c>
      <c r="C3231" s="4">
        <v>3825</v>
      </c>
      <c r="D3231" s="5">
        <v>80325</v>
      </c>
      <c r="E3231" s="5">
        <f t="shared" si="114"/>
        <v>94700</v>
      </c>
      <c r="F3231" s="5">
        <v>191025</v>
      </c>
      <c r="K3231" s="24">
        <v>2126</v>
      </c>
      <c r="L3231" s="6">
        <v>2150.5</v>
      </c>
      <c r="M3231" s="270">
        <f t="shared" si="115"/>
        <v>24.5</v>
      </c>
      <c r="N3231" s="19"/>
      <c r="O3231" s="280"/>
      <c r="P3231" s="345">
        <v>16400</v>
      </c>
      <c r="Q3231" s="28">
        <f>172.56/1171.2</f>
        <v>0.14733606557377049</v>
      </c>
      <c r="U3231" s="29">
        <v>0.1</v>
      </c>
      <c r="W3231" s="741">
        <f t="shared" si="113"/>
        <v>2657.9426229508199</v>
      </c>
    </row>
    <row r="3232" spans="1:26" ht="15" customHeight="1">
      <c r="A3232" s="3">
        <v>40429</v>
      </c>
      <c r="B3232" s="4">
        <v>12175</v>
      </c>
      <c r="C3232" s="4">
        <v>3825</v>
      </c>
      <c r="D3232" s="5">
        <v>80275</v>
      </c>
      <c r="E3232" s="5">
        <f t="shared" si="114"/>
        <v>94700</v>
      </c>
      <c r="F3232" s="5">
        <v>190975</v>
      </c>
      <c r="K3232" s="24">
        <v>2151</v>
      </c>
      <c r="L3232" s="6">
        <v>2179</v>
      </c>
      <c r="M3232" s="270">
        <f t="shared" si="115"/>
        <v>28</v>
      </c>
      <c r="N3232" s="19"/>
      <c r="O3232" s="280"/>
      <c r="P3232" s="345">
        <v>16350</v>
      </c>
      <c r="Q3232" s="28">
        <f>173.22/1176.4</f>
        <v>0.14724583475008499</v>
      </c>
      <c r="U3232" s="29">
        <v>0.1</v>
      </c>
      <c r="W3232" s="741">
        <f t="shared" si="113"/>
        <v>2648.2163379802782</v>
      </c>
    </row>
    <row r="3233" spans="1:26" ht="15" customHeight="1">
      <c r="A3233" s="3">
        <v>40430</v>
      </c>
      <c r="B3233" s="4">
        <v>12175</v>
      </c>
      <c r="C3233" s="4">
        <v>3825</v>
      </c>
      <c r="D3233" s="5">
        <v>80150</v>
      </c>
      <c r="E3233" s="5">
        <f t="shared" si="114"/>
        <v>94850</v>
      </c>
      <c r="F3233" s="5">
        <v>191000</v>
      </c>
      <c r="K3233" s="24">
        <v>2162</v>
      </c>
      <c r="L3233" s="6">
        <v>2191</v>
      </c>
      <c r="M3233" s="270">
        <f t="shared" si="115"/>
        <v>29</v>
      </c>
      <c r="N3233" s="19"/>
      <c r="O3233" s="280"/>
      <c r="P3233" s="345">
        <v>16400</v>
      </c>
      <c r="Q3233" s="28">
        <f>173.12/1176.2</f>
        <v>0.14718585274613161</v>
      </c>
      <c r="U3233" s="29">
        <v>0.1</v>
      </c>
      <c r="W3233" s="741">
        <f t="shared" si="113"/>
        <v>2655.2327835402143</v>
      </c>
    </row>
    <row r="3234" spans="1:26" ht="15" customHeight="1">
      <c r="A3234" s="3">
        <v>40431</v>
      </c>
      <c r="B3234" s="4">
        <v>12175</v>
      </c>
      <c r="C3234" s="4">
        <v>3825</v>
      </c>
      <c r="D3234" s="5">
        <v>80150</v>
      </c>
      <c r="E3234" s="5">
        <f t="shared" si="114"/>
        <v>94850</v>
      </c>
      <c r="F3234" s="5">
        <v>191000</v>
      </c>
      <c r="K3234" s="24">
        <v>2170</v>
      </c>
      <c r="L3234" s="6">
        <v>2200</v>
      </c>
      <c r="M3234" s="270">
        <f t="shared" si="115"/>
        <v>30</v>
      </c>
      <c r="N3234" s="19"/>
      <c r="O3234" s="280"/>
      <c r="P3234" s="345">
        <v>16300</v>
      </c>
      <c r="Q3234" s="28">
        <f>172.36/1169.1</f>
        <v>0.14742964673680611</v>
      </c>
      <c r="U3234" s="29">
        <v>0.1</v>
      </c>
      <c r="W3234" s="741">
        <f t="shared" si="113"/>
        <v>2643.4135659909339</v>
      </c>
    </row>
    <row r="3235" spans="1:26" ht="15" customHeight="1">
      <c r="A3235" s="3">
        <v>40434</v>
      </c>
      <c r="B3235" s="4">
        <v>12175</v>
      </c>
      <c r="C3235" s="4">
        <v>3825</v>
      </c>
      <c r="D3235" s="5">
        <v>79800</v>
      </c>
      <c r="E3235" s="5">
        <f t="shared" si="114"/>
        <v>94825</v>
      </c>
      <c r="F3235" s="5">
        <v>190625</v>
      </c>
      <c r="K3235" s="24">
        <v>2186</v>
      </c>
      <c r="L3235" s="6">
        <v>2227</v>
      </c>
      <c r="M3235" s="270">
        <f t="shared" si="115"/>
        <v>41</v>
      </c>
      <c r="N3235" s="19"/>
      <c r="O3235" s="280"/>
      <c r="P3235" s="345">
        <v>16300</v>
      </c>
      <c r="Q3235" s="28">
        <f>172.3/1166.4</f>
        <v>0.14771947873799726</v>
      </c>
      <c r="U3235" s="29">
        <v>0.1</v>
      </c>
      <c r="W3235" s="741">
        <f t="shared" si="113"/>
        <v>2648.6102537722909</v>
      </c>
    </row>
    <row r="3236" spans="1:26" ht="15" customHeight="1">
      <c r="A3236" s="3">
        <v>40435</v>
      </c>
      <c r="B3236" s="4">
        <v>12175</v>
      </c>
      <c r="C3236" s="4">
        <v>3825</v>
      </c>
      <c r="D3236" s="5">
        <v>79325</v>
      </c>
      <c r="E3236" s="5">
        <f t="shared" si="114"/>
        <v>94825</v>
      </c>
      <c r="F3236" s="5">
        <v>190150</v>
      </c>
      <c r="K3236" s="24">
        <v>2189</v>
      </c>
      <c r="L3236" s="6">
        <v>2218</v>
      </c>
      <c r="M3236" s="270">
        <f t="shared" si="115"/>
        <v>29</v>
      </c>
      <c r="N3236" s="19"/>
      <c r="O3236" s="280"/>
      <c r="P3236" s="345">
        <v>16500</v>
      </c>
      <c r="Q3236" s="28">
        <f>171.8/1161.4</f>
        <v>0.1479249182021698</v>
      </c>
      <c r="U3236" s="29">
        <v>0.1</v>
      </c>
      <c r="W3236" s="741">
        <f t="shared" si="113"/>
        <v>2684.8372653693818</v>
      </c>
    </row>
    <row r="3237" spans="1:26" ht="15" customHeight="1">
      <c r="A3237" s="3">
        <v>40436</v>
      </c>
      <c r="B3237" s="4">
        <v>12175</v>
      </c>
      <c r="C3237" s="4">
        <v>3825</v>
      </c>
      <c r="D3237" s="5">
        <v>78900</v>
      </c>
      <c r="E3237" s="5">
        <f t="shared" si="114"/>
        <v>94925</v>
      </c>
      <c r="F3237" s="5">
        <v>189825</v>
      </c>
      <c r="K3237" s="24">
        <v>2196.5</v>
      </c>
      <c r="L3237" s="6">
        <v>2228</v>
      </c>
      <c r="M3237" s="270">
        <f t="shared" si="115"/>
        <v>31.5</v>
      </c>
      <c r="N3237" s="19"/>
      <c r="O3237" s="280"/>
      <c r="P3237" s="345">
        <v>16500</v>
      </c>
      <c r="Q3237" s="28">
        <f>172.21/1161.4</f>
        <v>0.14827794041673842</v>
      </c>
      <c r="U3237" s="29">
        <v>0.1</v>
      </c>
      <c r="W3237" s="741">
        <f t="shared" si="113"/>
        <v>2691.2446185638023</v>
      </c>
    </row>
    <row r="3238" spans="1:26" ht="15" customHeight="1">
      <c r="A3238" s="3">
        <v>40437</v>
      </c>
      <c r="B3238" s="4">
        <v>12175</v>
      </c>
      <c r="C3238" s="4">
        <v>3825</v>
      </c>
      <c r="D3238" s="5">
        <v>78625</v>
      </c>
      <c r="E3238" s="5">
        <f t="shared" si="114"/>
        <v>97400</v>
      </c>
      <c r="F3238" s="5">
        <v>192025</v>
      </c>
      <c r="K3238" s="24">
        <v>2191.5</v>
      </c>
      <c r="L3238" s="6">
        <v>2223</v>
      </c>
      <c r="M3238" s="270">
        <f t="shared" si="115"/>
        <v>31.5</v>
      </c>
      <c r="N3238" s="19"/>
      <c r="O3238" s="280"/>
      <c r="P3238" s="345">
        <v>16450</v>
      </c>
      <c r="Q3238" s="28">
        <f>172.25/1160.8</f>
        <v>0.14838904203997244</v>
      </c>
      <c r="U3238" s="29">
        <v>0.1</v>
      </c>
      <c r="W3238" s="741">
        <f t="shared" si="113"/>
        <v>2685.0997157133015</v>
      </c>
    </row>
    <row r="3239" spans="1:26" ht="15" customHeight="1">
      <c r="A3239" s="3">
        <v>40438</v>
      </c>
      <c r="B3239" s="4">
        <v>12175</v>
      </c>
      <c r="C3239" s="4">
        <v>5400</v>
      </c>
      <c r="D3239" s="5">
        <v>78500</v>
      </c>
      <c r="E3239" s="5">
        <f t="shared" si="114"/>
        <v>95675</v>
      </c>
      <c r="F3239" s="5">
        <v>191750</v>
      </c>
      <c r="K3239" s="24">
        <v>2208.5</v>
      </c>
      <c r="L3239" s="6">
        <v>2238</v>
      </c>
      <c r="M3239" s="270">
        <f t="shared" si="115"/>
        <v>29.5</v>
      </c>
      <c r="N3239" s="19"/>
      <c r="O3239" s="280"/>
      <c r="P3239" s="345">
        <v>16400</v>
      </c>
      <c r="Q3239" s="28">
        <f>172.97/1163.2</f>
        <v>0.14870185694635488</v>
      </c>
      <c r="U3239" s="29">
        <v>0.1</v>
      </c>
      <c r="W3239" s="741">
        <f t="shared" si="113"/>
        <v>2682.5814993122422</v>
      </c>
    </row>
    <row r="3240" spans="1:26" ht="15" customHeight="1">
      <c r="A3240" s="3">
        <v>40441</v>
      </c>
      <c r="B3240" s="4">
        <v>12150</v>
      </c>
      <c r="C3240" s="4">
        <v>5400</v>
      </c>
      <c r="D3240" s="5">
        <v>78450</v>
      </c>
      <c r="E3240" s="5">
        <f t="shared" si="114"/>
        <v>95850</v>
      </c>
      <c r="F3240" s="5">
        <v>191850</v>
      </c>
      <c r="K3240" s="24">
        <v>2188</v>
      </c>
      <c r="L3240" s="6">
        <v>2213</v>
      </c>
      <c r="M3240" s="270">
        <f t="shared" si="115"/>
        <v>25</v>
      </c>
      <c r="N3240" s="19"/>
      <c r="O3240" s="280"/>
      <c r="P3240" s="345">
        <v>16400</v>
      </c>
      <c r="Q3240" s="28">
        <f>172.99/1163.1</f>
        <v>0.14873183733126991</v>
      </c>
      <c r="U3240" s="29">
        <v>0.1</v>
      </c>
      <c r="W3240" s="741">
        <f t="shared" si="113"/>
        <v>2683.1223454561091</v>
      </c>
    </row>
    <row r="3241" spans="1:26" ht="15" customHeight="1">
      <c r="A3241" s="3">
        <v>40442</v>
      </c>
      <c r="B3241" s="4">
        <v>12150</v>
      </c>
      <c r="C3241" s="4">
        <v>5400</v>
      </c>
      <c r="D3241" s="5">
        <v>78450</v>
      </c>
      <c r="E3241" s="5">
        <f t="shared" si="114"/>
        <v>95900</v>
      </c>
      <c r="F3241" s="5">
        <v>191900</v>
      </c>
      <c r="K3241" s="24">
        <v>2126</v>
      </c>
      <c r="L3241" s="6">
        <v>2156</v>
      </c>
      <c r="M3241" s="270">
        <f t="shared" si="115"/>
        <v>30</v>
      </c>
      <c r="N3241" s="19"/>
      <c r="O3241" s="280"/>
      <c r="P3241" s="383"/>
      <c r="Q3241" s="1012" t="s">
        <v>67</v>
      </c>
      <c r="R3241" s="1012"/>
      <c r="S3241" s="1012"/>
      <c r="T3241" s="1012"/>
      <c r="U3241" s="1012"/>
      <c r="W3241" s="741" t="e">
        <f t="shared" si="113"/>
        <v>#VALUE!</v>
      </c>
    </row>
    <row r="3242" spans="1:26" ht="15" customHeight="1">
      <c r="A3242" s="3">
        <v>40443</v>
      </c>
      <c r="B3242" s="4">
        <v>12000</v>
      </c>
      <c r="C3242" s="4">
        <v>5400</v>
      </c>
      <c r="D3242" s="5">
        <v>77925</v>
      </c>
      <c r="E3242" s="5">
        <f t="shared" si="114"/>
        <v>95750</v>
      </c>
      <c r="F3242" s="5">
        <v>191075</v>
      </c>
      <c r="K3242" s="24">
        <v>2160.5</v>
      </c>
      <c r="L3242" s="6">
        <v>2188</v>
      </c>
      <c r="M3242" s="270">
        <f t="shared" si="115"/>
        <v>27.5</v>
      </c>
      <c r="N3242" s="19"/>
      <c r="O3242" s="280"/>
      <c r="P3242" s="383"/>
      <c r="Q3242" s="1012"/>
      <c r="R3242" s="1012"/>
      <c r="S3242" s="1012"/>
      <c r="T3242" s="1012"/>
      <c r="U3242" s="1012"/>
      <c r="W3242" s="741">
        <f t="shared" si="113"/>
        <v>0</v>
      </c>
    </row>
    <row r="3243" spans="1:26" ht="15" customHeight="1">
      <c r="A3243" s="3">
        <v>40444</v>
      </c>
      <c r="B3243" s="4">
        <v>12000</v>
      </c>
      <c r="C3243" s="4">
        <v>5400</v>
      </c>
      <c r="D3243" s="5">
        <v>77925</v>
      </c>
      <c r="E3243" s="5">
        <f t="shared" si="114"/>
        <v>95750</v>
      </c>
      <c r="F3243" s="5">
        <v>191075</v>
      </c>
      <c r="K3243" s="24">
        <v>2217.5</v>
      </c>
      <c r="L3243" s="6">
        <v>2245.5</v>
      </c>
      <c r="M3243" s="270">
        <f t="shared" si="115"/>
        <v>28</v>
      </c>
      <c r="N3243" s="19"/>
      <c r="O3243" s="280"/>
      <c r="P3243" s="383"/>
      <c r="Q3243" s="1012"/>
      <c r="R3243" s="1012"/>
      <c r="S3243" s="1012"/>
      <c r="T3243" s="1012"/>
      <c r="U3243" s="1012"/>
      <c r="W3243" s="741">
        <f t="shared" si="113"/>
        <v>0</v>
      </c>
    </row>
    <row r="3244" spans="1:26" ht="15" customHeight="1">
      <c r="A3244" s="3">
        <v>40445</v>
      </c>
      <c r="B3244" s="4">
        <v>12000</v>
      </c>
      <c r="C3244" s="4">
        <v>5400</v>
      </c>
      <c r="D3244" s="5">
        <v>77800</v>
      </c>
      <c r="E3244" s="5">
        <f t="shared" si="114"/>
        <v>95675</v>
      </c>
      <c r="F3244" s="5">
        <v>190875</v>
      </c>
      <c r="K3244" s="24">
        <v>2256</v>
      </c>
      <c r="L3244" s="6">
        <v>2287.5</v>
      </c>
      <c r="M3244" s="270">
        <f t="shared" si="115"/>
        <v>31.5</v>
      </c>
      <c r="N3244" s="19"/>
      <c r="O3244" s="280"/>
      <c r="P3244" s="383"/>
      <c r="Q3244" s="1012"/>
      <c r="R3244" s="1012"/>
      <c r="S3244" s="1012"/>
      <c r="T3244" s="1012"/>
      <c r="U3244" s="1012"/>
      <c r="W3244" s="741">
        <f t="shared" si="113"/>
        <v>0</v>
      </c>
    </row>
    <row r="3245" spans="1:26" ht="15" customHeight="1">
      <c r="A3245" s="3">
        <v>40448</v>
      </c>
      <c r="B3245" s="4">
        <v>12000</v>
      </c>
      <c r="C3245" s="4">
        <v>5400</v>
      </c>
      <c r="D3245" s="5">
        <v>77750</v>
      </c>
      <c r="E3245" s="5">
        <f t="shared" si="114"/>
        <v>95675</v>
      </c>
      <c r="F3245" s="5">
        <v>190825</v>
      </c>
      <c r="K3245" s="24">
        <v>2251</v>
      </c>
      <c r="L3245" s="6">
        <v>2281</v>
      </c>
      <c r="M3245" s="270">
        <f t="shared" si="115"/>
        <v>30</v>
      </c>
      <c r="N3245" s="19"/>
      <c r="O3245" s="280"/>
      <c r="P3245" s="345">
        <v>16600</v>
      </c>
      <c r="Q3245" s="28">
        <f>172.49/1156.4</f>
        <v>0.14916118989968868</v>
      </c>
      <c r="U3245" s="29">
        <v>0.1</v>
      </c>
      <c r="W3245" s="741">
        <f t="shared" ref="W3245:W3308" si="116">(P3245*Q3245)*(1+U3245)</f>
        <v>2723.6833275683152</v>
      </c>
    </row>
    <row r="3246" spans="1:26" ht="15" customHeight="1">
      <c r="A3246" s="3">
        <v>40449</v>
      </c>
      <c r="B3246" s="4">
        <v>12450</v>
      </c>
      <c r="C3246" s="4">
        <v>5400</v>
      </c>
      <c r="D3246" s="5">
        <v>77650</v>
      </c>
      <c r="E3246" s="5">
        <f t="shared" si="114"/>
        <v>96125</v>
      </c>
      <c r="F3246" s="5">
        <v>191625</v>
      </c>
      <c r="K3246" s="24">
        <v>2223</v>
      </c>
      <c r="L3246" s="6">
        <v>2248</v>
      </c>
      <c r="M3246" s="270">
        <f t="shared" si="115"/>
        <v>25</v>
      </c>
      <c r="N3246" s="19"/>
      <c r="O3246" s="280"/>
      <c r="P3246" s="345">
        <v>16600</v>
      </c>
      <c r="Q3246" s="28">
        <f>171.67/1148.8</f>
        <v>0.14943419220055709</v>
      </c>
      <c r="U3246" s="29">
        <v>0.1</v>
      </c>
      <c r="W3246" s="741">
        <f t="shared" si="116"/>
        <v>2728.6683495821726</v>
      </c>
      <c r="Z3246" s="19"/>
    </row>
    <row r="3247" spans="1:26" ht="15" customHeight="1">
      <c r="A3247" s="3">
        <v>40450</v>
      </c>
      <c r="B3247" s="4">
        <v>12450</v>
      </c>
      <c r="C3247" s="4">
        <v>5400</v>
      </c>
      <c r="D3247" s="5">
        <v>77375</v>
      </c>
      <c r="E3247" s="5">
        <f t="shared" si="114"/>
        <v>96700</v>
      </c>
      <c r="F3247" s="5">
        <v>191925</v>
      </c>
      <c r="K3247" s="24">
        <v>2272.5</v>
      </c>
      <c r="L3247" s="6">
        <v>2297</v>
      </c>
      <c r="M3247" s="270">
        <f t="shared" si="115"/>
        <v>24.5</v>
      </c>
      <c r="N3247" s="19"/>
      <c r="O3247" s="280"/>
      <c r="P3247" s="345">
        <v>16650</v>
      </c>
      <c r="Q3247" s="28">
        <f>171.6/1148.5</f>
        <v>0.14941227688289072</v>
      </c>
      <c r="U3247" s="29">
        <v>0.1</v>
      </c>
      <c r="W3247" s="741">
        <f t="shared" si="116"/>
        <v>2736.4858511101438</v>
      </c>
    </row>
    <row r="3248" spans="1:26" ht="15" customHeight="1" thickBot="1">
      <c r="A3248" s="12">
        <v>40451</v>
      </c>
      <c r="B3248" s="13">
        <v>12450</v>
      </c>
      <c r="C3248" s="13">
        <v>5400</v>
      </c>
      <c r="D3248" s="14">
        <v>77225</v>
      </c>
      <c r="E3248" s="14">
        <f t="shared" si="114"/>
        <v>96625</v>
      </c>
      <c r="F3248" s="14">
        <v>191700</v>
      </c>
      <c r="G3248" s="14"/>
      <c r="H3248" s="14"/>
      <c r="I3248" s="14"/>
      <c r="J3248" s="264"/>
      <c r="K3248" s="25">
        <v>2262</v>
      </c>
      <c r="L3248" s="15">
        <v>2290</v>
      </c>
      <c r="M3248" s="271">
        <f t="shared" si="115"/>
        <v>28</v>
      </c>
      <c r="N3248" s="167">
        <f>AVERAGE(K3227:K3248)</f>
        <v>2184.2272727272725</v>
      </c>
      <c r="O3248" s="288">
        <f>AVERAGE(K3055:K3248)</f>
        <v>2065.6111111111113</v>
      </c>
      <c r="P3248" s="346">
        <v>16650</v>
      </c>
      <c r="Q3248" s="30">
        <f>170.82/1142</f>
        <v>0.14957968476357267</v>
      </c>
      <c r="R3248" s="30"/>
      <c r="S3248" s="30"/>
      <c r="T3248" s="30"/>
      <c r="U3248" s="31">
        <v>0.1</v>
      </c>
      <c r="V3248" s="46">
        <f>AVERAGE(P3227:P3248)</f>
        <v>16425</v>
      </c>
      <c r="W3248" s="741">
        <f t="shared" si="116"/>
        <v>2739.5519264448335</v>
      </c>
    </row>
    <row r="3249" spans="1:23" ht="15" customHeight="1">
      <c r="A3249" s="36">
        <v>40452</v>
      </c>
      <c r="B3249" s="37">
        <v>12450</v>
      </c>
      <c r="C3249" s="37">
        <v>5400</v>
      </c>
      <c r="D3249" s="38">
        <v>79575</v>
      </c>
      <c r="E3249" s="38">
        <f t="shared" si="114"/>
        <v>96950</v>
      </c>
      <c r="F3249" s="38">
        <v>194375</v>
      </c>
      <c r="G3249" s="38"/>
      <c r="H3249" s="38"/>
      <c r="I3249" s="38"/>
      <c r="J3249" s="268"/>
      <c r="K3249" s="39">
        <v>2276.5</v>
      </c>
      <c r="L3249" s="40">
        <v>2302</v>
      </c>
      <c r="M3249" s="270">
        <f t="shared" si="115"/>
        <v>25.5</v>
      </c>
      <c r="N3249" s="21"/>
      <c r="O3249" s="283"/>
      <c r="P3249" s="384"/>
      <c r="Q3249" s="1011" t="s">
        <v>67</v>
      </c>
      <c r="R3249" s="1011"/>
      <c r="S3249" s="1011"/>
      <c r="T3249" s="1011"/>
      <c r="U3249" s="1011"/>
      <c r="V3249" s="45"/>
      <c r="W3249" s="741" t="e">
        <f t="shared" si="116"/>
        <v>#VALUE!</v>
      </c>
    </row>
    <row r="3250" spans="1:23" ht="15" customHeight="1">
      <c r="A3250" s="3">
        <v>40455</v>
      </c>
      <c r="B3250" s="4">
        <v>12950</v>
      </c>
      <c r="C3250" s="4">
        <v>5400</v>
      </c>
      <c r="D3250" s="5">
        <v>82485</v>
      </c>
      <c r="E3250" s="5">
        <f t="shared" si="114"/>
        <v>97015</v>
      </c>
      <c r="F3250" s="5">
        <v>197850</v>
      </c>
      <c r="K3250" s="24">
        <v>2265.5</v>
      </c>
      <c r="L3250" s="6">
        <v>2291</v>
      </c>
      <c r="M3250" s="270">
        <f t="shared" si="115"/>
        <v>25.5</v>
      </c>
      <c r="N3250" s="19"/>
      <c r="O3250" s="280"/>
      <c r="P3250" s="383"/>
      <c r="Q3250" s="1012"/>
      <c r="R3250" s="1012"/>
      <c r="S3250" s="1012"/>
      <c r="T3250" s="1012"/>
      <c r="U3250" s="1012"/>
      <c r="W3250" s="741">
        <f t="shared" si="116"/>
        <v>0</v>
      </c>
    </row>
    <row r="3251" spans="1:23" ht="15" customHeight="1">
      <c r="A3251" s="3">
        <v>40456</v>
      </c>
      <c r="B3251" s="4">
        <v>12950</v>
      </c>
      <c r="C3251" s="4">
        <v>5400</v>
      </c>
      <c r="D3251" s="5">
        <v>82500</v>
      </c>
      <c r="E3251" s="5">
        <f t="shared" si="114"/>
        <v>96925</v>
      </c>
      <c r="F3251" s="5">
        <v>197775</v>
      </c>
      <c r="K3251" s="24">
        <v>2275</v>
      </c>
      <c r="L3251" s="6">
        <v>2303.5</v>
      </c>
      <c r="M3251" s="270">
        <f t="shared" si="115"/>
        <v>28.5</v>
      </c>
      <c r="N3251" s="19"/>
      <c r="O3251" s="280"/>
      <c r="P3251" s="383"/>
      <c r="Q3251" s="1012"/>
      <c r="R3251" s="1012"/>
      <c r="S3251" s="1012"/>
      <c r="T3251" s="1012"/>
      <c r="U3251" s="1012"/>
      <c r="W3251" s="741">
        <f t="shared" si="116"/>
        <v>0</v>
      </c>
    </row>
    <row r="3252" spans="1:23" ht="15" customHeight="1">
      <c r="A3252" s="3">
        <v>40457</v>
      </c>
      <c r="B3252" s="4">
        <v>12950</v>
      </c>
      <c r="C3252" s="4">
        <v>5400</v>
      </c>
      <c r="D3252" s="5">
        <v>82675</v>
      </c>
      <c r="E3252" s="5">
        <f t="shared" si="114"/>
        <v>98425</v>
      </c>
      <c r="F3252" s="5">
        <v>199450</v>
      </c>
      <c r="K3252" s="24">
        <v>2293.5</v>
      </c>
      <c r="L3252" s="6">
        <v>2321.5</v>
      </c>
      <c r="M3252" s="270">
        <f t="shared" si="115"/>
        <v>28</v>
      </c>
      <c r="N3252" s="19"/>
      <c r="O3252" s="280"/>
      <c r="P3252" s="383"/>
      <c r="Q3252" s="1012"/>
      <c r="R3252" s="1012"/>
      <c r="S3252" s="1012"/>
      <c r="T3252" s="1012"/>
      <c r="U3252" s="1012"/>
      <c r="W3252" s="741">
        <f t="shared" si="116"/>
        <v>0</v>
      </c>
    </row>
    <row r="3253" spans="1:23" ht="15" customHeight="1">
      <c r="A3253" s="3">
        <v>40458</v>
      </c>
      <c r="B3253" s="4">
        <v>12950</v>
      </c>
      <c r="C3253" s="4">
        <v>5400</v>
      </c>
      <c r="D3253" s="5">
        <v>82525</v>
      </c>
      <c r="E3253" s="5">
        <f t="shared" si="114"/>
        <v>98425</v>
      </c>
      <c r="F3253" s="5">
        <v>199300</v>
      </c>
      <c r="K3253" s="24">
        <v>2281</v>
      </c>
      <c r="L3253" s="6">
        <v>2307</v>
      </c>
      <c r="M3253" s="270">
        <f t="shared" si="115"/>
        <v>26</v>
      </c>
      <c r="N3253" s="19"/>
      <c r="O3253" s="280"/>
      <c r="P3253" s="383"/>
      <c r="Q3253" s="1012"/>
      <c r="R3253" s="1012"/>
      <c r="S3253" s="1012"/>
      <c r="T3253" s="1012"/>
      <c r="U3253" s="1012"/>
      <c r="W3253" s="741">
        <f t="shared" si="116"/>
        <v>0</v>
      </c>
    </row>
    <row r="3254" spans="1:23" ht="15" customHeight="1">
      <c r="A3254" s="3">
        <v>40459</v>
      </c>
      <c r="B3254" s="4">
        <v>12350</v>
      </c>
      <c r="C3254" s="4">
        <v>5400</v>
      </c>
      <c r="D3254" s="5">
        <v>82275</v>
      </c>
      <c r="E3254" s="5">
        <f t="shared" si="114"/>
        <v>98375</v>
      </c>
      <c r="F3254" s="5">
        <v>198400</v>
      </c>
      <c r="K3254" s="24">
        <v>2199</v>
      </c>
      <c r="L3254" s="6">
        <v>2225</v>
      </c>
      <c r="M3254" s="270">
        <f t="shared" si="115"/>
        <v>26</v>
      </c>
      <c r="N3254" s="19"/>
      <c r="O3254" s="280"/>
      <c r="P3254" s="345">
        <v>16650</v>
      </c>
      <c r="Q3254" s="28">
        <f>166.98/1117.4</f>
        <v>0.14943619115804543</v>
      </c>
      <c r="U3254" s="29">
        <v>0.1</v>
      </c>
      <c r="W3254" s="741">
        <f t="shared" si="116"/>
        <v>2736.9238410596026</v>
      </c>
    </row>
    <row r="3255" spans="1:23" ht="15" customHeight="1">
      <c r="A3255" s="3">
        <v>40462</v>
      </c>
      <c r="B3255" s="4">
        <v>12350</v>
      </c>
      <c r="C3255" s="4">
        <v>5400</v>
      </c>
      <c r="D3255" s="5">
        <v>82100</v>
      </c>
      <c r="E3255" s="5">
        <f t="shared" si="114"/>
        <v>98600</v>
      </c>
      <c r="F3255" s="5">
        <v>198450</v>
      </c>
      <c r="K3255" s="24">
        <v>2270.5</v>
      </c>
      <c r="L3255" s="6">
        <v>2302</v>
      </c>
      <c r="M3255" s="270">
        <f t="shared" si="115"/>
        <v>31.5</v>
      </c>
      <c r="N3255" s="19"/>
      <c r="O3255" s="280"/>
      <c r="P3255" s="345">
        <v>16750</v>
      </c>
      <c r="Q3255" s="28">
        <f>167.82/1119.7</f>
        <v>0.1498794319907118</v>
      </c>
      <c r="U3255" s="29">
        <v>0.1</v>
      </c>
      <c r="W3255" s="741">
        <f t="shared" si="116"/>
        <v>2761.528534428865</v>
      </c>
    </row>
    <row r="3256" spans="1:23" ht="15" customHeight="1">
      <c r="A3256" s="3">
        <v>40463</v>
      </c>
      <c r="B3256" s="4">
        <v>12200</v>
      </c>
      <c r="C3256" s="4">
        <v>5400</v>
      </c>
      <c r="D3256" s="5">
        <v>82125</v>
      </c>
      <c r="E3256" s="5">
        <f t="shared" si="114"/>
        <v>98700</v>
      </c>
      <c r="F3256" s="5">
        <v>198425</v>
      </c>
      <c r="K3256" s="24">
        <v>2275</v>
      </c>
      <c r="L3256" s="6">
        <v>2315</v>
      </c>
      <c r="M3256" s="270">
        <f t="shared" si="115"/>
        <v>40</v>
      </c>
      <c r="N3256" s="19"/>
      <c r="O3256" s="280"/>
      <c r="P3256" s="345">
        <v>16850</v>
      </c>
      <c r="Q3256" s="28">
        <f>167.25/1115.4</f>
        <v>0.14994620763851532</v>
      </c>
      <c r="U3256" s="29">
        <v>0.1</v>
      </c>
      <c r="W3256" s="741">
        <f t="shared" si="116"/>
        <v>2779.252958579882</v>
      </c>
    </row>
    <row r="3257" spans="1:23" ht="15" customHeight="1">
      <c r="A3257" s="3">
        <v>40464</v>
      </c>
      <c r="B3257" s="4">
        <v>12200</v>
      </c>
      <c r="C3257" s="4">
        <v>5400</v>
      </c>
      <c r="D3257" s="5">
        <v>82125</v>
      </c>
      <c r="E3257" s="5">
        <f t="shared" si="114"/>
        <v>98700</v>
      </c>
      <c r="F3257" s="5">
        <v>198425</v>
      </c>
      <c r="K3257" s="24">
        <v>2408</v>
      </c>
      <c r="L3257" s="6">
        <v>2433.5</v>
      </c>
      <c r="M3257" s="270">
        <f t="shared" si="115"/>
        <v>25.5</v>
      </c>
      <c r="N3257" s="19"/>
      <c r="O3257" s="280"/>
      <c r="P3257" s="345">
        <v>16850</v>
      </c>
      <c r="Q3257" s="28">
        <f>168.87/1127</f>
        <v>0.14984028393966284</v>
      </c>
      <c r="U3257" s="29">
        <v>0.1</v>
      </c>
      <c r="W3257" s="741">
        <f t="shared" si="116"/>
        <v>2777.2896628216508</v>
      </c>
    </row>
    <row r="3258" spans="1:23" ht="15" customHeight="1">
      <c r="A3258" s="3">
        <v>40465</v>
      </c>
      <c r="B3258" s="4">
        <v>12200</v>
      </c>
      <c r="C3258" s="4">
        <v>5400</v>
      </c>
      <c r="D3258" s="5">
        <v>81975</v>
      </c>
      <c r="E3258" s="5">
        <f t="shared" si="114"/>
        <v>98300</v>
      </c>
      <c r="F3258" s="5">
        <v>197875</v>
      </c>
      <c r="K3258" s="24">
        <v>2402</v>
      </c>
      <c r="L3258" s="6">
        <v>2432.5</v>
      </c>
      <c r="M3258" s="270">
        <f t="shared" si="115"/>
        <v>30.5</v>
      </c>
      <c r="N3258" s="19"/>
      <c r="O3258" s="280"/>
      <c r="P3258" s="345">
        <v>17000</v>
      </c>
      <c r="Q3258" s="28">
        <f>167.99/1119.5</f>
        <v>0.15005806163465835</v>
      </c>
      <c r="U3258" s="29">
        <v>0.1</v>
      </c>
      <c r="W3258" s="741">
        <f t="shared" si="116"/>
        <v>2806.0857525681113</v>
      </c>
    </row>
    <row r="3259" spans="1:23" ht="15" customHeight="1">
      <c r="A3259" s="3">
        <v>40466</v>
      </c>
      <c r="B3259" s="4">
        <v>12200</v>
      </c>
      <c r="C3259" s="4">
        <v>5400</v>
      </c>
      <c r="D3259" s="5">
        <v>81800</v>
      </c>
      <c r="E3259" s="5">
        <f t="shared" si="114"/>
        <v>98300</v>
      </c>
      <c r="F3259" s="5">
        <v>197700</v>
      </c>
      <c r="K3259" s="24">
        <v>2377</v>
      </c>
      <c r="L3259" s="6">
        <v>2404</v>
      </c>
      <c r="M3259" s="270">
        <f t="shared" si="115"/>
        <v>27</v>
      </c>
      <c r="N3259" s="19"/>
      <c r="O3259" s="280"/>
      <c r="P3259" s="345">
        <v>17050</v>
      </c>
      <c r="Q3259" s="28">
        <f>167.31/1112.8</f>
        <v>0.15035046728971962</v>
      </c>
      <c r="U3259" s="29">
        <v>0.1</v>
      </c>
      <c r="W3259" s="741">
        <f t="shared" si="116"/>
        <v>2819.823014018692</v>
      </c>
    </row>
    <row r="3260" spans="1:23" ht="15" customHeight="1">
      <c r="A3260" s="3">
        <v>40469</v>
      </c>
      <c r="B3260" s="4">
        <v>12200</v>
      </c>
      <c r="C3260" s="4">
        <v>5400</v>
      </c>
      <c r="D3260" s="5">
        <v>81575</v>
      </c>
      <c r="E3260" s="5">
        <f t="shared" si="114"/>
        <v>98450</v>
      </c>
      <c r="F3260" s="5">
        <v>197625</v>
      </c>
      <c r="K3260" s="24">
        <v>2373</v>
      </c>
      <c r="L3260" s="6">
        <v>2401</v>
      </c>
      <c r="M3260" s="270">
        <f t="shared" si="115"/>
        <v>28</v>
      </c>
      <c r="N3260" s="19"/>
      <c r="O3260" s="280"/>
      <c r="P3260" s="345">
        <v>17050</v>
      </c>
      <c r="Q3260" s="28">
        <f>167.85/1114.7</f>
        <v>0.15057863102179958</v>
      </c>
      <c r="U3260" s="29">
        <v>0.1</v>
      </c>
      <c r="W3260" s="741">
        <f t="shared" si="116"/>
        <v>2824.1022248138515</v>
      </c>
    </row>
    <row r="3261" spans="1:23" ht="15" customHeight="1">
      <c r="A3261" s="3">
        <v>40470</v>
      </c>
      <c r="B3261" s="4">
        <v>12200</v>
      </c>
      <c r="C3261" s="4">
        <v>5400</v>
      </c>
      <c r="D3261" s="5">
        <v>81375</v>
      </c>
      <c r="E3261" s="5">
        <f t="shared" si="114"/>
        <v>99325</v>
      </c>
      <c r="F3261" s="5">
        <v>198300</v>
      </c>
      <c r="K3261" s="24">
        <v>2377</v>
      </c>
      <c r="L3261" s="6">
        <v>2405.5</v>
      </c>
      <c r="M3261" s="270">
        <f t="shared" si="115"/>
        <v>28.5</v>
      </c>
      <c r="N3261" s="19"/>
      <c r="O3261" s="280"/>
      <c r="P3261" s="345">
        <v>17100</v>
      </c>
      <c r="Q3261" s="28">
        <f>168.15/1117.2</f>
        <v>0.15051020408163265</v>
      </c>
      <c r="U3261" s="29">
        <v>0.1</v>
      </c>
      <c r="W3261" s="741">
        <f t="shared" si="116"/>
        <v>2831.0969387755108</v>
      </c>
    </row>
    <row r="3262" spans="1:23" ht="15" customHeight="1">
      <c r="A3262" s="3">
        <v>40471</v>
      </c>
      <c r="B3262" s="4">
        <v>12275</v>
      </c>
      <c r="C3262" s="4">
        <v>5400</v>
      </c>
      <c r="D3262" s="5">
        <v>81225</v>
      </c>
      <c r="E3262" s="5">
        <f t="shared" si="114"/>
        <v>99325</v>
      </c>
      <c r="F3262" s="5">
        <v>198225</v>
      </c>
      <c r="K3262" s="24">
        <v>2381</v>
      </c>
      <c r="L3262" s="6">
        <v>2408</v>
      </c>
      <c r="M3262" s="270">
        <f t="shared" si="115"/>
        <v>27</v>
      </c>
      <c r="N3262" s="19"/>
      <c r="O3262" s="280"/>
      <c r="P3262" s="345">
        <v>17100</v>
      </c>
      <c r="Q3262" s="28">
        <f>169.1/1123.6</f>
        <v>0.15049839800640799</v>
      </c>
      <c r="U3262" s="29">
        <v>0.1</v>
      </c>
      <c r="W3262" s="741">
        <f t="shared" si="116"/>
        <v>2830.8748665005346</v>
      </c>
    </row>
    <row r="3263" spans="1:23" ht="15" customHeight="1">
      <c r="A3263" s="3">
        <v>40472</v>
      </c>
      <c r="B3263" s="4">
        <v>12275</v>
      </c>
      <c r="C3263" s="4">
        <v>5400</v>
      </c>
      <c r="D3263" s="5">
        <v>80950</v>
      </c>
      <c r="E3263" s="5">
        <f t="shared" si="114"/>
        <v>99450</v>
      </c>
      <c r="F3263" s="5">
        <v>198075</v>
      </c>
      <c r="K3263" s="24">
        <v>2475</v>
      </c>
      <c r="L3263" s="6">
        <v>2507</v>
      </c>
      <c r="M3263" s="270">
        <f t="shared" si="115"/>
        <v>32</v>
      </c>
      <c r="N3263" s="19"/>
      <c r="O3263" s="280"/>
      <c r="P3263" s="345">
        <v>17150</v>
      </c>
      <c r="Q3263" s="28">
        <f>170.06/1131.3</f>
        <v>0.15032263767347301</v>
      </c>
      <c r="U3263" s="29">
        <v>0.1</v>
      </c>
      <c r="W3263" s="741">
        <f t="shared" si="116"/>
        <v>2835.8365597100683</v>
      </c>
    </row>
    <row r="3264" spans="1:23" ht="15" customHeight="1">
      <c r="A3264" s="3">
        <v>40473</v>
      </c>
      <c r="B3264" s="4">
        <v>12275</v>
      </c>
      <c r="C3264" s="4">
        <v>5400</v>
      </c>
      <c r="D3264" s="5">
        <v>80650</v>
      </c>
      <c r="E3264" s="5">
        <f t="shared" si="114"/>
        <v>99450</v>
      </c>
      <c r="F3264" s="5">
        <v>197775</v>
      </c>
      <c r="K3264" s="24">
        <v>2494</v>
      </c>
      <c r="L3264" s="6">
        <v>2520</v>
      </c>
      <c r="M3264" s="270">
        <f t="shared" si="115"/>
        <v>26</v>
      </c>
      <c r="N3264" s="19"/>
      <c r="O3264" s="280"/>
      <c r="P3264" s="345">
        <v>17200</v>
      </c>
      <c r="Q3264" s="28">
        <f>169.34/1126.2</f>
        <v>0.15036405611791867</v>
      </c>
      <c r="U3264" s="29">
        <v>0.1</v>
      </c>
      <c r="W3264" s="741">
        <f t="shared" si="116"/>
        <v>2844.8879417510216</v>
      </c>
    </row>
    <row r="3265" spans="1:23" ht="15" customHeight="1">
      <c r="A3265" s="3">
        <v>40476</v>
      </c>
      <c r="B3265" s="4">
        <v>12275</v>
      </c>
      <c r="C3265" s="4">
        <v>5400</v>
      </c>
      <c r="D3265" s="5">
        <v>80400</v>
      </c>
      <c r="E3265" s="5">
        <f t="shared" si="114"/>
        <v>99650</v>
      </c>
      <c r="F3265" s="5">
        <v>197725</v>
      </c>
      <c r="K3265" s="24">
        <v>2560</v>
      </c>
      <c r="L3265" s="6">
        <v>2585</v>
      </c>
      <c r="M3265" s="270">
        <f t="shared" si="115"/>
        <v>25</v>
      </c>
      <c r="N3265" s="19"/>
      <c r="O3265" s="280"/>
      <c r="P3265" s="345">
        <v>17400</v>
      </c>
      <c r="Q3265" s="28">
        <f>169.62/1129.5</f>
        <v>0.1501726427622842</v>
      </c>
      <c r="U3265" s="29">
        <v>0.1</v>
      </c>
      <c r="W3265" s="741">
        <f t="shared" si="116"/>
        <v>2874.3043824701199</v>
      </c>
    </row>
    <row r="3266" spans="1:23" ht="15" customHeight="1">
      <c r="A3266" s="3">
        <v>40477</v>
      </c>
      <c r="B3266" s="4">
        <v>12075</v>
      </c>
      <c r="C3266" s="4">
        <v>5400</v>
      </c>
      <c r="D3266" s="5">
        <v>80275</v>
      </c>
      <c r="E3266" s="5">
        <f t="shared" si="114"/>
        <v>101125</v>
      </c>
      <c r="F3266" s="5">
        <v>198875</v>
      </c>
      <c r="K3266" s="24">
        <v>2541</v>
      </c>
      <c r="L3266" s="6">
        <v>2569</v>
      </c>
      <c r="M3266" s="270">
        <f t="shared" si="115"/>
        <v>28</v>
      </c>
      <c r="N3266" s="19"/>
      <c r="O3266" s="280"/>
      <c r="P3266" s="345">
        <v>17700</v>
      </c>
      <c r="Q3266" s="28">
        <f>167.79/1117.2</f>
        <v>0.15018796992481201</v>
      </c>
      <c r="U3266" s="29">
        <v>0.1</v>
      </c>
      <c r="W3266" s="741">
        <f t="shared" si="116"/>
        <v>2924.1597744360902</v>
      </c>
    </row>
    <row r="3267" spans="1:23" ht="15" customHeight="1">
      <c r="A3267" s="3">
        <v>40478</v>
      </c>
      <c r="B3267" s="4">
        <v>12075</v>
      </c>
      <c r="C3267" s="4">
        <v>6875</v>
      </c>
      <c r="D3267" s="5">
        <v>80100</v>
      </c>
      <c r="E3267" s="5">
        <f t="shared" si="114"/>
        <v>99650</v>
      </c>
      <c r="F3267" s="5">
        <v>198700</v>
      </c>
      <c r="K3267" s="24">
        <v>2532</v>
      </c>
      <c r="L3267" s="6">
        <v>2555</v>
      </c>
      <c r="M3267" s="270">
        <f t="shared" si="115"/>
        <v>23</v>
      </c>
      <c r="N3267" s="19"/>
      <c r="O3267" s="280"/>
      <c r="P3267" s="345">
        <v>17700</v>
      </c>
      <c r="Q3267" s="28">
        <f>167.76/1117.7</f>
        <v>0.15009394291849332</v>
      </c>
      <c r="U3267" s="29">
        <v>0.1</v>
      </c>
      <c r="W3267" s="741">
        <f t="shared" si="116"/>
        <v>2922.3290686230653</v>
      </c>
    </row>
    <row r="3268" spans="1:23" ht="15" customHeight="1">
      <c r="A3268" s="3">
        <v>40479</v>
      </c>
      <c r="B3268" s="4">
        <v>12075</v>
      </c>
      <c r="C3268" s="4">
        <v>6875</v>
      </c>
      <c r="D3268" s="5">
        <v>79925</v>
      </c>
      <c r="E3268" s="5">
        <f t="shared" si="114"/>
        <v>100900</v>
      </c>
      <c r="F3268" s="5">
        <v>199775</v>
      </c>
      <c r="K3268" s="24">
        <v>2480</v>
      </c>
      <c r="L3268" s="6">
        <v>2505</v>
      </c>
      <c r="M3268" s="270">
        <f t="shared" si="115"/>
        <v>25</v>
      </c>
      <c r="N3268" s="19"/>
      <c r="O3268" s="280"/>
      <c r="P3268" s="345">
        <v>17600</v>
      </c>
      <c r="Q3268" s="28">
        <f>168.54/1126</f>
        <v>0.14968028419182947</v>
      </c>
      <c r="U3268" s="29">
        <v>0.1</v>
      </c>
      <c r="W3268" s="741">
        <f t="shared" si="116"/>
        <v>2897.8103019538189</v>
      </c>
    </row>
    <row r="3269" spans="1:23" ht="15" customHeight="1" thickBot="1">
      <c r="A3269" s="12">
        <v>40480</v>
      </c>
      <c r="B3269" s="13">
        <v>12075</v>
      </c>
      <c r="C3269" s="13">
        <v>6875</v>
      </c>
      <c r="D3269" s="14">
        <v>79775</v>
      </c>
      <c r="E3269" s="14">
        <f t="shared" si="114"/>
        <v>101000</v>
      </c>
      <c r="F3269" s="14">
        <v>199725</v>
      </c>
      <c r="G3269" s="14"/>
      <c r="H3269" s="14"/>
      <c r="I3269" s="14"/>
      <c r="J3269" s="264"/>
      <c r="K3269" s="25">
        <v>2437</v>
      </c>
      <c r="L3269" s="15">
        <v>2436</v>
      </c>
      <c r="M3269" s="271">
        <f t="shared" si="115"/>
        <v>-1</v>
      </c>
      <c r="N3269" s="164">
        <f>AVERAGE(K3249:K3269)</f>
        <v>2379.6666666666665</v>
      </c>
      <c r="O3269" s="288">
        <f>AVERAGE(K3055:K3269)</f>
        <v>2097.0166666666669</v>
      </c>
      <c r="P3269" s="346">
        <v>17550</v>
      </c>
      <c r="Q3269" s="30">
        <f>168.47/1126.6</f>
        <v>0.14953843422687735</v>
      </c>
      <c r="R3269" s="30"/>
      <c r="S3269" s="30"/>
      <c r="T3269" s="30"/>
      <c r="U3269" s="31">
        <v>0.1</v>
      </c>
      <c r="V3269" s="46">
        <f>AVERAGE(P3249:P3269)</f>
        <v>17168.75</v>
      </c>
      <c r="W3269" s="741">
        <f t="shared" si="116"/>
        <v>2886.8394727498676</v>
      </c>
    </row>
    <row r="3270" spans="1:23" ht="15" customHeight="1">
      <c r="A3270" s="3">
        <v>40483</v>
      </c>
      <c r="B3270" s="4">
        <v>11875</v>
      </c>
      <c r="C3270" s="4">
        <v>6875</v>
      </c>
      <c r="D3270" s="5">
        <v>79625</v>
      </c>
      <c r="E3270" s="5">
        <f t="shared" si="114"/>
        <v>101350</v>
      </c>
      <c r="F3270" s="5">
        <v>199725</v>
      </c>
      <c r="K3270" s="24">
        <v>2472.5</v>
      </c>
      <c r="L3270" s="6">
        <v>2496</v>
      </c>
      <c r="M3270" s="270">
        <f t="shared" si="115"/>
        <v>23.5</v>
      </c>
      <c r="N3270" s="7"/>
      <c r="O3270" s="280"/>
      <c r="P3270" s="345">
        <v>17550</v>
      </c>
      <c r="Q3270" s="28">
        <v>0.14940000000000001</v>
      </c>
      <c r="U3270" s="29">
        <v>0.1</v>
      </c>
      <c r="W3270" s="741">
        <f t="shared" si="116"/>
        <v>2884.1670000000004</v>
      </c>
    </row>
    <row r="3271" spans="1:23" ht="15" customHeight="1">
      <c r="A3271" s="3">
        <v>40484</v>
      </c>
      <c r="B3271" s="4">
        <v>11875</v>
      </c>
      <c r="C3271" s="4">
        <v>6875</v>
      </c>
      <c r="D3271" s="5">
        <v>76700</v>
      </c>
      <c r="E3271" s="5">
        <f t="shared" si="114"/>
        <v>107000</v>
      </c>
      <c r="F3271" s="5">
        <v>202450</v>
      </c>
      <c r="K3271" s="24">
        <v>2476</v>
      </c>
      <c r="L3271" s="6">
        <v>2495</v>
      </c>
      <c r="M3271" s="270">
        <f t="shared" si="115"/>
        <v>19</v>
      </c>
      <c r="N3271" s="7"/>
      <c r="O3271" s="280"/>
      <c r="P3271" s="345">
        <v>17550</v>
      </c>
      <c r="Q3271" s="28">
        <v>0.14940000000000001</v>
      </c>
      <c r="U3271" s="29">
        <v>0.1</v>
      </c>
      <c r="W3271" s="741">
        <f t="shared" si="116"/>
        <v>2884.1670000000004</v>
      </c>
    </row>
    <row r="3272" spans="1:23" ht="15" customHeight="1">
      <c r="A3272" s="3">
        <v>40485</v>
      </c>
      <c r="B3272" s="4">
        <v>11875</v>
      </c>
      <c r="C3272" s="4">
        <v>7350</v>
      </c>
      <c r="D3272" s="5">
        <v>79825</v>
      </c>
      <c r="E3272" s="5">
        <f t="shared" si="114"/>
        <v>103900</v>
      </c>
      <c r="F3272" s="5">
        <v>202950</v>
      </c>
      <c r="K3272" s="24">
        <v>2490</v>
      </c>
      <c r="L3272" s="6">
        <v>2510</v>
      </c>
      <c r="M3272" s="270">
        <f t="shared" si="115"/>
        <v>20</v>
      </c>
      <c r="N3272" s="7"/>
      <c r="O3272" s="280"/>
      <c r="P3272" s="345">
        <v>17600</v>
      </c>
      <c r="Q3272" s="28">
        <f>166.95/1114.9</f>
        <v>0.14974437169252847</v>
      </c>
      <c r="U3272" s="29">
        <v>0.1</v>
      </c>
      <c r="W3272" s="741">
        <f t="shared" si="116"/>
        <v>2899.0510359673517</v>
      </c>
    </row>
    <row r="3273" spans="1:23" ht="15" customHeight="1">
      <c r="A3273" s="3">
        <v>40486</v>
      </c>
      <c r="B3273" s="4">
        <v>11875</v>
      </c>
      <c r="C3273" s="4">
        <v>7350</v>
      </c>
      <c r="D3273" s="5">
        <v>80050</v>
      </c>
      <c r="E3273" s="5">
        <f t="shared" si="114"/>
        <v>103250</v>
      </c>
      <c r="F3273" s="5">
        <v>202525</v>
      </c>
      <c r="K3273" s="24">
        <v>2500</v>
      </c>
      <c r="L3273" s="6">
        <v>2511</v>
      </c>
      <c r="M3273" s="270">
        <f t="shared" si="115"/>
        <v>11</v>
      </c>
      <c r="N3273" s="19"/>
      <c r="O3273" s="280"/>
      <c r="P3273" s="345">
        <v>17550</v>
      </c>
      <c r="Q3273" s="28">
        <f>166.34/1110.3</f>
        <v>0.14981536521660813</v>
      </c>
      <c r="U3273" s="29">
        <v>0.1</v>
      </c>
      <c r="W3273" s="741">
        <f t="shared" si="116"/>
        <v>2892.18562550662</v>
      </c>
    </row>
    <row r="3274" spans="1:23" ht="15" customHeight="1">
      <c r="A3274" s="3">
        <v>40487</v>
      </c>
      <c r="B3274" s="4">
        <v>12875</v>
      </c>
      <c r="C3274" s="4">
        <v>7350</v>
      </c>
      <c r="D3274" s="5">
        <v>80050</v>
      </c>
      <c r="E3274" s="5">
        <f t="shared" si="114"/>
        <v>102950</v>
      </c>
      <c r="F3274" s="5">
        <v>203225</v>
      </c>
      <c r="K3274" s="24">
        <v>2505</v>
      </c>
      <c r="L3274" s="6">
        <v>2535</v>
      </c>
      <c r="M3274" s="270">
        <f t="shared" si="115"/>
        <v>30</v>
      </c>
      <c r="N3274" s="19"/>
      <c r="O3274" s="280"/>
      <c r="P3274" s="345">
        <v>17900</v>
      </c>
      <c r="Q3274" s="28">
        <f>166.16/1107</f>
        <v>0.15009936766034326</v>
      </c>
      <c r="U3274" s="29">
        <v>0.1</v>
      </c>
      <c r="W3274" s="741">
        <f t="shared" si="116"/>
        <v>2955.456549232159</v>
      </c>
    </row>
    <row r="3275" spans="1:23" ht="15" customHeight="1">
      <c r="A3275" s="3">
        <v>40490</v>
      </c>
      <c r="B3275" s="4">
        <v>12875</v>
      </c>
      <c r="C3275" s="4">
        <v>7350</v>
      </c>
      <c r="D3275" s="5">
        <v>80000</v>
      </c>
      <c r="E3275" s="5">
        <f t="shared" si="114"/>
        <v>102650</v>
      </c>
      <c r="F3275" s="5">
        <v>202875</v>
      </c>
      <c r="K3275" s="24">
        <v>2484</v>
      </c>
      <c r="L3275" s="6">
        <v>2502</v>
      </c>
      <c r="M3275" s="270">
        <f t="shared" si="115"/>
        <v>18</v>
      </c>
      <c r="N3275" s="19"/>
      <c r="O3275" s="280"/>
      <c r="P3275" s="345">
        <v>17900</v>
      </c>
      <c r="Q3275" s="28">
        <f>166.19/1106.1</f>
        <v>0.15024862128198174</v>
      </c>
      <c r="U3275" s="29">
        <v>0.1</v>
      </c>
      <c r="W3275" s="741">
        <f t="shared" si="116"/>
        <v>2958.3953530422209</v>
      </c>
    </row>
    <row r="3276" spans="1:23" ht="15" customHeight="1">
      <c r="A3276" s="3">
        <v>40491</v>
      </c>
      <c r="B3276" s="4">
        <v>13375</v>
      </c>
      <c r="C3276" s="4">
        <v>7350</v>
      </c>
      <c r="D3276" s="5">
        <v>79925</v>
      </c>
      <c r="E3276" s="5">
        <f t="shared" si="114"/>
        <v>102450</v>
      </c>
      <c r="F3276" s="5">
        <v>203100</v>
      </c>
      <c r="K3276" s="24">
        <v>2553.5</v>
      </c>
      <c r="L3276" s="6">
        <v>2574</v>
      </c>
      <c r="M3276" s="270">
        <f t="shared" si="115"/>
        <v>20.5</v>
      </c>
      <c r="N3276" s="19"/>
      <c r="O3276" s="280"/>
      <c r="P3276" s="345">
        <v>18000</v>
      </c>
      <c r="Q3276" s="28">
        <f>166.6/1113.1</f>
        <v>0.14967208696433384</v>
      </c>
      <c r="U3276" s="29">
        <v>0.1</v>
      </c>
      <c r="W3276" s="741">
        <f t="shared" si="116"/>
        <v>2963.5073218938101</v>
      </c>
    </row>
    <row r="3277" spans="1:23" ht="15" customHeight="1">
      <c r="A3277" s="3">
        <v>40492</v>
      </c>
      <c r="B3277" s="4">
        <v>13350</v>
      </c>
      <c r="C3277" s="4">
        <v>7350</v>
      </c>
      <c r="D3277" s="5">
        <v>79850</v>
      </c>
      <c r="E3277" s="5">
        <f t="shared" si="114"/>
        <v>102825</v>
      </c>
      <c r="F3277" s="5">
        <v>203375</v>
      </c>
      <c r="K3277" s="24">
        <v>2575</v>
      </c>
      <c r="L3277" s="6">
        <v>2600</v>
      </c>
      <c r="M3277" s="270">
        <f t="shared" si="115"/>
        <v>25</v>
      </c>
      <c r="N3277" s="19"/>
      <c r="O3277" s="280"/>
      <c r="P3277" s="345">
        <v>18100</v>
      </c>
      <c r="Q3277" s="28">
        <f>167.94/1115.8</f>
        <v>0.15051084423731853</v>
      </c>
      <c r="U3277" s="29">
        <v>0.1</v>
      </c>
      <c r="W3277" s="741">
        <f t="shared" si="116"/>
        <v>2996.6709087650124</v>
      </c>
    </row>
    <row r="3278" spans="1:23" ht="15" customHeight="1">
      <c r="A3278" s="3">
        <v>40493</v>
      </c>
      <c r="B3278" s="4">
        <v>13350</v>
      </c>
      <c r="C3278" s="4">
        <v>7350</v>
      </c>
      <c r="D3278" s="5">
        <v>79675</v>
      </c>
      <c r="E3278" s="5">
        <f t="shared" si="114"/>
        <v>102600</v>
      </c>
      <c r="F3278" s="5">
        <v>202975</v>
      </c>
      <c r="K3278" s="24">
        <v>2593.5</v>
      </c>
      <c r="L3278" s="6">
        <v>2617</v>
      </c>
      <c r="M3278" s="270">
        <f t="shared" si="115"/>
        <v>23.5</v>
      </c>
      <c r="N3278" s="19"/>
      <c r="O3278" s="280"/>
      <c r="P3278" s="345">
        <v>18100</v>
      </c>
      <c r="Q3278" s="28">
        <f>167.97/1114.3</f>
        <v>0.15074037512339586</v>
      </c>
      <c r="U3278" s="29">
        <v>0.1</v>
      </c>
      <c r="W3278" s="741">
        <f t="shared" si="116"/>
        <v>3001.2408687068119</v>
      </c>
    </row>
    <row r="3279" spans="1:23" ht="15" customHeight="1">
      <c r="A3279" s="3">
        <v>40494</v>
      </c>
      <c r="B3279" s="4">
        <v>13350</v>
      </c>
      <c r="C3279" s="4">
        <v>7350</v>
      </c>
      <c r="D3279" s="5">
        <v>79475</v>
      </c>
      <c r="E3279" s="5">
        <f t="shared" si="114"/>
        <v>102600</v>
      </c>
      <c r="F3279" s="5">
        <v>202775</v>
      </c>
      <c r="K3279" s="24">
        <v>2534</v>
      </c>
      <c r="L3279" s="6">
        <v>2551</v>
      </c>
      <c r="M3279" s="270">
        <f t="shared" si="115"/>
        <v>17</v>
      </c>
      <c r="N3279" s="19"/>
      <c r="O3279" s="280"/>
      <c r="P3279" s="345">
        <v>18100</v>
      </c>
      <c r="Q3279" s="28">
        <f>167.17/1107.5</f>
        <v>0.15094356659142211</v>
      </c>
      <c r="U3279" s="29">
        <v>0.1</v>
      </c>
      <c r="W3279" s="741">
        <f t="shared" si="116"/>
        <v>3005.2864108352146</v>
      </c>
    </row>
    <row r="3280" spans="1:23" ht="15" customHeight="1">
      <c r="A3280" s="3">
        <v>40497</v>
      </c>
      <c r="B3280" s="4">
        <v>13800</v>
      </c>
      <c r="C3280" s="4">
        <v>7350</v>
      </c>
      <c r="D3280" s="5">
        <v>79325</v>
      </c>
      <c r="E3280" s="5">
        <f t="shared" si="114"/>
        <v>104975</v>
      </c>
      <c r="F3280" s="5">
        <v>205450</v>
      </c>
      <c r="K3280" s="24">
        <v>2420</v>
      </c>
      <c r="L3280" s="6">
        <v>2445</v>
      </c>
      <c r="M3280" s="270">
        <f t="shared" si="115"/>
        <v>25</v>
      </c>
      <c r="N3280" s="19"/>
      <c r="O3280" s="280"/>
      <c r="P3280" s="345">
        <v>18000</v>
      </c>
      <c r="Q3280" s="28">
        <f>168.68/1119.5</f>
        <v>0.15067440821795444</v>
      </c>
      <c r="U3280" s="29">
        <v>0.1</v>
      </c>
      <c r="W3280" s="741">
        <f t="shared" si="116"/>
        <v>2983.3532827154986</v>
      </c>
    </row>
    <row r="3281" spans="1:26" ht="15" customHeight="1">
      <c r="A3281" s="3">
        <v>40498</v>
      </c>
      <c r="B3281" s="4">
        <v>13800</v>
      </c>
      <c r="C3281" s="4">
        <v>9425</v>
      </c>
      <c r="D3281" s="5">
        <v>79200</v>
      </c>
      <c r="E3281" s="5">
        <f t="shared" si="114"/>
        <v>102875</v>
      </c>
      <c r="F3281" s="5">
        <v>205300</v>
      </c>
      <c r="K3281" s="24">
        <v>2384</v>
      </c>
      <c r="L3281" s="6">
        <v>2405</v>
      </c>
      <c r="M3281" s="270">
        <f t="shared" si="115"/>
        <v>21</v>
      </c>
      <c r="N3281" s="19"/>
      <c r="O3281" s="280"/>
      <c r="P3281" s="345">
        <v>17950</v>
      </c>
      <c r="Q3281" s="28">
        <f>169.96/1129.2</f>
        <v>0.15051363797378675</v>
      </c>
      <c r="U3281" s="29">
        <v>0.1</v>
      </c>
      <c r="W3281" s="741">
        <f t="shared" si="116"/>
        <v>2971.8917817924198</v>
      </c>
    </row>
    <row r="3282" spans="1:26" ht="15" customHeight="1">
      <c r="A3282" s="3">
        <v>40499</v>
      </c>
      <c r="B3282" s="4">
        <v>13800</v>
      </c>
      <c r="C3282" s="4">
        <v>9425</v>
      </c>
      <c r="D3282" s="5">
        <v>78900</v>
      </c>
      <c r="E3282" s="5">
        <f t="shared" si="114"/>
        <v>102825</v>
      </c>
      <c r="F3282" s="5">
        <v>204950</v>
      </c>
      <c r="K3282" s="24">
        <v>2222</v>
      </c>
      <c r="L3282" s="6">
        <v>2237</v>
      </c>
      <c r="M3282" s="270">
        <f t="shared" si="115"/>
        <v>15</v>
      </c>
      <c r="N3282" s="19"/>
      <c r="O3282" s="280"/>
      <c r="P3282" s="345">
        <v>17600</v>
      </c>
      <c r="Q3282" s="28">
        <f>170.1/1129.2</f>
        <v>0.15063761955366631</v>
      </c>
      <c r="U3282" s="29">
        <v>0.1</v>
      </c>
      <c r="W3282" s="741">
        <f t="shared" si="116"/>
        <v>2916.3443145589799</v>
      </c>
    </row>
    <row r="3283" spans="1:26" ht="15" customHeight="1">
      <c r="A3283" s="3">
        <v>40500</v>
      </c>
      <c r="B3283" s="4">
        <v>13800</v>
      </c>
      <c r="C3283" s="4">
        <v>9425</v>
      </c>
      <c r="D3283" s="5">
        <v>78625</v>
      </c>
      <c r="E3283" s="5">
        <f t="shared" si="114"/>
        <v>102775</v>
      </c>
      <c r="F3283" s="5">
        <v>204625</v>
      </c>
      <c r="K3283" s="24">
        <v>2306</v>
      </c>
      <c r="L3283" s="6">
        <v>2335</v>
      </c>
      <c r="M3283" s="270">
        <f t="shared" si="115"/>
        <v>29</v>
      </c>
      <c r="N3283" s="19"/>
      <c r="O3283" s="280"/>
      <c r="P3283" s="345">
        <v>17600</v>
      </c>
      <c r="Q3283" s="28">
        <f>171.38/1138.5</f>
        <v>0.15053140096618356</v>
      </c>
      <c r="U3283" s="29">
        <v>0.1</v>
      </c>
      <c r="W3283" s="741">
        <f t="shared" si="116"/>
        <v>2914.287922705314</v>
      </c>
    </row>
    <row r="3284" spans="1:26" ht="15" customHeight="1">
      <c r="A3284" s="3">
        <v>40501</v>
      </c>
      <c r="B3284" s="4">
        <v>13800</v>
      </c>
      <c r="C3284" s="4">
        <v>9425</v>
      </c>
      <c r="D3284" s="5">
        <v>78325</v>
      </c>
      <c r="E3284" s="5">
        <f t="shared" si="114"/>
        <v>102525</v>
      </c>
      <c r="F3284" s="5">
        <v>204075</v>
      </c>
      <c r="K3284" s="24">
        <v>2247</v>
      </c>
      <c r="L3284" s="6">
        <v>2272</v>
      </c>
      <c r="M3284" s="270">
        <f t="shared" si="115"/>
        <v>25</v>
      </c>
      <c r="N3284" s="19"/>
      <c r="O3284" s="280"/>
      <c r="P3284" s="345">
        <v>17600</v>
      </c>
      <c r="Q3284" s="28">
        <f>171.69/1138.9</f>
        <v>0.15075072438317674</v>
      </c>
      <c r="U3284" s="29">
        <v>0.1</v>
      </c>
      <c r="W3284" s="741">
        <f t="shared" si="116"/>
        <v>2918.5340240583018</v>
      </c>
    </row>
    <row r="3285" spans="1:26" ht="15" customHeight="1">
      <c r="A3285" s="3">
        <v>40504</v>
      </c>
      <c r="B3285" s="4">
        <v>13800</v>
      </c>
      <c r="C3285" s="4">
        <v>9425</v>
      </c>
      <c r="D3285" s="5">
        <v>78075</v>
      </c>
      <c r="E3285" s="5">
        <f t="shared" si="114"/>
        <v>102575</v>
      </c>
      <c r="F3285" s="5">
        <v>203875</v>
      </c>
      <c r="K3285" s="24">
        <v>2226.5</v>
      </c>
      <c r="L3285" s="6">
        <v>2255</v>
      </c>
      <c r="M3285" s="270">
        <f t="shared" si="115"/>
        <v>28.5</v>
      </c>
      <c r="N3285" s="19"/>
      <c r="O3285" s="280"/>
      <c r="P3285" s="345">
        <v>17500</v>
      </c>
      <c r="Q3285" s="28">
        <f>170.49/1131.7</f>
        <v>0.15064946540602633</v>
      </c>
      <c r="U3285" s="29">
        <v>0.1</v>
      </c>
      <c r="W3285" s="741">
        <f t="shared" si="116"/>
        <v>2900.0022090660073</v>
      </c>
    </row>
    <row r="3286" spans="1:26" ht="15" customHeight="1">
      <c r="A3286" s="3">
        <v>40505</v>
      </c>
      <c r="B3286" s="4">
        <v>13800</v>
      </c>
      <c r="C3286" s="4">
        <v>9425</v>
      </c>
      <c r="D3286" s="5">
        <v>77825</v>
      </c>
      <c r="E3286" s="5">
        <f t="shared" si="114"/>
        <v>102575</v>
      </c>
      <c r="F3286" s="5">
        <v>203625</v>
      </c>
      <c r="K3286" s="24">
        <v>2150</v>
      </c>
      <c r="L3286" s="6">
        <v>2169</v>
      </c>
      <c r="M3286" s="270">
        <f t="shared" si="115"/>
        <v>19</v>
      </c>
      <c r="N3286" s="19"/>
      <c r="O3286" s="280"/>
      <c r="P3286" s="345">
        <v>17400</v>
      </c>
      <c r="Q3286" s="28">
        <f>169.65/1126.5</f>
        <v>0.15059920106524635</v>
      </c>
      <c r="U3286" s="29">
        <v>0.1</v>
      </c>
      <c r="W3286" s="741">
        <f t="shared" si="116"/>
        <v>2882.4687083888157</v>
      </c>
    </row>
    <row r="3287" spans="1:26" ht="15" customHeight="1">
      <c r="A3287" s="3">
        <v>40506</v>
      </c>
      <c r="B3287" s="4">
        <v>13800</v>
      </c>
      <c r="C3287" s="4">
        <v>9425</v>
      </c>
      <c r="D3287" s="5">
        <v>77575</v>
      </c>
      <c r="E3287" s="5">
        <f t="shared" si="114"/>
        <v>102800</v>
      </c>
      <c r="F3287" s="5">
        <v>203600</v>
      </c>
      <c r="K3287" s="24">
        <v>2199</v>
      </c>
      <c r="L3287" s="6">
        <v>2223</v>
      </c>
      <c r="M3287" s="270">
        <f t="shared" si="115"/>
        <v>24</v>
      </c>
      <c r="N3287" s="19"/>
      <c r="O3287" s="280"/>
      <c r="P3287" s="345">
        <v>17250</v>
      </c>
      <c r="Q3287" s="28">
        <f>170.76/1131.2</f>
        <v>0.15095473833097595</v>
      </c>
      <c r="U3287" s="29">
        <v>0.1</v>
      </c>
      <c r="W3287" s="741">
        <f t="shared" si="116"/>
        <v>2864.3661598302688</v>
      </c>
    </row>
    <row r="3288" spans="1:26" ht="15" customHeight="1">
      <c r="A3288" s="3">
        <v>40507</v>
      </c>
      <c r="B3288" s="4">
        <v>13800</v>
      </c>
      <c r="C3288" s="4">
        <v>9425</v>
      </c>
      <c r="D3288" s="5">
        <v>77275</v>
      </c>
      <c r="E3288" s="5">
        <f t="shared" si="114"/>
        <v>102850</v>
      </c>
      <c r="F3288" s="5">
        <v>203350</v>
      </c>
      <c r="K3288" s="24">
        <v>2221</v>
      </c>
      <c r="L3288" s="6">
        <v>2250</v>
      </c>
      <c r="M3288" s="270">
        <f t="shared" si="115"/>
        <v>29</v>
      </c>
      <c r="N3288" s="19"/>
      <c r="O3288" s="280"/>
      <c r="P3288" s="345">
        <v>17250</v>
      </c>
      <c r="Q3288" s="28">
        <f>172.68/1148.9</f>
        <v>0.15030028723126468</v>
      </c>
      <c r="U3288" s="29">
        <v>0.1</v>
      </c>
      <c r="W3288" s="741">
        <f t="shared" si="116"/>
        <v>2851.9479502132476</v>
      </c>
    </row>
    <row r="3289" spans="1:26" ht="15" customHeight="1">
      <c r="A3289" s="3">
        <v>40508</v>
      </c>
      <c r="B3289" s="4">
        <v>13800</v>
      </c>
      <c r="C3289" s="4">
        <v>9425</v>
      </c>
      <c r="D3289" s="5">
        <v>77250</v>
      </c>
      <c r="E3289" s="5">
        <f t="shared" si="114"/>
        <v>103450</v>
      </c>
      <c r="F3289" s="5">
        <v>203925</v>
      </c>
      <c r="K3289" s="24">
        <v>2264</v>
      </c>
      <c r="L3289" s="6">
        <v>2290</v>
      </c>
      <c r="M3289" s="270">
        <f t="shared" si="115"/>
        <v>26</v>
      </c>
      <c r="N3289" s="19"/>
      <c r="O3289" s="280"/>
      <c r="P3289" s="345">
        <v>17300</v>
      </c>
      <c r="Q3289" s="28">
        <f>172.09/1144.4</f>
        <v>0.15037574274729115</v>
      </c>
      <c r="U3289" s="29">
        <v>0.1</v>
      </c>
      <c r="W3289" s="741">
        <f t="shared" si="116"/>
        <v>2861.6503844809513</v>
      </c>
    </row>
    <row r="3290" spans="1:26" ht="15" customHeight="1">
      <c r="A3290" s="3">
        <v>40511</v>
      </c>
      <c r="B3290" s="4">
        <v>13800</v>
      </c>
      <c r="C3290" s="4">
        <v>9900</v>
      </c>
      <c r="D3290" s="5">
        <v>77250</v>
      </c>
      <c r="E3290" s="5">
        <f t="shared" si="114"/>
        <v>103250</v>
      </c>
      <c r="F3290" s="5">
        <v>204200</v>
      </c>
      <c r="K3290" s="24">
        <v>2255</v>
      </c>
      <c r="L3290" s="6">
        <v>2278</v>
      </c>
      <c r="M3290" s="270">
        <f t="shared" si="115"/>
        <v>23</v>
      </c>
      <c r="N3290" s="19"/>
      <c r="O3290" s="280"/>
      <c r="P3290" s="345">
        <v>17250</v>
      </c>
      <c r="Q3290" s="28">
        <f>172.09/1147.6</f>
        <v>0.14995643081212967</v>
      </c>
      <c r="U3290" s="29">
        <v>0.1</v>
      </c>
      <c r="W3290" s="741">
        <f t="shared" si="116"/>
        <v>2845.423274660161</v>
      </c>
    </row>
    <row r="3291" spans="1:26" ht="15" customHeight="1" thickBot="1">
      <c r="A3291" s="12">
        <v>40512</v>
      </c>
      <c r="B3291" s="13">
        <v>13750</v>
      </c>
      <c r="C3291" s="13">
        <v>9900</v>
      </c>
      <c r="D3291" s="14">
        <v>77200</v>
      </c>
      <c r="E3291" s="14">
        <f t="shared" si="114"/>
        <v>103175</v>
      </c>
      <c r="F3291" s="14">
        <v>204025</v>
      </c>
      <c r="G3291" s="14"/>
      <c r="H3291" s="14"/>
      <c r="I3291" s="14"/>
      <c r="J3291" s="264"/>
      <c r="K3291" s="25">
        <v>2210</v>
      </c>
      <c r="L3291" s="15">
        <v>2225</v>
      </c>
      <c r="M3291" s="271">
        <f t="shared" si="115"/>
        <v>15</v>
      </c>
      <c r="N3291" s="164">
        <f>AVERAGE(K3270:K3291)</f>
        <v>2376.7272727272725</v>
      </c>
      <c r="O3291" s="288">
        <f>AVERAGE(K3055:K3291)</f>
        <v>2123.5409482758619</v>
      </c>
      <c r="P3291" s="346">
        <v>17150</v>
      </c>
      <c r="Q3291" s="30">
        <f>173.76/1157.6</f>
        <v>0.15010366275051831</v>
      </c>
      <c r="R3291" s="30"/>
      <c r="S3291" s="30"/>
      <c r="T3291" s="30"/>
      <c r="U3291" s="31">
        <v>0.1</v>
      </c>
      <c r="V3291" s="46">
        <f>AVERAGE(P3270:P3291)</f>
        <v>17645.454545454544</v>
      </c>
      <c r="W3291" s="741">
        <f t="shared" si="116"/>
        <v>2831.7055977885284</v>
      </c>
      <c r="Z3291" s="19"/>
    </row>
    <row r="3292" spans="1:26" ht="15" customHeight="1">
      <c r="A3292" s="3">
        <v>40513</v>
      </c>
      <c r="B3292" s="4">
        <v>13750</v>
      </c>
      <c r="C3292" s="4">
        <v>9900</v>
      </c>
      <c r="D3292" s="5">
        <v>76800</v>
      </c>
      <c r="E3292" s="5">
        <f t="shared" si="114"/>
        <v>103425</v>
      </c>
      <c r="F3292" s="5">
        <v>203875</v>
      </c>
      <c r="K3292" s="24">
        <v>2265</v>
      </c>
      <c r="L3292" s="6">
        <v>2283</v>
      </c>
      <c r="M3292" s="270">
        <f t="shared" ref="M3292:M3309" si="117">L3292-K3292</f>
        <v>18</v>
      </c>
      <c r="N3292" s="19"/>
      <c r="O3292" s="280"/>
      <c r="P3292" s="345">
        <v>17150</v>
      </c>
      <c r="Q3292" s="28">
        <f>173.17/1154.5</f>
        <v>0.14999566912083151</v>
      </c>
      <c r="U3292" s="29">
        <v>0.1</v>
      </c>
      <c r="W3292" s="741">
        <f t="shared" si="116"/>
        <v>2829.6682979644866</v>
      </c>
    </row>
    <row r="3293" spans="1:26" ht="15" customHeight="1">
      <c r="A3293" s="3">
        <v>40514</v>
      </c>
      <c r="B3293" s="4">
        <v>13750</v>
      </c>
      <c r="C3293" s="4">
        <v>9900</v>
      </c>
      <c r="D3293" s="5">
        <v>76475</v>
      </c>
      <c r="E3293" s="5">
        <f t="shared" si="114"/>
        <v>103725</v>
      </c>
      <c r="F3293" s="5">
        <v>203850</v>
      </c>
      <c r="K3293" s="24">
        <v>2292</v>
      </c>
      <c r="L3293" s="6">
        <v>2318</v>
      </c>
      <c r="M3293" s="270">
        <f t="shared" si="117"/>
        <v>26</v>
      </c>
      <c r="N3293" s="19"/>
      <c r="O3293" s="280"/>
      <c r="P3293" s="345">
        <v>17200</v>
      </c>
      <c r="Q3293" s="28">
        <f>173.22/1154.2</f>
        <v>0.1500779760873332</v>
      </c>
      <c r="U3293" s="29">
        <v>0.1</v>
      </c>
      <c r="W3293" s="741">
        <f t="shared" si="116"/>
        <v>2839.4753075723447</v>
      </c>
    </row>
    <row r="3294" spans="1:26" ht="15" customHeight="1">
      <c r="A3294" s="3">
        <v>40515</v>
      </c>
      <c r="B3294" s="4">
        <v>13750</v>
      </c>
      <c r="C3294" s="4">
        <v>9900</v>
      </c>
      <c r="D3294" s="5">
        <v>76200</v>
      </c>
      <c r="E3294" s="5">
        <f t="shared" si="114"/>
        <v>103825</v>
      </c>
      <c r="F3294" s="5">
        <v>203675</v>
      </c>
      <c r="K3294" s="24">
        <v>2330.5</v>
      </c>
      <c r="L3294" s="6">
        <v>2355</v>
      </c>
      <c r="M3294" s="270">
        <f t="shared" si="117"/>
        <v>24.5</v>
      </c>
      <c r="N3294" s="19"/>
      <c r="O3294" s="280"/>
      <c r="P3294" s="345">
        <v>17250</v>
      </c>
      <c r="Q3294" s="28">
        <f>172.53/1149.3</f>
        <v>0.15011746280344559</v>
      </c>
      <c r="U3294" s="29">
        <v>0.1</v>
      </c>
      <c r="W3294" s="741">
        <f t="shared" si="116"/>
        <v>2848.4788566953803</v>
      </c>
    </row>
    <row r="3295" spans="1:26" ht="15" customHeight="1">
      <c r="A3295" s="3">
        <v>40518</v>
      </c>
      <c r="B3295" s="4">
        <v>13750</v>
      </c>
      <c r="C3295" s="4">
        <v>10375</v>
      </c>
      <c r="D3295" s="5">
        <v>76450</v>
      </c>
      <c r="E3295" s="5">
        <f t="shared" si="114"/>
        <v>103375</v>
      </c>
      <c r="F3295" s="5">
        <v>203950</v>
      </c>
      <c r="K3295" s="24">
        <v>2320.5</v>
      </c>
      <c r="L3295" s="6">
        <v>2337</v>
      </c>
      <c r="M3295" s="270">
        <f t="shared" si="117"/>
        <v>16.5</v>
      </c>
      <c r="N3295" s="19"/>
      <c r="O3295" s="280"/>
      <c r="P3295" s="345">
        <v>17250</v>
      </c>
      <c r="Q3295" s="28">
        <f>171.61/1143.5</f>
        <v>0.15007433318758201</v>
      </c>
      <c r="U3295" s="29">
        <v>0.1</v>
      </c>
      <c r="W3295" s="741">
        <f t="shared" si="116"/>
        <v>2847.6604722343691</v>
      </c>
    </row>
    <row r="3296" spans="1:26" ht="15" customHeight="1">
      <c r="A3296" s="3">
        <v>40519</v>
      </c>
      <c r="B3296" s="4">
        <v>13750</v>
      </c>
      <c r="C3296" s="4">
        <v>10375</v>
      </c>
      <c r="D3296" s="5">
        <v>76325</v>
      </c>
      <c r="E3296" s="5">
        <f t="shared" si="114"/>
        <v>103100</v>
      </c>
      <c r="F3296" s="5">
        <v>203550</v>
      </c>
      <c r="K3296" s="24">
        <v>2402</v>
      </c>
      <c r="L3296" s="6">
        <v>2427</v>
      </c>
      <c r="M3296" s="270">
        <f t="shared" si="117"/>
        <v>25</v>
      </c>
      <c r="N3296" s="19"/>
      <c r="O3296" s="280"/>
      <c r="P3296" s="345">
        <v>17250</v>
      </c>
      <c r="Q3296" s="28">
        <f>170.5/1133.6</f>
        <v>0.15040578687367678</v>
      </c>
      <c r="U3296" s="29">
        <v>0.1</v>
      </c>
      <c r="W3296" s="741">
        <f t="shared" si="116"/>
        <v>2853.9498059280172</v>
      </c>
    </row>
    <row r="3297" spans="1:23" ht="15" customHeight="1">
      <c r="A3297" s="3">
        <v>40520</v>
      </c>
      <c r="B3297" s="4">
        <v>13750</v>
      </c>
      <c r="C3297" s="4">
        <v>10375</v>
      </c>
      <c r="D3297" s="5">
        <v>76275</v>
      </c>
      <c r="E3297" s="5">
        <f t="shared" si="114"/>
        <v>103050</v>
      </c>
      <c r="F3297" s="5">
        <v>203450</v>
      </c>
      <c r="K3297" s="24">
        <v>2362</v>
      </c>
      <c r="L3297" s="6">
        <v>2380</v>
      </c>
      <c r="M3297" s="270">
        <f t="shared" si="117"/>
        <v>18</v>
      </c>
      <c r="N3297" s="19"/>
      <c r="O3297" s="280"/>
      <c r="P3297" s="345">
        <v>17250</v>
      </c>
      <c r="Q3297" s="28">
        <f>170.67/1134.2</f>
        <v>0.15047610650678891</v>
      </c>
      <c r="U3297" s="29">
        <v>0.1</v>
      </c>
      <c r="W3297" s="741">
        <f t="shared" si="116"/>
        <v>2855.2841209663202</v>
      </c>
    </row>
    <row r="3298" spans="1:23" ht="15" customHeight="1">
      <c r="A3298" s="3">
        <v>40521</v>
      </c>
      <c r="B3298" s="4">
        <v>14750</v>
      </c>
      <c r="C3298" s="4">
        <v>10375</v>
      </c>
      <c r="D3298" s="5">
        <v>76200</v>
      </c>
      <c r="E3298" s="5">
        <f t="shared" si="114"/>
        <v>103925</v>
      </c>
      <c r="F3298" s="5">
        <v>205250</v>
      </c>
      <c r="K3298" s="24">
        <v>2367.5</v>
      </c>
      <c r="L3298" s="6">
        <v>2393</v>
      </c>
      <c r="M3298" s="270">
        <f t="shared" si="117"/>
        <v>25.5</v>
      </c>
      <c r="N3298" s="19"/>
      <c r="O3298" s="280"/>
      <c r="P3298" s="345">
        <v>17200</v>
      </c>
      <c r="Q3298" s="28">
        <f>171.2/1140.7</f>
        <v>0.15008328219514333</v>
      </c>
      <c r="U3298" s="29">
        <v>0.1</v>
      </c>
      <c r="W3298" s="741">
        <f t="shared" si="116"/>
        <v>2839.5756991321123</v>
      </c>
    </row>
    <row r="3299" spans="1:23" ht="15" customHeight="1">
      <c r="A3299" s="3">
        <v>40522</v>
      </c>
      <c r="B3299" s="4">
        <v>14750</v>
      </c>
      <c r="C3299" s="4">
        <v>11900</v>
      </c>
      <c r="D3299" s="5">
        <v>75975</v>
      </c>
      <c r="E3299" s="5">
        <f t="shared" si="114"/>
        <v>101750</v>
      </c>
      <c r="F3299" s="5">
        <v>204375</v>
      </c>
      <c r="K3299" s="24">
        <v>2402</v>
      </c>
      <c r="L3299" s="6">
        <v>2415</v>
      </c>
      <c r="M3299" s="270">
        <f t="shared" si="117"/>
        <v>13</v>
      </c>
      <c r="N3299" s="19"/>
      <c r="O3299" s="280"/>
      <c r="P3299" s="345">
        <v>17200</v>
      </c>
      <c r="Q3299" s="28">
        <f>171.05/1138.4</f>
        <v>0.15025474349964862</v>
      </c>
      <c r="U3299" s="29">
        <v>0.1</v>
      </c>
      <c r="W3299" s="741">
        <f t="shared" si="116"/>
        <v>2842.8197470133523</v>
      </c>
    </row>
    <row r="3300" spans="1:23" ht="15" customHeight="1">
      <c r="A3300" s="3">
        <v>40525</v>
      </c>
      <c r="B3300" s="4">
        <v>14550</v>
      </c>
      <c r="C3300" s="4">
        <v>11900</v>
      </c>
      <c r="D3300" s="5">
        <v>75875</v>
      </c>
      <c r="E3300" s="5">
        <f t="shared" si="114"/>
        <v>100850</v>
      </c>
      <c r="F3300" s="5">
        <v>203175</v>
      </c>
      <c r="K3300" s="24">
        <v>2419.5</v>
      </c>
      <c r="L3300" s="6">
        <v>2435</v>
      </c>
      <c r="M3300" s="270">
        <f t="shared" si="117"/>
        <v>15.5</v>
      </c>
      <c r="N3300" s="19"/>
      <c r="O3300" s="280"/>
      <c r="P3300" s="345">
        <v>17200</v>
      </c>
      <c r="Q3300" s="28">
        <f>171.53/1141.6</f>
        <v>0.15025402943237562</v>
      </c>
      <c r="U3300" s="29">
        <v>0.1</v>
      </c>
      <c r="W3300" s="741">
        <f t="shared" si="116"/>
        <v>2842.806236860547</v>
      </c>
    </row>
    <row r="3301" spans="1:23" ht="15" customHeight="1">
      <c r="A3301" s="3">
        <v>40526</v>
      </c>
      <c r="B3301" s="4">
        <v>14550</v>
      </c>
      <c r="C3301" s="4">
        <v>11900</v>
      </c>
      <c r="D3301" s="5">
        <v>76025</v>
      </c>
      <c r="E3301" s="5">
        <f t="shared" si="114"/>
        <v>100700</v>
      </c>
      <c r="F3301" s="5">
        <v>203175</v>
      </c>
      <c r="K3301" s="24">
        <v>2440</v>
      </c>
      <c r="L3301" s="6">
        <v>2454</v>
      </c>
      <c r="M3301" s="270">
        <f t="shared" si="117"/>
        <v>14</v>
      </c>
      <c r="N3301" s="19"/>
      <c r="O3301" s="280"/>
      <c r="P3301" s="345">
        <v>17250</v>
      </c>
      <c r="Q3301" s="28">
        <f>171.53/1143.5</f>
        <v>0.15000437254044599</v>
      </c>
      <c r="U3301" s="29">
        <v>0.1</v>
      </c>
      <c r="W3301" s="741">
        <f t="shared" si="116"/>
        <v>2846.3329689549628</v>
      </c>
    </row>
    <row r="3302" spans="1:23" ht="15" customHeight="1">
      <c r="A3302" s="3">
        <v>40527</v>
      </c>
      <c r="B3302" s="4">
        <v>15550</v>
      </c>
      <c r="C3302" s="4">
        <v>11900</v>
      </c>
      <c r="D3302" s="5">
        <v>79175</v>
      </c>
      <c r="E3302" s="5">
        <f t="shared" si="114"/>
        <v>100425</v>
      </c>
      <c r="F3302" s="5">
        <v>207050</v>
      </c>
      <c r="K3302" s="24">
        <v>2392</v>
      </c>
      <c r="L3302" s="6">
        <v>2404.5</v>
      </c>
      <c r="M3302" s="270">
        <f t="shared" si="117"/>
        <v>12.5</v>
      </c>
      <c r="N3302" s="19"/>
      <c r="O3302" s="280"/>
      <c r="P3302" s="345">
        <v>17250</v>
      </c>
      <c r="Q3302" s="28">
        <f>171.47/1141.4</f>
        <v>0.15022779043280182</v>
      </c>
      <c r="U3302" s="29">
        <v>0.1</v>
      </c>
      <c r="W3302" s="741">
        <f t="shared" si="116"/>
        <v>2850.5723234624152</v>
      </c>
    </row>
    <row r="3303" spans="1:23" ht="15" customHeight="1">
      <c r="A3303" s="3">
        <v>40528</v>
      </c>
      <c r="B3303" s="4">
        <v>15550</v>
      </c>
      <c r="C3303" s="4">
        <v>11900</v>
      </c>
      <c r="D3303" s="5">
        <v>79100</v>
      </c>
      <c r="E3303" s="5">
        <f t="shared" si="114"/>
        <v>101225</v>
      </c>
      <c r="F3303" s="5">
        <v>207775</v>
      </c>
      <c r="K3303" s="24">
        <v>2380</v>
      </c>
      <c r="L3303" s="6">
        <v>2388</v>
      </c>
      <c r="M3303" s="270">
        <f t="shared" si="117"/>
        <v>8</v>
      </c>
      <c r="N3303" s="19"/>
      <c r="O3303" s="280"/>
      <c r="P3303" s="345">
        <v>17100</v>
      </c>
      <c r="Q3303" s="28">
        <f>172.99/1151.2</f>
        <v>0.15026928422515637</v>
      </c>
      <c r="U3303" s="29">
        <v>0.1</v>
      </c>
      <c r="W3303" s="741">
        <f t="shared" si="116"/>
        <v>2826.5652362751916</v>
      </c>
    </row>
    <row r="3304" spans="1:23" ht="15" customHeight="1">
      <c r="A3304" s="3">
        <v>40529</v>
      </c>
      <c r="B3304" s="4">
        <v>15400</v>
      </c>
      <c r="C3304" s="4">
        <v>13375</v>
      </c>
      <c r="D3304" s="5">
        <v>79250</v>
      </c>
      <c r="E3304" s="5">
        <f t="shared" si="114"/>
        <v>99575</v>
      </c>
      <c r="F3304" s="5">
        <v>207600</v>
      </c>
      <c r="K3304" s="24">
        <v>2378.5</v>
      </c>
      <c r="L3304" s="6">
        <v>2377.5</v>
      </c>
      <c r="M3304" s="270">
        <f t="shared" si="117"/>
        <v>-1</v>
      </c>
      <c r="N3304" s="19"/>
      <c r="O3304" s="280"/>
      <c r="P3304" s="345">
        <v>17100</v>
      </c>
      <c r="Q3304" s="28">
        <f>173.55/1156.5</f>
        <v>0.15006485084306098</v>
      </c>
      <c r="U3304" s="29">
        <v>0.1</v>
      </c>
      <c r="W3304" s="741">
        <f t="shared" si="116"/>
        <v>2822.7198443579773</v>
      </c>
    </row>
    <row r="3305" spans="1:23" ht="15" customHeight="1">
      <c r="A3305" s="3">
        <v>40532</v>
      </c>
      <c r="B3305" s="4">
        <v>15400</v>
      </c>
      <c r="C3305" s="4">
        <v>13375</v>
      </c>
      <c r="D3305" s="5">
        <v>79425</v>
      </c>
      <c r="E3305" s="5">
        <f t="shared" si="114"/>
        <v>99550</v>
      </c>
      <c r="F3305" s="5">
        <v>207750</v>
      </c>
      <c r="K3305" s="24">
        <v>2452</v>
      </c>
      <c r="L3305" s="6">
        <v>2447</v>
      </c>
      <c r="M3305" s="270">
        <f t="shared" si="117"/>
        <v>-5</v>
      </c>
      <c r="N3305" s="19"/>
      <c r="O3305" s="280"/>
      <c r="P3305" s="345">
        <v>17150</v>
      </c>
      <c r="Q3305" s="28">
        <f>172.91/1150.8</f>
        <v>0.15025199860966285</v>
      </c>
      <c r="U3305" s="29">
        <v>0.1</v>
      </c>
      <c r="W3305" s="741">
        <f t="shared" si="116"/>
        <v>2834.5039537712901</v>
      </c>
    </row>
    <row r="3306" spans="1:23" ht="15" customHeight="1">
      <c r="A3306" s="3">
        <v>40533</v>
      </c>
      <c r="B3306" s="4">
        <v>15400</v>
      </c>
      <c r="C3306" s="4">
        <v>13375</v>
      </c>
      <c r="D3306" s="5">
        <v>79375</v>
      </c>
      <c r="E3306" s="5">
        <f t="shared" si="114"/>
        <v>99350</v>
      </c>
      <c r="F3306" s="5">
        <v>207500</v>
      </c>
      <c r="K3306" s="24">
        <v>2470</v>
      </c>
      <c r="L3306" s="6">
        <v>2465</v>
      </c>
      <c r="M3306" s="270">
        <f t="shared" si="117"/>
        <v>-5</v>
      </c>
      <c r="N3306" s="19"/>
      <c r="O3306" s="280"/>
      <c r="P3306" s="345">
        <v>17150</v>
      </c>
      <c r="Q3306" s="28">
        <v>0.14979999999999999</v>
      </c>
      <c r="U3306" s="29">
        <v>0.1</v>
      </c>
      <c r="W3306" s="741">
        <f t="shared" si="116"/>
        <v>2825.9769999999999</v>
      </c>
    </row>
    <row r="3307" spans="1:23" ht="15" customHeight="1">
      <c r="A3307" s="3">
        <v>40534</v>
      </c>
      <c r="B3307" s="4">
        <v>15575</v>
      </c>
      <c r="C3307" s="4">
        <v>13375</v>
      </c>
      <c r="D3307" s="5">
        <v>79325</v>
      </c>
      <c r="E3307" s="5">
        <f t="shared" si="114"/>
        <v>99525</v>
      </c>
      <c r="F3307" s="5">
        <v>207800</v>
      </c>
      <c r="K3307" s="24">
        <v>2460</v>
      </c>
      <c r="L3307" s="6">
        <v>2446</v>
      </c>
      <c r="M3307" s="270">
        <f t="shared" si="117"/>
        <v>-14</v>
      </c>
      <c r="N3307" s="19"/>
      <c r="O3307" s="280"/>
      <c r="P3307" s="345">
        <v>17150</v>
      </c>
      <c r="Q3307" s="28">
        <f>173.21/1153.3</f>
        <v>0.15018642157287784</v>
      </c>
      <c r="U3307" s="29">
        <v>0.1</v>
      </c>
      <c r="W3307" s="741">
        <f t="shared" si="116"/>
        <v>2833.2668429723408</v>
      </c>
    </row>
    <row r="3308" spans="1:23" ht="15" customHeight="1">
      <c r="A3308" s="3">
        <v>40535</v>
      </c>
      <c r="B3308" s="4">
        <v>15475</v>
      </c>
      <c r="C3308" s="4">
        <v>13375</v>
      </c>
      <c r="D3308" s="5">
        <v>80050</v>
      </c>
      <c r="E3308" s="5">
        <f t="shared" si="114"/>
        <v>98975</v>
      </c>
      <c r="F3308" s="5">
        <v>207875</v>
      </c>
      <c r="K3308" s="24">
        <v>2417</v>
      </c>
      <c r="L3308" s="6">
        <v>2412.5</v>
      </c>
      <c r="M3308" s="270">
        <f t="shared" si="117"/>
        <v>-4.5</v>
      </c>
      <c r="N3308" s="19"/>
      <c r="O3308" s="280"/>
      <c r="P3308" s="345">
        <v>17100</v>
      </c>
      <c r="Q3308" s="28">
        <f>173.82/1155.5</f>
        <v>0.1504283859800952</v>
      </c>
      <c r="U3308" s="29">
        <v>0.1</v>
      </c>
      <c r="W3308" s="741">
        <f t="shared" si="116"/>
        <v>2829.5579402855906</v>
      </c>
    </row>
    <row r="3309" spans="1:23" ht="15" customHeight="1">
      <c r="A3309" s="3">
        <v>40536</v>
      </c>
      <c r="B3309" s="4">
        <v>15475</v>
      </c>
      <c r="C3309" s="4">
        <v>13375</v>
      </c>
      <c r="D3309" s="5">
        <v>80350</v>
      </c>
      <c r="E3309" s="5">
        <f t="shared" si="114"/>
        <v>98650</v>
      </c>
      <c r="F3309" s="5">
        <v>207850</v>
      </c>
      <c r="K3309" s="24">
        <v>2440</v>
      </c>
      <c r="L3309" s="6">
        <v>2436</v>
      </c>
      <c r="M3309" s="270">
        <f t="shared" si="117"/>
        <v>-4</v>
      </c>
      <c r="N3309" s="19"/>
      <c r="O3309" s="280"/>
      <c r="P3309" s="345">
        <v>17000</v>
      </c>
      <c r="Q3309" s="28">
        <f>173.22/1151.5</f>
        <v>0.1504298740772905</v>
      </c>
      <c r="U3309" s="29">
        <v>0.1</v>
      </c>
      <c r="W3309" s="741">
        <f t="shared" ref="W3309:W3372" si="118">(P3309*Q3309)*(1+U3309)</f>
        <v>2813.0386452453326</v>
      </c>
    </row>
    <row r="3310" spans="1:23" ht="15" customHeight="1">
      <c r="A3310" s="3">
        <v>40539</v>
      </c>
      <c r="C3310" s="26"/>
      <c r="D3310" s="26"/>
      <c r="E3310" s="26"/>
      <c r="F3310" s="26"/>
      <c r="G3310" s="1003" t="s">
        <v>73</v>
      </c>
      <c r="H3310" s="1003"/>
      <c r="I3310" s="1003"/>
      <c r="J3310" s="1003"/>
      <c r="K3310" s="26"/>
      <c r="L3310" s="26"/>
      <c r="M3310" s="26"/>
      <c r="N3310" s="19"/>
      <c r="O3310" s="280"/>
      <c r="P3310" s="383"/>
      <c r="Q3310" s="1008" t="s">
        <v>121</v>
      </c>
      <c r="R3310" s="1008"/>
      <c r="S3310" s="1008"/>
      <c r="T3310" s="1008"/>
      <c r="U3310" s="1008"/>
      <c r="W3310" s="741" t="e">
        <f t="shared" si="118"/>
        <v>#VALUE!</v>
      </c>
    </row>
    <row r="3311" spans="1:23" ht="15" customHeight="1">
      <c r="A3311" s="3">
        <v>40540</v>
      </c>
      <c r="B3311" s="26"/>
      <c r="C3311" s="26"/>
      <c r="D3311" s="26"/>
      <c r="E3311" s="26"/>
      <c r="F3311" s="26"/>
      <c r="G3311" s="1003"/>
      <c r="H3311" s="1003"/>
      <c r="I3311" s="1003"/>
      <c r="J3311" s="1003"/>
      <c r="K3311" s="26"/>
      <c r="L3311" s="26"/>
      <c r="M3311" s="26"/>
      <c r="N3311" s="19"/>
      <c r="O3311" s="280"/>
      <c r="P3311" s="383"/>
      <c r="Q3311" s="1008"/>
      <c r="R3311" s="1008"/>
      <c r="S3311" s="1008"/>
      <c r="T3311" s="1008"/>
      <c r="U3311" s="1008"/>
      <c r="W3311" s="741">
        <f t="shared" si="118"/>
        <v>0</v>
      </c>
    </row>
    <row r="3312" spans="1:23" ht="15" customHeight="1">
      <c r="A3312" s="3">
        <v>40541</v>
      </c>
      <c r="B3312" s="4">
        <v>15475</v>
      </c>
      <c r="C3312" s="4">
        <v>13375</v>
      </c>
      <c r="D3312" s="5">
        <v>80350</v>
      </c>
      <c r="E3312" s="5">
        <f t="shared" ref="E3312:E3392" si="119">F3312-(B3312+C3312+D3312)</f>
        <v>98500</v>
      </c>
      <c r="F3312" s="5">
        <v>207700</v>
      </c>
      <c r="K3312" s="24">
        <v>2535</v>
      </c>
      <c r="L3312" s="6">
        <v>2530</v>
      </c>
      <c r="M3312" s="270">
        <f t="shared" ref="M3312:M3375" si="120">L3312-K3312</f>
        <v>-5</v>
      </c>
      <c r="N3312" s="19"/>
      <c r="O3312" s="280"/>
      <c r="P3312" s="345">
        <v>17000</v>
      </c>
      <c r="Q3312" s="28">
        <f>173.83/1152</f>
        <v>0.15089409722222225</v>
      </c>
      <c r="U3312" s="29">
        <v>0.1</v>
      </c>
      <c r="W3312" s="741">
        <f t="shared" si="118"/>
        <v>2821.7196180555566</v>
      </c>
    </row>
    <row r="3313" spans="1:23" ht="15" customHeight="1">
      <c r="A3313" s="3">
        <v>40542</v>
      </c>
      <c r="B3313" s="4">
        <v>15475</v>
      </c>
      <c r="C3313" s="4">
        <v>13375</v>
      </c>
      <c r="D3313" s="5">
        <v>80875</v>
      </c>
      <c r="E3313" s="5">
        <f t="shared" si="119"/>
        <v>97125</v>
      </c>
      <c r="F3313" s="5">
        <v>206850</v>
      </c>
      <c r="K3313" s="24">
        <v>2559</v>
      </c>
      <c r="L3313" s="6">
        <v>2542.5</v>
      </c>
      <c r="M3313" s="270">
        <f t="shared" si="120"/>
        <v>-16.5</v>
      </c>
      <c r="N3313" s="19"/>
      <c r="O3313" s="280"/>
      <c r="P3313" s="345">
        <v>17050</v>
      </c>
      <c r="Q3313" s="28">
        <f>173.06/1146.1</f>
        <v>0.15099904022336622</v>
      </c>
      <c r="U3313" s="29">
        <v>0.1</v>
      </c>
      <c r="W3313" s="741">
        <f t="shared" si="118"/>
        <v>2831.9869993892339</v>
      </c>
    </row>
    <row r="3314" spans="1:23" ht="15" customHeight="1" thickBot="1">
      <c r="A3314" s="12">
        <v>40543</v>
      </c>
      <c r="B3314" s="13">
        <v>15475</v>
      </c>
      <c r="C3314" s="13">
        <v>13375</v>
      </c>
      <c r="D3314" s="14">
        <v>80950</v>
      </c>
      <c r="E3314" s="14">
        <f t="shared" si="119"/>
        <v>98475</v>
      </c>
      <c r="F3314" s="14">
        <v>208275</v>
      </c>
      <c r="G3314" s="14"/>
      <c r="H3314" s="14"/>
      <c r="I3314" s="14"/>
      <c r="J3314" s="264"/>
      <c r="K3314" s="25">
        <v>2587</v>
      </c>
      <c r="L3314" s="15">
        <v>2563.5</v>
      </c>
      <c r="M3314" s="271">
        <f t="shared" si="120"/>
        <v>-23.5</v>
      </c>
      <c r="N3314" s="164">
        <f>AVERAGE(K3292:K3314)</f>
        <v>2412.9285714285716</v>
      </c>
      <c r="O3314" s="288">
        <f>AVERAGE(K3055:K3314)</f>
        <v>2147.5612648221345</v>
      </c>
      <c r="P3314" s="346">
        <v>17050</v>
      </c>
      <c r="Q3314" s="30">
        <f>172.5/1138.9</f>
        <v>0.15146193695671262</v>
      </c>
      <c r="R3314" s="30"/>
      <c r="S3314" s="30"/>
      <c r="T3314" s="30"/>
      <c r="U3314" s="31">
        <v>0.1</v>
      </c>
      <c r="V3314" s="46">
        <f>AVERAGE(P3292:P3314)</f>
        <v>17157.142857142859</v>
      </c>
      <c r="W3314" s="741">
        <f t="shared" si="118"/>
        <v>2840.6686276231453</v>
      </c>
    </row>
    <row r="3315" spans="1:23" ht="15" customHeight="1">
      <c r="A3315" s="3">
        <v>40547</v>
      </c>
      <c r="B3315" s="4">
        <v>15475</v>
      </c>
      <c r="C3315" s="4">
        <v>14825</v>
      </c>
      <c r="D3315" s="5">
        <v>80900</v>
      </c>
      <c r="E3315" s="5">
        <f t="shared" si="119"/>
        <v>97350</v>
      </c>
      <c r="F3315" s="5">
        <v>208550</v>
      </c>
      <c r="K3315" s="24">
        <v>2593</v>
      </c>
      <c r="L3315" s="6">
        <v>2572</v>
      </c>
      <c r="M3315" s="270">
        <f t="shared" si="120"/>
        <v>-21</v>
      </c>
      <c r="N3315" s="21"/>
      <c r="O3315" s="289">
        <f>AVERAGE(K3315:K3573)</f>
        <v>2397.8326693227091</v>
      </c>
      <c r="P3315" s="345">
        <v>17100</v>
      </c>
      <c r="Q3315" s="28">
        <f>171.09/1127.5</f>
        <v>0.15174279379157429</v>
      </c>
      <c r="U3315" s="29">
        <v>0.1</v>
      </c>
      <c r="W3315" s="741">
        <f t="shared" si="118"/>
        <v>2854.2819512195128</v>
      </c>
    </row>
    <row r="3316" spans="1:23" ht="15" customHeight="1">
      <c r="A3316" s="3">
        <v>40548</v>
      </c>
      <c r="B3316" s="4">
        <v>15475</v>
      </c>
      <c r="C3316" s="4">
        <v>14825</v>
      </c>
      <c r="D3316" s="5">
        <v>81475</v>
      </c>
      <c r="E3316" s="5">
        <f t="shared" si="119"/>
        <v>98125</v>
      </c>
      <c r="F3316" s="5">
        <v>209900</v>
      </c>
      <c r="K3316" s="24">
        <v>2569</v>
      </c>
      <c r="L3316" s="6">
        <v>2543</v>
      </c>
      <c r="M3316" s="270">
        <f t="shared" si="120"/>
        <v>-26</v>
      </c>
      <c r="N3316" s="19"/>
      <c r="O3316" s="280"/>
      <c r="P3316" s="345">
        <v>17150</v>
      </c>
      <c r="Q3316" s="28">
        <f>169.87/1122.3</f>
        <v>0.15135881671567319</v>
      </c>
      <c r="U3316" s="29">
        <v>0.1</v>
      </c>
      <c r="W3316" s="741">
        <f t="shared" si="118"/>
        <v>2855.3840773411748</v>
      </c>
    </row>
    <row r="3317" spans="1:23" ht="15" customHeight="1">
      <c r="A3317" s="3">
        <v>40549</v>
      </c>
      <c r="B3317" s="4">
        <v>15475</v>
      </c>
      <c r="C3317" s="4">
        <v>15825</v>
      </c>
      <c r="D3317" s="5">
        <v>81600</v>
      </c>
      <c r="E3317" s="5">
        <f t="shared" si="119"/>
        <v>96950</v>
      </c>
      <c r="F3317" s="5">
        <v>209850</v>
      </c>
      <c r="K3317" s="24">
        <v>2703</v>
      </c>
      <c r="L3317" s="6">
        <v>2676.5</v>
      </c>
      <c r="M3317" s="270">
        <f t="shared" si="120"/>
        <v>-26.5</v>
      </c>
      <c r="N3317" s="19"/>
      <c r="O3317" s="280"/>
      <c r="P3317" s="345">
        <v>17250</v>
      </c>
      <c r="Q3317" s="28">
        <f>169.96/1125</f>
        <v>0.15107555555555557</v>
      </c>
      <c r="U3317" s="29">
        <v>0.1</v>
      </c>
      <c r="W3317" s="741">
        <f t="shared" si="118"/>
        <v>2866.6586666666672</v>
      </c>
    </row>
    <row r="3318" spans="1:23" ht="15" customHeight="1">
      <c r="A3318" s="3">
        <v>40550</v>
      </c>
      <c r="B3318" s="4">
        <v>15475</v>
      </c>
      <c r="C3318" s="4">
        <v>15825</v>
      </c>
      <c r="D3318" s="5">
        <v>81600</v>
      </c>
      <c r="E3318" s="5">
        <f t="shared" si="119"/>
        <v>96800</v>
      </c>
      <c r="F3318" s="5">
        <v>209700</v>
      </c>
      <c r="K3318" s="24">
        <v>2660</v>
      </c>
      <c r="L3318" s="6">
        <v>2635</v>
      </c>
      <c r="M3318" s="270">
        <f t="shared" si="120"/>
        <v>-25</v>
      </c>
      <c r="N3318" s="19"/>
      <c r="O3318" s="280"/>
      <c r="P3318" s="345">
        <v>17300</v>
      </c>
      <c r="Q3318" s="118">
        <f>169.52/1123.1</f>
        <v>0.15093936425963853</v>
      </c>
      <c r="R3318" s="118"/>
      <c r="S3318" s="118"/>
      <c r="T3318" s="118"/>
      <c r="U3318" s="29">
        <v>0.1</v>
      </c>
      <c r="W3318" s="741">
        <f t="shared" si="118"/>
        <v>2872.3761018609212</v>
      </c>
    </row>
    <row r="3319" spans="1:23" ht="15" customHeight="1">
      <c r="A3319" s="3">
        <v>40553</v>
      </c>
      <c r="B3319" s="4">
        <v>16475</v>
      </c>
      <c r="C3319" s="4">
        <v>15825</v>
      </c>
      <c r="D3319" s="5">
        <v>81450</v>
      </c>
      <c r="E3319" s="5">
        <f t="shared" si="119"/>
        <v>96625</v>
      </c>
      <c r="F3319" s="5">
        <v>210375</v>
      </c>
      <c r="K3319" s="24">
        <v>2642</v>
      </c>
      <c r="L3319" s="6">
        <v>2616</v>
      </c>
      <c r="M3319" s="270">
        <f t="shared" si="120"/>
        <v>-26</v>
      </c>
      <c r="N3319" s="19"/>
      <c r="O3319" s="280"/>
      <c r="P3319" s="345">
        <v>17450</v>
      </c>
      <c r="Q3319" s="28">
        <f>169.29/1122.1</f>
        <v>0.15086890651457091</v>
      </c>
      <c r="U3319" s="29">
        <v>0.1</v>
      </c>
      <c r="W3319" s="741">
        <f t="shared" si="118"/>
        <v>2895.9286605471889</v>
      </c>
    </row>
    <row r="3320" spans="1:23" ht="15" customHeight="1">
      <c r="A3320" s="3">
        <v>40554</v>
      </c>
      <c r="B3320" s="4">
        <v>16475</v>
      </c>
      <c r="C3320" s="4">
        <v>15825</v>
      </c>
      <c r="D3320" s="5">
        <v>81275</v>
      </c>
      <c r="E3320" s="5">
        <f t="shared" si="119"/>
        <v>98100</v>
      </c>
      <c r="F3320" s="5">
        <v>211675</v>
      </c>
      <c r="K3320" s="24">
        <v>2630</v>
      </c>
      <c r="L3320" s="6">
        <v>2600.5</v>
      </c>
      <c r="M3320" s="270">
        <f t="shared" si="120"/>
        <v>-29.5</v>
      </c>
      <c r="N3320" s="19"/>
      <c r="O3320" s="280"/>
      <c r="P3320" s="345">
        <v>17450</v>
      </c>
      <c r="Q3320" s="28">
        <f>168.84/1120.6</f>
        <v>0.15066928431197574</v>
      </c>
      <c r="U3320" s="29">
        <v>0.1</v>
      </c>
      <c r="W3320" s="741">
        <f t="shared" si="118"/>
        <v>2892.0969123683744</v>
      </c>
    </row>
    <row r="3321" spans="1:23" ht="15" customHeight="1">
      <c r="A3321" s="3">
        <v>40555</v>
      </c>
      <c r="B3321" s="4">
        <v>16450</v>
      </c>
      <c r="C3321" s="4">
        <v>17350</v>
      </c>
      <c r="D3321" s="5">
        <v>81225</v>
      </c>
      <c r="E3321" s="5">
        <f t="shared" si="119"/>
        <v>96950</v>
      </c>
      <c r="F3321" s="5">
        <v>211975</v>
      </c>
      <c r="K3321" s="24">
        <v>2662</v>
      </c>
      <c r="L3321" s="6">
        <v>2639</v>
      </c>
      <c r="M3321" s="270">
        <f t="shared" si="120"/>
        <v>-23</v>
      </c>
      <c r="N3321" s="19"/>
      <c r="O3321" s="280"/>
      <c r="P3321" s="345">
        <v>17450</v>
      </c>
      <c r="Q3321" s="28">
        <f>170.14/1126.2</f>
        <v>0.15107440951873555</v>
      </c>
      <c r="U3321" s="29">
        <v>0.1</v>
      </c>
      <c r="W3321" s="741">
        <f t="shared" si="118"/>
        <v>2899.8732907121289</v>
      </c>
    </row>
    <row r="3322" spans="1:23" ht="15" customHeight="1">
      <c r="A3322" s="3">
        <v>40556</v>
      </c>
      <c r="B3322" s="4">
        <v>16450</v>
      </c>
      <c r="C3322" s="4">
        <v>17850</v>
      </c>
      <c r="D3322" s="5">
        <v>80700</v>
      </c>
      <c r="E3322" s="5">
        <f t="shared" si="119"/>
        <v>96425</v>
      </c>
      <c r="F3322" s="5">
        <v>211425</v>
      </c>
      <c r="K3322" s="24">
        <v>2699</v>
      </c>
      <c r="L3322" s="6">
        <v>2674</v>
      </c>
      <c r="M3322" s="270">
        <f t="shared" si="120"/>
        <v>-25</v>
      </c>
      <c r="N3322" s="19"/>
      <c r="O3322" s="280"/>
      <c r="P3322" s="345">
        <v>17500</v>
      </c>
      <c r="Q3322" s="28">
        <f>169.59/1120</f>
        <v>0.15141964285714285</v>
      </c>
      <c r="U3322" s="29">
        <v>0.1</v>
      </c>
      <c r="W3322" s="741">
        <f t="shared" si="118"/>
        <v>2914.8281250000005</v>
      </c>
    </row>
    <row r="3323" spans="1:23" ht="15" customHeight="1">
      <c r="A3323" s="3">
        <v>40557</v>
      </c>
      <c r="B3323" s="4">
        <v>16425</v>
      </c>
      <c r="C3323" s="4">
        <v>17850</v>
      </c>
      <c r="D3323" s="5">
        <v>80400</v>
      </c>
      <c r="E3323" s="5">
        <f t="shared" si="119"/>
        <v>96300</v>
      </c>
      <c r="F3323" s="5">
        <v>210975</v>
      </c>
      <c r="K3323" s="24">
        <v>2652</v>
      </c>
      <c r="L3323" s="6">
        <v>2635</v>
      </c>
      <c r="M3323" s="270">
        <f t="shared" si="120"/>
        <v>-17</v>
      </c>
      <c r="N3323" s="19"/>
      <c r="O3323" s="280"/>
      <c r="P3323" s="345">
        <v>17500</v>
      </c>
      <c r="Q3323" s="28">
        <f>168.44/1112.2</f>
        <v>0.15144758137025713</v>
      </c>
      <c r="U3323" s="29">
        <v>0.1</v>
      </c>
      <c r="W3323" s="741">
        <f t="shared" si="118"/>
        <v>2915.3659413774499</v>
      </c>
    </row>
    <row r="3324" spans="1:23" ht="15" customHeight="1">
      <c r="A3324" s="3">
        <v>40560</v>
      </c>
      <c r="B3324" s="4">
        <v>19900</v>
      </c>
      <c r="C3324" s="4">
        <v>17850</v>
      </c>
      <c r="D3324" s="5">
        <v>79975</v>
      </c>
      <c r="E3324" s="5">
        <f t="shared" si="119"/>
        <v>96400</v>
      </c>
      <c r="F3324" s="5">
        <v>214125</v>
      </c>
      <c r="K3324" s="24">
        <v>2720</v>
      </c>
      <c r="L3324" s="6">
        <v>2677</v>
      </c>
      <c r="M3324" s="270">
        <f t="shared" si="120"/>
        <v>-43</v>
      </c>
      <c r="N3324" s="19"/>
      <c r="O3324" s="280"/>
      <c r="P3324" s="345">
        <v>17550</v>
      </c>
      <c r="Q3324" s="28">
        <f>169.18/1114.7</f>
        <v>0.15177177715977394</v>
      </c>
      <c r="U3324" s="29">
        <v>0.1</v>
      </c>
      <c r="W3324" s="741">
        <f t="shared" si="118"/>
        <v>2929.9541580694358</v>
      </c>
    </row>
    <row r="3325" spans="1:23" ht="15" customHeight="1">
      <c r="A3325" s="3">
        <v>40561</v>
      </c>
      <c r="B3325" s="4">
        <v>31375</v>
      </c>
      <c r="C3325" s="4">
        <v>17850</v>
      </c>
      <c r="D3325" s="4">
        <v>79750</v>
      </c>
      <c r="E3325" s="4">
        <f t="shared" si="119"/>
        <v>114975</v>
      </c>
      <c r="F3325" s="4">
        <v>243950</v>
      </c>
      <c r="G3325" s="4"/>
      <c r="H3325" s="4"/>
      <c r="I3325" s="4"/>
      <c r="K3325" s="24">
        <v>2693</v>
      </c>
      <c r="L3325" s="6">
        <v>2660</v>
      </c>
      <c r="M3325" s="270">
        <f t="shared" si="120"/>
        <v>-33</v>
      </c>
      <c r="N3325" s="19"/>
      <c r="O3325" s="280"/>
      <c r="P3325" s="345">
        <v>17500</v>
      </c>
      <c r="Q3325" s="28">
        <f>169.07/1114.7</f>
        <v>0.15167309590024219</v>
      </c>
      <c r="U3325" s="29">
        <v>0.1</v>
      </c>
      <c r="W3325" s="741">
        <f t="shared" si="118"/>
        <v>2919.7070960796627</v>
      </c>
    </row>
    <row r="3326" spans="1:23" ht="15" customHeight="1">
      <c r="A3326" s="3">
        <v>40562</v>
      </c>
      <c r="B3326" s="4">
        <v>40175</v>
      </c>
      <c r="C3326" s="4">
        <v>35975</v>
      </c>
      <c r="D3326" s="5">
        <v>82875</v>
      </c>
      <c r="E3326" s="5">
        <f t="shared" si="119"/>
        <v>102900</v>
      </c>
      <c r="F3326" s="5">
        <v>261925</v>
      </c>
      <c r="K3326" s="24">
        <v>2650</v>
      </c>
      <c r="L3326" s="6">
        <v>2618</v>
      </c>
      <c r="M3326" s="270">
        <f t="shared" si="120"/>
        <v>-32</v>
      </c>
      <c r="N3326" s="19"/>
      <c r="O3326" s="280"/>
      <c r="P3326" s="345">
        <v>17500</v>
      </c>
      <c r="Q3326" s="28">
        <f>169.65/1116.8</f>
        <v>0.15190723495702008</v>
      </c>
      <c r="U3326" s="29">
        <v>0.1</v>
      </c>
      <c r="W3326" s="741">
        <f t="shared" si="118"/>
        <v>2924.2142729226366</v>
      </c>
    </row>
    <row r="3327" spans="1:23" ht="15" customHeight="1">
      <c r="A3327" s="3">
        <v>40563</v>
      </c>
      <c r="B3327" s="4">
        <v>43000</v>
      </c>
      <c r="C3327" s="4">
        <v>41525</v>
      </c>
      <c r="D3327" s="5">
        <v>82475</v>
      </c>
      <c r="E3327" s="5">
        <f t="shared" si="119"/>
        <v>97350</v>
      </c>
      <c r="F3327" s="5">
        <v>264350</v>
      </c>
      <c r="K3327" s="24">
        <v>2530</v>
      </c>
      <c r="L3327" s="6">
        <v>2481</v>
      </c>
      <c r="M3327" s="270">
        <f t="shared" si="120"/>
        <v>-49</v>
      </c>
      <c r="N3327" s="19"/>
      <c r="O3327" s="280"/>
      <c r="P3327" s="345">
        <v>17400</v>
      </c>
      <c r="Q3327" s="28">
        <f>169.01/1112.5</f>
        <v>0.1519191011235955</v>
      </c>
      <c r="U3327" s="29">
        <v>0.1</v>
      </c>
      <c r="W3327" s="741">
        <f t="shared" si="118"/>
        <v>2907.7315955056179</v>
      </c>
    </row>
    <row r="3328" spans="1:23" ht="15" customHeight="1">
      <c r="A3328" s="3">
        <v>40564</v>
      </c>
      <c r="B3328" s="4">
        <v>43000</v>
      </c>
      <c r="C3328" s="4">
        <v>41525</v>
      </c>
      <c r="D3328" s="5">
        <v>81950</v>
      </c>
      <c r="E3328" s="5">
        <f t="shared" si="119"/>
        <v>97700</v>
      </c>
      <c r="F3328" s="5">
        <v>264175</v>
      </c>
      <c r="K3328" s="24">
        <v>2550</v>
      </c>
      <c r="L3328" s="6">
        <v>2471</v>
      </c>
      <c r="M3328" s="270">
        <f t="shared" si="120"/>
        <v>-79</v>
      </c>
      <c r="N3328" s="19"/>
      <c r="O3328" s="280"/>
      <c r="P3328" s="345">
        <v>17400</v>
      </c>
      <c r="Q3328" s="28">
        <f>169.82/1118.2</f>
        <v>0.15186907529958862</v>
      </c>
      <c r="U3328" s="29">
        <v>0.1</v>
      </c>
      <c r="W3328" s="741">
        <f t="shared" si="118"/>
        <v>2906.7741012341266</v>
      </c>
    </row>
    <row r="3329" spans="1:23" ht="15" customHeight="1">
      <c r="A3329" s="3">
        <v>40567</v>
      </c>
      <c r="B3329" s="4">
        <v>43000</v>
      </c>
      <c r="C3329" s="4">
        <v>41525</v>
      </c>
      <c r="D3329" s="5">
        <v>81900</v>
      </c>
      <c r="E3329" s="5">
        <f t="shared" si="119"/>
        <v>100350</v>
      </c>
      <c r="F3329" s="5">
        <v>266775</v>
      </c>
      <c r="K3329" s="24">
        <v>2490</v>
      </c>
      <c r="L3329" s="6">
        <v>2395</v>
      </c>
      <c r="M3329" s="270">
        <f t="shared" si="120"/>
        <v>-95</v>
      </c>
      <c r="N3329" s="19"/>
      <c r="O3329" s="280"/>
      <c r="P3329" s="345">
        <v>17350</v>
      </c>
      <c r="Q3329" s="28">
        <f>170.42/1122</f>
        <v>0.15188948306595365</v>
      </c>
      <c r="U3329" s="29">
        <v>0.1</v>
      </c>
      <c r="W3329" s="741">
        <f t="shared" si="118"/>
        <v>2898.8107843137254</v>
      </c>
    </row>
    <row r="3330" spans="1:23" ht="15" customHeight="1">
      <c r="A3330" s="3">
        <v>40568</v>
      </c>
      <c r="B3330" s="4">
        <v>43000</v>
      </c>
      <c r="C3330" s="4">
        <v>43600</v>
      </c>
      <c r="D3330" s="5">
        <v>81575</v>
      </c>
      <c r="E3330" s="5">
        <f t="shared" si="119"/>
        <v>103125</v>
      </c>
      <c r="F3330" s="5">
        <v>271300</v>
      </c>
      <c r="K3330" s="24">
        <v>2535</v>
      </c>
      <c r="L3330" s="6">
        <v>2480</v>
      </c>
      <c r="M3330" s="270">
        <f t="shared" si="120"/>
        <v>-55</v>
      </c>
      <c r="N3330" s="19"/>
      <c r="O3330" s="280"/>
      <c r="P3330" s="345">
        <v>17200</v>
      </c>
      <c r="Q3330" s="28">
        <f>170.23/1120.3</f>
        <v>0.15195037043649023</v>
      </c>
      <c r="U3330" s="29">
        <v>0.1</v>
      </c>
      <c r="W3330" s="741">
        <f t="shared" si="118"/>
        <v>2874.9010086583958</v>
      </c>
    </row>
    <row r="3331" spans="1:23" ht="15" customHeight="1">
      <c r="A3331" s="3">
        <v>40569</v>
      </c>
      <c r="B3331" s="4">
        <v>42850</v>
      </c>
      <c r="C3331" s="4">
        <v>43600</v>
      </c>
      <c r="D3331" s="5">
        <v>85000</v>
      </c>
      <c r="E3331" s="5">
        <f t="shared" si="119"/>
        <v>103850</v>
      </c>
      <c r="F3331" s="5">
        <v>275300</v>
      </c>
      <c r="K3331" s="24">
        <v>2444</v>
      </c>
      <c r="L3331" s="6">
        <v>2389</v>
      </c>
      <c r="M3331" s="270">
        <f t="shared" si="120"/>
        <v>-55</v>
      </c>
      <c r="N3331" s="19"/>
      <c r="O3331" s="280"/>
      <c r="P3331" s="345">
        <v>17200</v>
      </c>
      <c r="Q3331" s="28">
        <f>169.78/1117.6</f>
        <v>0.15191481746599858</v>
      </c>
      <c r="U3331" s="29">
        <v>0.1</v>
      </c>
      <c r="W3331" s="741">
        <f t="shared" si="118"/>
        <v>2874.2283464566935</v>
      </c>
    </row>
    <row r="3332" spans="1:23" ht="15" customHeight="1">
      <c r="A3332" s="3">
        <v>40570</v>
      </c>
      <c r="B3332" s="4">
        <v>42825</v>
      </c>
      <c r="C3332" s="4">
        <v>44175</v>
      </c>
      <c r="D3332" s="5">
        <v>85275</v>
      </c>
      <c r="E3332" s="5">
        <f t="shared" si="119"/>
        <v>104650</v>
      </c>
      <c r="F3332" s="5">
        <v>276925</v>
      </c>
      <c r="K3332" s="24">
        <v>2490</v>
      </c>
      <c r="L3332" s="6">
        <v>2430</v>
      </c>
      <c r="M3332" s="270">
        <f t="shared" si="120"/>
        <v>-60</v>
      </c>
      <c r="N3332" s="19"/>
      <c r="O3332" s="280"/>
      <c r="P3332" s="345">
        <v>17100</v>
      </c>
      <c r="Q3332" s="28">
        <f>169.9/1118.2</f>
        <v>0.15194061885172599</v>
      </c>
      <c r="U3332" s="29">
        <v>0.1</v>
      </c>
      <c r="W3332" s="741">
        <f t="shared" si="118"/>
        <v>2858.003040600966</v>
      </c>
    </row>
    <row r="3333" spans="1:23" ht="15" customHeight="1">
      <c r="A3333" s="3">
        <v>40571</v>
      </c>
      <c r="B3333" s="4">
        <v>42700</v>
      </c>
      <c r="C3333" s="4">
        <v>45250</v>
      </c>
      <c r="D3333" s="5">
        <v>85825</v>
      </c>
      <c r="E3333" s="5">
        <f t="shared" si="119"/>
        <v>105250</v>
      </c>
      <c r="F3333" s="5">
        <v>279025</v>
      </c>
      <c r="K3333" s="24">
        <v>2545</v>
      </c>
      <c r="L3333" s="6">
        <v>2466</v>
      </c>
      <c r="M3333" s="270">
        <f t="shared" si="120"/>
        <v>-79</v>
      </c>
      <c r="N3333" s="19"/>
      <c r="O3333" s="280"/>
      <c r="P3333" s="345">
        <v>17100</v>
      </c>
      <c r="Q3333" s="28">
        <f>169.29/1114.3</f>
        <v>0.15192497532082921</v>
      </c>
      <c r="U3333" s="29">
        <v>0.1</v>
      </c>
      <c r="W3333" s="741">
        <f t="shared" si="118"/>
        <v>2857.7087857847978</v>
      </c>
    </row>
    <row r="3334" spans="1:23" ht="15" customHeight="1" thickBot="1">
      <c r="A3334" s="12">
        <v>40574</v>
      </c>
      <c r="B3334" s="13">
        <v>42700</v>
      </c>
      <c r="C3334" s="13">
        <v>45250</v>
      </c>
      <c r="D3334" s="14">
        <v>86650</v>
      </c>
      <c r="E3334" s="14">
        <f t="shared" si="119"/>
        <v>105325</v>
      </c>
      <c r="F3334" s="14">
        <v>279925</v>
      </c>
      <c r="G3334" s="14"/>
      <c r="H3334" s="14"/>
      <c r="I3334" s="14"/>
      <c r="J3334" s="264"/>
      <c r="K3334" s="25">
        <v>2576</v>
      </c>
      <c r="L3334" s="15">
        <v>2475.5</v>
      </c>
      <c r="M3334" s="271">
        <f t="shared" si="120"/>
        <v>-100.5</v>
      </c>
      <c r="N3334" s="164">
        <f>AVERAGE(K3315:K3334)</f>
        <v>2601.65</v>
      </c>
      <c r="O3334" s="288">
        <f>AVERAGE(K3315:K3334)</f>
        <v>2601.65</v>
      </c>
      <c r="P3334" s="346">
        <v>17100</v>
      </c>
      <c r="Q3334" s="30">
        <f>169.29/1114.3</f>
        <v>0.15192497532082921</v>
      </c>
      <c r="R3334" s="30"/>
      <c r="S3334" s="30"/>
      <c r="T3334" s="30"/>
      <c r="U3334" s="31">
        <v>0.1</v>
      </c>
      <c r="V3334" s="46">
        <f>AVERAGE(P3315:P3334)</f>
        <v>17327.5</v>
      </c>
      <c r="W3334" s="741">
        <f t="shared" si="118"/>
        <v>2857.7087857847978</v>
      </c>
    </row>
    <row r="3335" spans="1:23" ht="15" customHeight="1">
      <c r="A3335" s="3">
        <v>40575</v>
      </c>
      <c r="B3335" s="4">
        <v>43425</v>
      </c>
      <c r="C3335" s="4">
        <v>45250</v>
      </c>
      <c r="D3335" s="5">
        <v>86575</v>
      </c>
      <c r="E3335" s="5">
        <f t="shared" si="119"/>
        <v>107450</v>
      </c>
      <c r="F3335" s="5">
        <v>282700</v>
      </c>
      <c r="K3335" s="24">
        <v>2620</v>
      </c>
      <c r="L3335" s="6">
        <v>2533</v>
      </c>
      <c r="M3335" s="270">
        <f t="shared" si="120"/>
        <v>-87</v>
      </c>
      <c r="N3335" s="19"/>
      <c r="O3335" s="280"/>
      <c r="P3335" s="345">
        <v>17200</v>
      </c>
      <c r="Q3335" s="28">
        <f>169.98/1122.7</f>
        <v>0.15140286808586442</v>
      </c>
      <c r="U3335" s="29">
        <v>0.1</v>
      </c>
      <c r="W3335" s="741">
        <f t="shared" si="118"/>
        <v>2864.5422641845548</v>
      </c>
    </row>
    <row r="3336" spans="1:23" ht="15" customHeight="1">
      <c r="A3336" s="3">
        <v>40576</v>
      </c>
      <c r="B3336" s="4">
        <v>44425</v>
      </c>
      <c r="C3336" s="4">
        <v>45250</v>
      </c>
      <c r="D3336" s="5">
        <v>86475</v>
      </c>
      <c r="E3336" s="5">
        <f t="shared" si="119"/>
        <v>108700</v>
      </c>
      <c r="F3336" s="5">
        <v>284850</v>
      </c>
      <c r="K3336" s="24">
        <v>2613</v>
      </c>
      <c r="L3336" s="6">
        <v>2537</v>
      </c>
      <c r="M3336" s="270">
        <f t="shared" si="120"/>
        <v>-76</v>
      </c>
      <c r="N3336" s="19"/>
      <c r="O3336" s="280"/>
      <c r="P3336" s="383"/>
      <c r="Q3336" s="996" t="s">
        <v>122</v>
      </c>
      <c r="R3336" s="996"/>
      <c r="S3336" s="996"/>
      <c r="T3336" s="996"/>
      <c r="U3336" s="996"/>
      <c r="W3336" s="741" t="e">
        <f t="shared" si="118"/>
        <v>#VALUE!</v>
      </c>
    </row>
    <row r="3337" spans="1:23" ht="15" customHeight="1">
      <c r="A3337" s="3">
        <v>40577</v>
      </c>
      <c r="B3337" s="4">
        <v>44425</v>
      </c>
      <c r="C3337" s="4">
        <v>46175</v>
      </c>
      <c r="D3337" s="5">
        <v>87175</v>
      </c>
      <c r="E3337" s="5">
        <f t="shared" si="119"/>
        <v>111150</v>
      </c>
      <c r="F3337" s="5">
        <v>288925</v>
      </c>
      <c r="K3337" s="24">
        <v>2642</v>
      </c>
      <c r="L3337" s="6">
        <v>2580</v>
      </c>
      <c r="M3337" s="270">
        <f t="shared" si="120"/>
        <v>-62</v>
      </c>
      <c r="N3337" s="19"/>
      <c r="O3337" s="280"/>
      <c r="P3337" s="383"/>
      <c r="Q3337" s="996"/>
      <c r="R3337" s="996"/>
      <c r="S3337" s="996"/>
      <c r="T3337" s="996"/>
      <c r="U3337" s="996"/>
      <c r="W3337" s="741">
        <f t="shared" si="118"/>
        <v>0</v>
      </c>
    </row>
    <row r="3338" spans="1:23" ht="15" customHeight="1">
      <c r="A3338" s="3">
        <v>40578</v>
      </c>
      <c r="B3338" s="4">
        <v>44425</v>
      </c>
      <c r="C3338" s="4">
        <v>48800</v>
      </c>
      <c r="D3338" s="5">
        <v>87350</v>
      </c>
      <c r="E3338" s="5">
        <f t="shared" si="119"/>
        <v>108700</v>
      </c>
      <c r="F3338" s="5">
        <v>289275</v>
      </c>
      <c r="K3338" s="24">
        <v>2638</v>
      </c>
      <c r="L3338" s="6">
        <v>2573</v>
      </c>
      <c r="M3338" s="270">
        <f t="shared" si="120"/>
        <v>-65</v>
      </c>
      <c r="N3338" s="19"/>
      <c r="O3338" s="280"/>
      <c r="P3338" s="383"/>
      <c r="Q3338" s="996"/>
      <c r="R3338" s="996"/>
      <c r="S3338" s="996"/>
      <c r="T3338" s="996"/>
      <c r="U3338" s="996"/>
      <c r="W3338" s="741">
        <f t="shared" si="118"/>
        <v>0</v>
      </c>
    </row>
    <row r="3339" spans="1:23" ht="15" customHeight="1">
      <c r="A3339" s="3">
        <v>40581</v>
      </c>
      <c r="B3339" s="4">
        <v>44425</v>
      </c>
      <c r="C3339" s="4">
        <v>48800</v>
      </c>
      <c r="D3339" s="5">
        <v>87355</v>
      </c>
      <c r="E3339" s="5">
        <f t="shared" si="119"/>
        <v>108820</v>
      </c>
      <c r="F3339" s="5">
        <v>289400</v>
      </c>
      <c r="K3339" s="24">
        <v>2645</v>
      </c>
      <c r="L3339" s="6">
        <v>2585</v>
      </c>
      <c r="M3339" s="270">
        <f t="shared" si="120"/>
        <v>-60</v>
      </c>
      <c r="N3339" s="19"/>
      <c r="O3339" s="280"/>
      <c r="P3339" s="383"/>
      <c r="Q3339" s="996"/>
      <c r="R3339" s="996"/>
      <c r="S3339" s="996"/>
      <c r="T3339" s="996"/>
      <c r="U3339" s="996"/>
      <c r="W3339" s="741">
        <f t="shared" si="118"/>
        <v>0</v>
      </c>
    </row>
    <row r="3340" spans="1:23" ht="15" customHeight="1">
      <c r="A3340" s="3">
        <v>40582</v>
      </c>
      <c r="B3340" s="4">
        <v>44425</v>
      </c>
      <c r="C3340" s="4">
        <v>48800</v>
      </c>
      <c r="D3340" s="5">
        <v>87300</v>
      </c>
      <c r="E3340" s="5">
        <f t="shared" si="119"/>
        <v>111325</v>
      </c>
      <c r="F3340" s="5">
        <v>291850</v>
      </c>
      <c r="K3340" s="24">
        <v>2568</v>
      </c>
      <c r="L3340" s="6">
        <v>2527</v>
      </c>
      <c r="M3340" s="270">
        <f t="shared" si="120"/>
        <v>-41</v>
      </c>
      <c r="N3340" s="19"/>
      <c r="O3340" s="280"/>
      <c r="P3340" s="383"/>
      <c r="Q3340" s="996"/>
      <c r="R3340" s="996"/>
      <c r="S3340" s="996"/>
      <c r="T3340" s="996"/>
      <c r="U3340" s="996"/>
      <c r="W3340" s="741">
        <f t="shared" si="118"/>
        <v>0</v>
      </c>
    </row>
    <row r="3341" spans="1:23" ht="15" customHeight="1">
      <c r="A3341" s="3">
        <v>40583</v>
      </c>
      <c r="B3341" s="4">
        <v>45025</v>
      </c>
      <c r="C3341" s="4">
        <v>50000</v>
      </c>
      <c r="D3341" s="5">
        <v>87250</v>
      </c>
      <c r="E3341" s="5">
        <f t="shared" si="119"/>
        <v>110700</v>
      </c>
      <c r="F3341" s="5">
        <v>292975</v>
      </c>
      <c r="K3341" s="24">
        <v>2575</v>
      </c>
      <c r="L3341" s="6">
        <v>2545.5</v>
      </c>
      <c r="M3341" s="270">
        <f t="shared" si="120"/>
        <v>-29.5</v>
      </c>
      <c r="N3341" s="19"/>
      <c r="O3341" s="280"/>
      <c r="P3341" s="345">
        <v>17250</v>
      </c>
      <c r="Q3341" s="28">
        <f>168.49/1104.4</f>
        <v>0.15256247736327416</v>
      </c>
      <c r="U3341" s="29">
        <v>0.1</v>
      </c>
      <c r="W3341" s="741">
        <f t="shared" si="118"/>
        <v>2894.8730079681272</v>
      </c>
    </row>
    <row r="3342" spans="1:23" ht="15" customHeight="1">
      <c r="A3342" s="3">
        <v>40584</v>
      </c>
      <c r="B3342" s="4">
        <v>45025</v>
      </c>
      <c r="C3342" s="4">
        <v>50500</v>
      </c>
      <c r="D3342" s="5">
        <v>87250</v>
      </c>
      <c r="E3342" s="5">
        <f t="shared" si="119"/>
        <v>112000</v>
      </c>
      <c r="F3342" s="5">
        <v>294775</v>
      </c>
      <c r="K3342" s="24">
        <v>2505.5</v>
      </c>
      <c r="L3342" s="6">
        <v>2485</v>
      </c>
      <c r="M3342" s="270">
        <f t="shared" si="120"/>
        <v>-20.5</v>
      </c>
      <c r="N3342" s="19"/>
      <c r="O3342" s="280"/>
      <c r="P3342" s="345">
        <v>17150</v>
      </c>
      <c r="Q3342" s="28">
        <f>167.58/1104.8</f>
        <v>0.15168356263577121</v>
      </c>
      <c r="U3342" s="29">
        <v>0.1</v>
      </c>
      <c r="W3342" s="741">
        <f t="shared" si="118"/>
        <v>2861.510409123824</v>
      </c>
    </row>
    <row r="3343" spans="1:23" ht="15" customHeight="1">
      <c r="A3343" s="3">
        <v>40585</v>
      </c>
      <c r="B3343" s="4">
        <v>45025</v>
      </c>
      <c r="C3343" s="4">
        <v>51900</v>
      </c>
      <c r="D3343" s="5">
        <v>87475</v>
      </c>
      <c r="E3343" s="5">
        <f t="shared" si="119"/>
        <v>110650</v>
      </c>
      <c r="F3343" s="5">
        <v>295050</v>
      </c>
      <c r="K3343" s="24">
        <v>2525</v>
      </c>
      <c r="L3343" s="6">
        <v>2509</v>
      </c>
      <c r="M3343" s="270">
        <f t="shared" si="120"/>
        <v>-16</v>
      </c>
      <c r="N3343" s="19"/>
      <c r="O3343" s="280"/>
      <c r="P3343" s="345">
        <v>17200</v>
      </c>
      <c r="Q3343" s="28">
        <f>168.96/1112.9</f>
        <v>0.15181957049150865</v>
      </c>
      <c r="U3343" s="29">
        <v>0.1</v>
      </c>
      <c r="W3343" s="741">
        <f t="shared" si="118"/>
        <v>2872.4262736993442</v>
      </c>
    </row>
    <row r="3344" spans="1:23" ht="15" customHeight="1">
      <c r="A3344" s="3">
        <v>40588</v>
      </c>
      <c r="B3344" s="4">
        <v>44975</v>
      </c>
      <c r="C3344" s="4">
        <v>51900</v>
      </c>
      <c r="D3344" s="5">
        <v>87675</v>
      </c>
      <c r="E3344" s="5">
        <f t="shared" si="119"/>
        <v>111025</v>
      </c>
      <c r="F3344" s="5">
        <v>295575</v>
      </c>
      <c r="K3344" s="24">
        <v>2631</v>
      </c>
      <c r="L3344" s="6">
        <v>2627</v>
      </c>
      <c r="M3344" s="270">
        <f t="shared" si="120"/>
        <v>-4</v>
      </c>
      <c r="N3344" s="19"/>
      <c r="O3344" s="280"/>
      <c r="P3344" s="345">
        <v>17250</v>
      </c>
      <c r="Q3344" s="28">
        <f>170.03/1120.7</f>
        <v>0.15171767645221737</v>
      </c>
      <c r="U3344" s="29">
        <v>0.1</v>
      </c>
      <c r="W3344" s="741">
        <f t="shared" si="118"/>
        <v>2878.8429106808248</v>
      </c>
    </row>
    <row r="3345" spans="1:23" ht="15" customHeight="1">
      <c r="A3345" s="3">
        <v>40589</v>
      </c>
      <c r="B3345" s="4">
        <v>45175</v>
      </c>
      <c r="C3345" s="4">
        <v>51900</v>
      </c>
      <c r="D3345" s="5">
        <v>87850</v>
      </c>
      <c r="E3345" s="5">
        <f t="shared" si="119"/>
        <v>112575</v>
      </c>
      <c r="F3345" s="5">
        <v>297500</v>
      </c>
      <c r="K3345" s="24">
        <v>2654</v>
      </c>
      <c r="L3345" s="6">
        <v>2627</v>
      </c>
      <c r="M3345" s="270">
        <f t="shared" si="120"/>
        <v>-27</v>
      </c>
      <c r="N3345" s="19"/>
      <c r="O3345" s="280"/>
      <c r="P3345" s="345">
        <v>17300</v>
      </c>
      <c r="Q3345" s="28">
        <f>170.37/1123.9</f>
        <v>0.15158821959249041</v>
      </c>
      <c r="U3345" s="29">
        <v>0.1</v>
      </c>
      <c r="W3345" s="741">
        <f t="shared" si="118"/>
        <v>2884.7238188450929</v>
      </c>
    </row>
    <row r="3346" spans="1:23" ht="15" customHeight="1">
      <c r="A3346" s="3">
        <v>40590</v>
      </c>
      <c r="B3346" s="4">
        <v>45175</v>
      </c>
      <c r="C3346" s="4">
        <v>53575</v>
      </c>
      <c r="D3346" s="5">
        <v>87825</v>
      </c>
      <c r="E3346" s="5">
        <f t="shared" si="119"/>
        <v>110675</v>
      </c>
      <c r="F3346" s="5">
        <v>297250</v>
      </c>
      <c r="K3346" s="24">
        <v>2619</v>
      </c>
      <c r="L3346" s="6">
        <v>2619</v>
      </c>
      <c r="M3346" s="270">
        <f t="shared" si="120"/>
        <v>0</v>
      </c>
      <c r="N3346" s="19"/>
      <c r="O3346" s="280"/>
      <c r="P3346" s="345">
        <v>17250</v>
      </c>
      <c r="Q3346" s="28">
        <f>170.36/1122.5</f>
        <v>0.1517683741648107</v>
      </c>
      <c r="U3346" s="29">
        <v>0.1</v>
      </c>
      <c r="W3346" s="741">
        <f t="shared" si="118"/>
        <v>2879.804899777283</v>
      </c>
    </row>
    <row r="3347" spans="1:23" ht="15" customHeight="1">
      <c r="A3347" s="3">
        <v>40591</v>
      </c>
      <c r="B3347" s="4">
        <v>45075</v>
      </c>
      <c r="C3347" s="4">
        <v>53575</v>
      </c>
      <c r="D3347" s="5">
        <v>87725</v>
      </c>
      <c r="E3347" s="5">
        <f t="shared" si="119"/>
        <v>110825</v>
      </c>
      <c r="F3347" s="5">
        <v>297200</v>
      </c>
      <c r="K3347" s="24">
        <v>2587</v>
      </c>
      <c r="L3347" s="6">
        <v>2582</v>
      </c>
      <c r="M3347" s="270">
        <f t="shared" si="120"/>
        <v>-5</v>
      </c>
      <c r="N3347" s="19"/>
      <c r="O3347" s="280"/>
      <c r="P3347" s="345">
        <v>17250</v>
      </c>
      <c r="Q3347" s="28">
        <f>170.14/1120.7</f>
        <v>0.15181582939234406</v>
      </c>
      <c r="U3347" s="29">
        <v>0.1</v>
      </c>
      <c r="W3347" s="741">
        <f t="shared" si="118"/>
        <v>2880.7053627197288</v>
      </c>
    </row>
    <row r="3348" spans="1:23" ht="15" customHeight="1">
      <c r="A3348" s="3">
        <v>40592</v>
      </c>
      <c r="B3348" s="4">
        <v>45075</v>
      </c>
      <c r="C3348" s="4">
        <v>54075</v>
      </c>
      <c r="D3348" s="5">
        <v>87725</v>
      </c>
      <c r="E3348" s="5">
        <f t="shared" si="119"/>
        <v>110100</v>
      </c>
      <c r="F3348" s="5">
        <v>296975</v>
      </c>
      <c r="K3348" s="24">
        <v>2613</v>
      </c>
      <c r="L3348" s="6">
        <v>2619</v>
      </c>
      <c r="M3348" s="270">
        <f t="shared" si="120"/>
        <v>6</v>
      </c>
      <c r="N3348" s="19"/>
      <c r="O3348" s="280"/>
      <c r="P3348" s="345">
        <v>17250</v>
      </c>
      <c r="Q3348" s="28">
        <f>169.56/1116.2</f>
        <v>0.15190826016842859</v>
      </c>
      <c r="U3348" s="29">
        <v>0.1</v>
      </c>
      <c r="W3348" s="741">
        <f t="shared" si="118"/>
        <v>2882.4592366959328</v>
      </c>
    </row>
    <row r="3349" spans="1:23" ht="15" customHeight="1">
      <c r="A3349" s="3">
        <v>40595</v>
      </c>
      <c r="B3349" s="4">
        <v>45075</v>
      </c>
      <c r="C3349" s="4">
        <v>54075</v>
      </c>
      <c r="D3349" s="5">
        <v>87550</v>
      </c>
      <c r="E3349" s="5">
        <f t="shared" si="119"/>
        <v>110050</v>
      </c>
      <c r="F3349" s="5">
        <v>296750</v>
      </c>
      <c r="K3349" s="24">
        <v>2658</v>
      </c>
      <c r="L3349" s="6">
        <v>2665</v>
      </c>
      <c r="M3349" s="270">
        <f t="shared" si="120"/>
        <v>7</v>
      </c>
      <c r="N3349" s="19"/>
      <c r="O3349" s="280"/>
      <c r="P3349" s="345">
        <v>17350</v>
      </c>
      <c r="Q3349" s="28">
        <f>169.32/1113</f>
        <v>0.15212938005390836</v>
      </c>
      <c r="U3349" s="29">
        <v>0.1</v>
      </c>
      <c r="W3349" s="741">
        <f t="shared" si="118"/>
        <v>2903.3892183288413</v>
      </c>
    </row>
    <row r="3350" spans="1:23" ht="15" customHeight="1">
      <c r="A3350" s="3">
        <v>40596</v>
      </c>
      <c r="B3350" s="4">
        <v>44350</v>
      </c>
      <c r="C3350" s="4">
        <v>54075</v>
      </c>
      <c r="D3350" s="5">
        <v>87200</v>
      </c>
      <c r="E3350" s="5">
        <f t="shared" si="119"/>
        <v>110025</v>
      </c>
      <c r="F3350" s="5">
        <v>295650</v>
      </c>
      <c r="K3350" s="24">
        <v>2563</v>
      </c>
      <c r="L3350" s="6">
        <v>2571</v>
      </c>
      <c r="M3350" s="270">
        <f t="shared" si="120"/>
        <v>8</v>
      </c>
      <c r="N3350" s="19"/>
      <c r="O3350" s="280"/>
      <c r="P3350" s="345">
        <v>17450</v>
      </c>
      <c r="Q3350" s="28">
        <f>170/1116.4</f>
        <v>0.15227517018989609</v>
      </c>
      <c r="U3350" s="29">
        <v>0.1</v>
      </c>
      <c r="W3350" s="741">
        <f t="shared" si="118"/>
        <v>2922.9218917950557</v>
      </c>
    </row>
    <row r="3351" spans="1:23" ht="15" customHeight="1">
      <c r="A3351" s="3">
        <v>40597</v>
      </c>
      <c r="B3351" s="4">
        <v>43725</v>
      </c>
      <c r="C3351" s="4">
        <v>54075</v>
      </c>
      <c r="D3351" s="5">
        <v>87075</v>
      </c>
      <c r="E3351" s="5">
        <f t="shared" si="119"/>
        <v>109975</v>
      </c>
      <c r="F3351" s="5">
        <v>294850</v>
      </c>
      <c r="K3351" s="24">
        <v>2545</v>
      </c>
      <c r="L3351" s="6">
        <v>2548</v>
      </c>
      <c r="M3351" s="270">
        <f t="shared" si="120"/>
        <v>3</v>
      </c>
      <c r="N3351" s="19"/>
      <c r="O3351" s="280"/>
      <c r="P3351" s="345">
        <v>17450</v>
      </c>
      <c r="Q3351" s="28">
        <f>171.11/1125.9</f>
        <v>0.15197619682032151</v>
      </c>
      <c r="U3351" s="29">
        <v>0.1</v>
      </c>
      <c r="W3351" s="741">
        <f t="shared" si="118"/>
        <v>2917.1830979660713</v>
      </c>
    </row>
    <row r="3352" spans="1:23" ht="15" customHeight="1">
      <c r="A3352" s="3">
        <v>40598</v>
      </c>
      <c r="B3352" s="4">
        <v>43075</v>
      </c>
      <c r="C3352" s="4">
        <v>54075</v>
      </c>
      <c r="D3352" s="5">
        <v>86800</v>
      </c>
      <c r="E3352" s="5">
        <f t="shared" si="119"/>
        <v>110375</v>
      </c>
      <c r="F3352" s="5">
        <v>294325</v>
      </c>
      <c r="K3352" s="24">
        <v>2485</v>
      </c>
      <c r="L3352" s="6">
        <v>2480</v>
      </c>
      <c r="M3352" s="270">
        <f t="shared" si="120"/>
        <v>-5</v>
      </c>
      <c r="N3352" s="19"/>
      <c r="O3352" s="280"/>
      <c r="P3352" s="345">
        <v>17450</v>
      </c>
      <c r="Q3352" s="28">
        <f>171.24/1125.8</f>
        <v>0.15210516965713272</v>
      </c>
      <c r="U3352" s="29">
        <v>0.1</v>
      </c>
      <c r="W3352" s="741">
        <f t="shared" si="118"/>
        <v>2919.6587315686629</v>
      </c>
    </row>
    <row r="3353" spans="1:23" ht="15" customHeight="1">
      <c r="A3353" s="3">
        <v>40599</v>
      </c>
      <c r="B3353" s="4">
        <v>42800</v>
      </c>
      <c r="C3353" s="4">
        <v>54075</v>
      </c>
      <c r="D3353" s="5">
        <v>86575</v>
      </c>
      <c r="E3353" s="5">
        <f t="shared" si="119"/>
        <v>111125</v>
      </c>
      <c r="F3353" s="5">
        <v>294575</v>
      </c>
      <c r="K3353" s="24">
        <v>2512</v>
      </c>
      <c r="L3353" s="6">
        <v>2501</v>
      </c>
      <c r="M3353" s="270">
        <f t="shared" si="120"/>
        <v>-11</v>
      </c>
      <c r="N3353" s="19"/>
      <c r="O3353" s="280"/>
      <c r="P3353" s="345">
        <v>17450</v>
      </c>
      <c r="Q3353" s="28">
        <f>171.4/1126.9</f>
        <v>0.15209867778862365</v>
      </c>
      <c r="U3353" s="29">
        <v>0.1</v>
      </c>
      <c r="W3353" s="741">
        <f t="shared" si="118"/>
        <v>2919.5341201526312</v>
      </c>
    </row>
    <row r="3354" spans="1:23" ht="15" customHeight="1" thickBot="1">
      <c r="A3354" s="12">
        <v>40602</v>
      </c>
      <c r="B3354" s="13">
        <v>42800</v>
      </c>
      <c r="C3354" s="13">
        <v>54575</v>
      </c>
      <c r="D3354" s="14">
        <v>86350</v>
      </c>
      <c r="E3354" s="14">
        <f t="shared" si="119"/>
        <v>110400</v>
      </c>
      <c r="F3354" s="14">
        <v>294125</v>
      </c>
      <c r="G3354" s="14"/>
      <c r="H3354" s="14"/>
      <c r="I3354" s="14"/>
      <c r="J3354" s="264"/>
      <c r="K3354" s="25">
        <v>2535</v>
      </c>
      <c r="L3354" s="15">
        <v>2528</v>
      </c>
      <c r="M3354" s="271">
        <f t="shared" si="120"/>
        <v>-7</v>
      </c>
      <c r="N3354" s="164">
        <f>AVERAGE(K3335:K3354)</f>
        <v>2586.6750000000002</v>
      </c>
      <c r="O3354" s="288">
        <f>AVERAGE(K3315:K3355)</f>
        <v>2593.6463414634145</v>
      </c>
      <c r="P3354" s="346">
        <v>17450</v>
      </c>
      <c r="Q3354" s="30">
        <f>171.56/1127.9</f>
        <v>0.15210568312793687</v>
      </c>
      <c r="R3354" s="30"/>
      <c r="S3354" s="30"/>
      <c r="T3354" s="30"/>
      <c r="U3354" s="31">
        <v>0.1</v>
      </c>
      <c r="V3354" s="46">
        <f>AVERAGE(P3335:P3354)</f>
        <v>17313.333333333332</v>
      </c>
      <c r="W3354" s="741">
        <f t="shared" si="118"/>
        <v>2919.6685876407487</v>
      </c>
    </row>
    <row r="3355" spans="1:23" ht="15" customHeight="1">
      <c r="A3355" s="36">
        <v>40603</v>
      </c>
      <c r="B3355" s="37">
        <v>42800</v>
      </c>
      <c r="C3355" s="37">
        <v>54575</v>
      </c>
      <c r="D3355" s="38">
        <v>86175</v>
      </c>
      <c r="E3355" s="38">
        <f t="shared" si="119"/>
        <v>110300</v>
      </c>
      <c r="F3355" s="38">
        <v>293850</v>
      </c>
      <c r="G3355" s="38"/>
      <c r="H3355" s="38"/>
      <c r="I3355" s="38"/>
      <c r="J3355" s="268"/>
      <c r="K3355" s="39">
        <v>2573</v>
      </c>
      <c r="L3355" s="40">
        <v>2560</v>
      </c>
      <c r="M3355" s="270">
        <f t="shared" si="120"/>
        <v>-13</v>
      </c>
      <c r="N3355" s="21"/>
      <c r="O3355" s="283"/>
      <c r="P3355" s="348">
        <v>17500</v>
      </c>
      <c r="Q3355" s="41">
        <f>171.56/1127.9</f>
        <v>0.15210568312793687</v>
      </c>
      <c r="R3355" s="41"/>
      <c r="S3355" s="41"/>
      <c r="T3355" s="41"/>
      <c r="U3355" s="42">
        <v>0.1</v>
      </c>
      <c r="V3355" s="45"/>
      <c r="W3355" s="741">
        <f t="shared" si="118"/>
        <v>2928.0344002127854</v>
      </c>
    </row>
    <row r="3356" spans="1:23" ht="15" customHeight="1">
      <c r="A3356" s="3">
        <v>40604</v>
      </c>
      <c r="B3356" s="4">
        <v>42800</v>
      </c>
      <c r="C3356" s="4">
        <v>54575</v>
      </c>
      <c r="D3356" s="5">
        <v>86200</v>
      </c>
      <c r="E3356" s="5">
        <f t="shared" si="119"/>
        <v>109850</v>
      </c>
      <c r="F3356" s="5">
        <v>293425</v>
      </c>
      <c r="K3356" s="24">
        <v>2532</v>
      </c>
      <c r="L3356" s="6">
        <v>2525</v>
      </c>
      <c r="M3356" s="270">
        <f t="shared" si="120"/>
        <v>-7</v>
      </c>
      <c r="N3356" s="19"/>
      <c r="O3356" s="280"/>
      <c r="P3356" s="345">
        <v>17500</v>
      </c>
      <c r="Q3356" s="28">
        <f>171.8/1128.8</f>
        <v>0.15219702338766833</v>
      </c>
      <c r="U3356" s="29">
        <v>0.1</v>
      </c>
      <c r="W3356" s="741">
        <f t="shared" si="118"/>
        <v>2929.7927002126157</v>
      </c>
    </row>
    <row r="3357" spans="1:23" ht="15" customHeight="1">
      <c r="A3357" s="3">
        <v>40605</v>
      </c>
      <c r="B3357" s="4">
        <v>42450</v>
      </c>
      <c r="C3357" s="4">
        <v>54575</v>
      </c>
      <c r="D3357" s="5">
        <v>86175</v>
      </c>
      <c r="E3357" s="5">
        <f t="shared" si="119"/>
        <v>109525</v>
      </c>
      <c r="F3357" s="5">
        <v>292725</v>
      </c>
      <c r="K3357" s="24">
        <v>2611.5</v>
      </c>
      <c r="L3357" s="6">
        <v>2600</v>
      </c>
      <c r="M3357" s="270">
        <f t="shared" si="120"/>
        <v>-11.5</v>
      </c>
      <c r="N3357" s="19"/>
      <c r="O3357" s="280"/>
      <c r="P3357" s="345">
        <v>17500</v>
      </c>
      <c r="Q3357" s="28">
        <f>171.8/1128.8</f>
        <v>0.15219702338766833</v>
      </c>
      <c r="U3357" s="29">
        <v>0.1</v>
      </c>
      <c r="W3357" s="741">
        <f t="shared" si="118"/>
        <v>2929.7927002126157</v>
      </c>
    </row>
    <row r="3358" spans="1:23" ht="15" customHeight="1">
      <c r="A3358" s="3">
        <v>40606</v>
      </c>
      <c r="B3358" s="4">
        <v>42225</v>
      </c>
      <c r="C3358" s="4">
        <v>54575</v>
      </c>
      <c r="D3358" s="5">
        <v>86000</v>
      </c>
      <c r="E3358" s="5">
        <f t="shared" si="119"/>
        <v>108700</v>
      </c>
      <c r="F3358" s="5">
        <v>291500</v>
      </c>
      <c r="K3358" s="24">
        <v>2672</v>
      </c>
      <c r="L3358" s="6">
        <v>2655</v>
      </c>
      <c r="M3358" s="270">
        <f t="shared" si="120"/>
        <v>-17</v>
      </c>
      <c r="N3358" s="19"/>
      <c r="O3358" s="280"/>
      <c r="P3358" s="345">
        <v>17550</v>
      </c>
      <c r="Q3358" s="28">
        <f>170.81/1122.6</f>
        <v>0.15215570995902372</v>
      </c>
      <c r="U3358" s="29">
        <v>0.1</v>
      </c>
      <c r="W3358" s="741">
        <f t="shared" si="118"/>
        <v>2937.3659807589534</v>
      </c>
    </row>
    <row r="3359" spans="1:23" ht="15" customHeight="1">
      <c r="A3359" s="3">
        <v>40609</v>
      </c>
      <c r="B3359" s="4">
        <v>41925</v>
      </c>
      <c r="C3359" s="4">
        <v>54575</v>
      </c>
      <c r="D3359" s="5">
        <v>85675</v>
      </c>
      <c r="E3359" s="5">
        <f t="shared" si="119"/>
        <v>107925</v>
      </c>
      <c r="F3359" s="5">
        <v>290100</v>
      </c>
      <c r="K3359" s="24">
        <v>2620</v>
      </c>
      <c r="L3359" s="6">
        <v>2610</v>
      </c>
      <c r="M3359" s="270">
        <f t="shared" si="120"/>
        <v>-10</v>
      </c>
      <c r="N3359" s="19"/>
      <c r="O3359" s="280"/>
      <c r="P3359" s="345">
        <v>17550</v>
      </c>
      <c r="Q3359" s="28">
        <f>169.96/1116.2</f>
        <v>0.15226661888550438</v>
      </c>
      <c r="U3359" s="29">
        <v>0.1</v>
      </c>
      <c r="W3359" s="741">
        <f t="shared" si="118"/>
        <v>2939.5070775846625</v>
      </c>
    </row>
    <row r="3360" spans="1:23" ht="15" customHeight="1">
      <c r="A3360" s="3">
        <v>40610</v>
      </c>
      <c r="B3360" s="4">
        <v>41775</v>
      </c>
      <c r="C3360" s="4">
        <v>54575</v>
      </c>
      <c r="D3360" s="5">
        <v>85375</v>
      </c>
      <c r="E3360" s="5">
        <f t="shared" si="119"/>
        <v>107325</v>
      </c>
      <c r="F3360" s="5">
        <v>289050</v>
      </c>
      <c r="K3360" s="24">
        <v>2559</v>
      </c>
      <c r="L3360" s="6">
        <v>2537</v>
      </c>
      <c r="M3360" s="270">
        <f t="shared" si="120"/>
        <v>-22</v>
      </c>
      <c r="N3360" s="19"/>
      <c r="O3360" s="280"/>
      <c r="P3360" s="345">
        <v>17450</v>
      </c>
      <c r="Q3360" s="28">
        <f>170.5/1117.9</f>
        <v>0.15251811432149565</v>
      </c>
      <c r="U3360" s="29">
        <v>0.1</v>
      </c>
      <c r="W3360" s="741">
        <f t="shared" si="118"/>
        <v>2927.585204401109</v>
      </c>
    </row>
    <row r="3361" spans="1:23" ht="15" customHeight="1">
      <c r="A3361" s="3">
        <v>40611</v>
      </c>
      <c r="B3361" s="4">
        <v>43025</v>
      </c>
      <c r="C3361" s="4">
        <v>54575</v>
      </c>
      <c r="D3361" s="5">
        <v>85475</v>
      </c>
      <c r="E3361" s="5">
        <f t="shared" si="119"/>
        <v>106450</v>
      </c>
      <c r="F3361" s="5">
        <v>289525</v>
      </c>
      <c r="K3361" s="24">
        <v>2590</v>
      </c>
      <c r="L3361" s="6">
        <v>2575</v>
      </c>
      <c r="M3361" s="270">
        <f t="shared" si="120"/>
        <v>-15</v>
      </c>
      <c r="N3361" s="19"/>
      <c r="O3361" s="280"/>
      <c r="P3361" s="345">
        <v>17450</v>
      </c>
      <c r="Q3361" s="28">
        <f>170.11/1117.4</f>
        <v>0.15223733667442277</v>
      </c>
      <c r="U3361" s="29">
        <v>0.1</v>
      </c>
      <c r="W3361" s="741">
        <f t="shared" si="118"/>
        <v>2922.195677465545</v>
      </c>
    </row>
    <row r="3362" spans="1:23" ht="15" customHeight="1">
      <c r="A3362" s="3">
        <v>40612</v>
      </c>
      <c r="B3362" s="4">
        <v>43000</v>
      </c>
      <c r="C3362" s="4">
        <v>54575</v>
      </c>
      <c r="D3362" s="5">
        <v>85450</v>
      </c>
      <c r="E3362" s="5">
        <f t="shared" si="119"/>
        <v>106125</v>
      </c>
      <c r="F3362" s="5">
        <v>289150</v>
      </c>
      <c r="K3362" s="24">
        <v>2459.5</v>
      </c>
      <c r="L3362" s="6">
        <v>2445</v>
      </c>
      <c r="M3362" s="270">
        <f t="shared" si="120"/>
        <v>-14.5</v>
      </c>
      <c r="N3362" s="19"/>
      <c r="O3362" s="280"/>
      <c r="P3362" s="345">
        <v>17300</v>
      </c>
      <c r="Q3362" s="28">
        <f>169.99/1115.2</f>
        <v>0.15243005738880919</v>
      </c>
      <c r="U3362" s="29">
        <v>0.1</v>
      </c>
      <c r="W3362" s="741">
        <f t="shared" si="118"/>
        <v>2900.7439921090395</v>
      </c>
    </row>
    <row r="3363" spans="1:23" ht="15" customHeight="1">
      <c r="A3363" s="3">
        <v>40613</v>
      </c>
      <c r="B3363" s="4">
        <v>42900</v>
      </c>
      <c r="C3363" s="4">
        <v>54575</v>
      </c>
      <c r="D3363" s="5">
        <v>85275</v>
      </c>
      <c r="E3363" s="5">
        <f t="shared" si="119"/>
        <v>105500</v>
      </c>
      <c r="F3363" s="5">
        <v>288250</v>
      </c>
      <c r="K3363" s="24">
        <v>2428.5</v>
      </c>
      <c r="L3363" s="6">
        <v>2415</v>
      </c>
      <c r="M3363" s="270">
        <f t="shared" si="120"/>
        <v>-13.5</v>
      </c>
      <c r="N3363" s="19"/>
      <c r="O3363" s="280"/>
      <c r="P3363" s="345">
        <v>17250</v>
      </c>
      <c r="Q3363" s="28">
        <f>170.13/1118.4</f>
        <v>0.15211909871244633</v>
      </c>
      <c r="U3363" s="29">
        <v>0.1</v>
      </c>
      <c r="W3363" s="741">
        <f t="shared" si="118"/>
        <v>2886.4598980686692</v>
      </c>
    </row>
    <row r="3364" spans="1:23" ht="15" customHeight="1">
      <c r="A3364" s="3">
        <v>40616</v>
      </c>
      <c r="B3364" s="4">
        <v>42900</v>
      </c>
      <c r="C3364" s="4">
        <v>54575</v>
      </c>
      <c r="D3364" s="5">
        <v>85200</v>
      </c>
      <c r="E3364" s="5">
        <f t="shared" si="119"/>
        <v>105475</v>
      </c>
      <c r="F3364" s="5">
        <v>288150</v>
      </c>
      <c r="K3364" s="24">
        <v>2506.5</v>
      </c>
      <c r="L3364" s="6">
        <v>2490</v>
      </c>
      <c r="M3364" s="270">
        <f t="shared" si="120"/>
        <v>-16.5</v>
      </c>
      <c r="N3364" s="19"/>
      <c r="O3364" s="280"/>
      <c r="P3364" s="345">
        <v>17200</v>
      </c>
      <c r="Q3364" s="28">
        <f>171.05/1124.5</f>
        <v>0.15211204979991108</v>
      </c>
      <c r="U3364" s="29">
        <v>0.1</v>
      </c>
      <c r="W3364" s="741">
        <f t="shared" si="118"/>
        <v>2877.9599822143182</v>
      </c>
    </row>
    <row r="3365" spans="1:23" ht="15" customHeight="1">
      <c r="A3365" s="3">
        <v>40617</v>
      </c>
      <c r="B3365" s="4">
        <v>43000</v>
      </c>
      <c r="C3365" s="4">
        <v>55100</v>
      </c>
      <c r="D3365" s="5">
        <v>85875</v>
      </c>
      <c r="E3365" s="5">
        <f t="shared" si="119"/>
        <v>104825</v>
      </c>
      <c r="F3365" s="5">
        <v>288800</v>
      </c>
      <c r="K3365" s="24">
        <v>2490</v>
      </c>
      <c r="L3365" s="6">
        <v>2470</v>
      </c>
      <c r="M3365" s="270">
        <f t="shared" si="120"/>
        <v>-20</v>
      </c>
      <c r="N3365" s="19"/>
      <c r="O3365" s="280"/>
      <c r="P3365" s="345">
        <v>17250</v>
      </c>
      <c r="Q3365" s="28">
        <f>171.96/1129.8</f>
        <v>0.1522039298990972</v>
      </c>
      <c r="U3365" s="29">
        <v>0.1</v>
      </c>
      <c r="W3365" s="741">
        <f t="shared" si="118"/>
        <v>2888.0695698353693</v>
      </c>
    </row>
    <row r="3366" spans="1:23" ht="15" customHeight="1">
      <c r="A3366" s="3">
        <v>40618</v>
      </c>
      <c r="B3366" s="4">
        <v>43575</v>
      </c>
      <c r="C3366" s="4">
        <v>55600</v>
      </c>
      <c r="D3366" s="5">
        <v>85525</v>
      </c>
      <c r="E3366" s="5">
        <f t="shared" si="119"/>
        <v>105225</v>
      </c>
      <c r="F3366" s="5">
        <v>289925</v>
      </c>
      <c r="K3366" s="24">
        <v>2593</v>
      </c>
      <c r="L3366" s="6">
        <v>2578</v>
      </c>
      <c r="M3366" s="270">
        <f t="shared" si="120"/>
        <v>-15</v>
      </c>
      <c r="N3366" s="19"/>
      <c r="O3366" s="280"/>
      <c r="P3366" s="345">
        <v>17250</v>
      </c>
      <c r="Q3366" s="28">
        <f>172.13/1131.3</f>
        <v>0.15215239105453904</v>
      </c>
      <c r="U3366" s="29">
        <v>0.1</v>
      </c>
      <c r="W3366" s="741">
        <f t="shared" si="118"/>
        <v>2887.0916202598787</v>
      </c>
    </row>
    <row r="3367" spans="1:23" ht="15" customHeight="1">
      <c r="A3367" s="3">
        <v>40619</v>
      </c>
      <c r="B3367" s="4">
        <v>44000</v>
      </c>
      <c r="C3367" s="4">
        <v>55600</v>
      </c>
      <c r="D3367" s="5">
        <v>84775</v>
      </c>
      <c r="E3367" s="5">
        <f t="shared" si="119"/>
        <v>105125</v>
      </c>
      <c r="F3367" s="5">
        <v>289500</v>
      </c>
      <c r="K3367" s="24">
        <v>2690</v>
      </c>
      <c r="L3367" s="6">
        <v>2667</v>
      </c>
      <c r="M3367" s="270">
        <f t="shared" si="120"/>
        <v>-23</v>
      </c>
      <c r="N3367" s="19"/>
      <c r="O3367" s="280"/>
      <c r="P3367" s="345">
        <v>17300</v>
      </c>
      <c r="Q3367" s="28">
        <f>172.38/1132.8</f>
        <v>0.15217161016949152</v>
      </c>
      <c r="U3367" s="29">
        <v>0.1</v>
      </c>
      <c r="W3367" s="741">
        <f t="shared" si="118"/>
        <v>2895.8257415254238</v>
      </c>
    </row>
    <row r="3368" spans="1:23" ht="15" customHeight="1">
      <c r="A3368" s="3">
        <v>40620</v>
      </c>
      <c r="B3368" s="4">
        <v>44000</v>
      </c>
      <c r="C3368" s="4">
        <v>56200</v>
      </c>
      <c r="D3368" s="5">
        <v>84550</v>
      </c>
      <c r="E3368" s="5">
        <f t="shared" si="119"/>
        <v>103900</v>
      </c>
      <c r="F3368" s="5">
        <v>288650</v>
      </c>
      <c r="K3368" s="24">
        <v>2722</v>
      </c>
      <c r="L3368" s="6">
        <v>2700</v>
      </c>
      <c r="M3368" s="270">
        <f t="shared" si="120"/>
        <v>-22</v>
      </c>
      <c r="N3368" s="19"/>
      <c r="O3368" s="280"/>
      <c r="P3368" s="345">
        <v>17400</v>
      </c>
      <c r="Q3368" s="28">
        <f>173.01/1137.6</f>
        <v>0.15208333333333335</v>
      </c>
      <c r="U3368" s="29">
        <v>0.1</v>
      </c>
      <c r="W3368" s="741">
        <f t="shared" si="118"/>
        <v>2910.8750000000009</v>
      </c>
    </row>
    <row r="3369" spans="1:23" ht="15" customHeight="1">
      <c r="A3369" s="3">
        <v>40623</v>
      </c>
      <c r="B3369" s="4">
        <v>44000</v>
      </c>
      <c r="C3369" s="4">
        <v>56200</v>
      </c>
      <c r="D3369" s="5">
        <v>84150</v>
      </c>
      <c r="E3369" s="5">
        <f t="shared" si="119"/>
        <v>103300</v>
      </c>
      <c r="F3369" s="5">
        <v>287650</v>
      </c>
      <c r="K3369" s="24">
        <v>2712.5</v>
      </c>
      <c r="L3369" s="6">
        <v>2691</v>
      </c>
      <c r="M3369" s="270">
        <f t="shared" si="120"/>
        <v>-21.5</v>
      </c>
      <c r="N3369" s="19"/>
      <c r="O3369" s="280"/>
      <c r="P3369" s="345">
        <v>17500</v>
      </c>
      <c r="Q3369" s="28">
        <f>171.77/1128.3</f>
        <v>0.15223787999645486</v>
      </c>
      <c r="U3369" s="29">
        <v>0.1</v>
      </c>
      <c r="W3369" s="741">
        <f t="shared" si="118"/>
        <v>2930.5791899317564</v>
      </c>
    </row>
    <row r="3370" spans="1:23" ht="15" customHeight="1">
      <c r="A3370" s="3">
        <v>40624</v>
      </c>
      <c r="B3370" s="4">
        <v>43900</v>
      </c>
      <c r="C3370" s="4">
        <v>56200</v>
      </c>
      <c r="D3370" s="5">
        <v>83750</v>
      </c>
      <c r="E3370" s="5">
        <f t="shared" si="119"/>
        <v>103200</v>
      </c>
      <c r="F3370" s="5">
        <v>287050</v>
      </c>
      <c r="K3370" s="24">
        <v>2663</v>
      </c>
      <c r="L3370" s="6">
        <v>2638</v>
      </c>
      <c r="M3370" s="270">
        <f t="shared" si="120"/>
        <v>-25</v>
      </c>
      <c r="N3370" s="19"/>
      <c r="O3370" s="280"/>
      <c r="P3370" s="345">
        <v>17500</v>
      </c>
      <c r="Q3370" s="28">
        <f>171.5/1125.9</f>
        <v>0.15232258637534415</v>
      </c>
      <c r="U3370" s="29">
        <v>0.1</v>
      </c>
      <c r="W3370" s="741">
        <f t="shared" si="118"/>
        <v>2932.209787725375</v>
      </c>
    </row>
    <row r="3371" spans="1:23" ht="15" customHeight="1">
      <c r="A3371" s="3">
        <v>40625</v>
      </c>
      <c r="B3371" s="4">
        <v>43400</v>
      </c>
      <c r="C3371" s="4">
        <v>56675</v>
      </c>
      <c r="D3371" s="5">
        <v>83550</v>
      </c>
      <c r="E3371" s="5">
        <f t="shared" si="119"/>
        <v>103275</v>
      </c>
      <c r="F3371" s="5">
        <v>286900</v>
      </c>
      <c r="K3371" s="24">
        <v>2730</v>
      </c>
      <c r="L3371" s="6">
        <v>2705</v>
      </c>
      <c r="M3371" s="270">
        <f t="shared" si="120"/>
        <v>-25</v>
      </c>
      <c r="N3371" s="19"/>
      <c r="O3371" s="280"/>
      <c r="P3371" s="345">
        <v>17600</v>
      </c>
      <c r="Q3371" s="28">
        <f>171.19/1121.7</f>
        <v>0.15261656414371044</v>
      </c>
      <c r="U3371" s="29">
        <v>0.1</v>
      </c>
      <c r="W3371" s="741">
        <f t="shared" si="118"/>
        <v>2954.6566818222345</v>
      </c>
    </row>
    <row r="3372" spans="1:23" ht="15" customHeight="1">
      <c r="A3372" s="3">
        <v>40626</v>
      </c>
      <c r="B3372" s="4">
        <v>42950</v>
      </c>
      <c r="C3372" s="4">
        <v>57575</v>
      </c>
      <c r="D3372" s="5">
        <v>83250</v>
      </c>
      <c r="E3372" s="5">
        <f t="shared" si="119"/>
        <v>101850</v>
      </c>
      <c r="F3372" s="5">
        <v>285625</v>
      </c>
      <c r="K3372" s="24">
        <v>2730</v>
      </c>
      <c r="L3372" s="6">
        <v>2700</v>
      </c>
      <c r="M3372" s="270">
        <f t="shared" si="120"/>
        <v>-30</v>
      </c>
      <c r="N3372" s="19"/>
      <c r="O3372" s="280"/>
      <c r="P3372" s="345">
        <v>18100</v>
      </c>
      <c r="Q3372" s="28">
        <f>171.35/1123.7</f>
        <v>0.1524873186793628</v>
      </c>
      <c r="U3372" s="29">
        <v>0.1</v>
      </c>
      <c r="W3372" s="741">
        <f t="shared" si="118"/>
        <v>3036.0225149061134</v>
      </c>
    </row>
    <row r="3373" spans="1:23" ht="15" customHeight="1">
      <c r="A3373" s="3">
        <v>40627</v>
      </c>
      <c r="B3373" s="4">
        <v>42650</v>
      </c>
      <c r="C3373" s="4">
        <v>57575</v>
      </c>
      <c r="D3373" s="5">
        <v>83000</v>
      </c>
      <c r="E3373" s="5">
        <f t="shared" si="119"/>
        <v>100750</v>
      </c>
      <c r="F3373" s="5">
        <v>283975</v>
      </c>
      <c r="K3373" s="24">
        <v>2705</v>
      </c>
      <c r="L3373" s="6">
        <v>2670</v>
      </c>
      <c r="M3373" s="270">
        <f t="shared" si="120"/>
        <v>-35</v>
      </c>
      <c r="N3373" s="19"/>
      <c r="O3373" s="280"/>
      <c r="P3373" s="345">
        <v>17800</v>
      </c>
      <c r="Q3373" s="28">
        <f>171.15/1122.8</f>
        <v>0.15243142144638405</v>
      </c>
      <c r="U3373" s="29">
        <v>0.1</v>
      </c>
      <c r="W3373" s="741">
        <f t="shared" ref="W3373:W3436" si="121">(P3373*Q3373)*(1+U3373)</f>
        <v>2984.6072319201999</v>
      </c>
    </row>
    <row r="3374" spans="1:23" ht="15" customHeight="1">
      <c r="A3374" s="3">
        <v>40630</v>
      </c>
      <c r="B3374" s="4">
        <v>42650</v>
      </c>
      <c r="C3374" s="4">
        <v>57575</v>
      </c>
      <c r="D3374" s="5">
        <v>82825</v>
      </c>
      <c r="E3374" s="5">
        <f t="shared" si="119"/>
        <v>100750</v>
      </c>
      <c r="F3374" s="5">
        <v>283800</v>
      </c>
      <c r="K3374" s="24">
        <v>2679</v>
      </c>
      <c r="L3374" s="6">
        <v>2640</v>
      </c>
      <c r="M3374" s="270">
        <f t="shared" si="120"/>
        <v>-39</v>
      </c>
      <c r="N3374" s="19"/>
      <c r="O3374" s="280"/>
      <c r="P3374" s="345">
        <v>17700</v>
      </c>
      <c r="Q3374" s="28">
        <f>169.97/1114.5</f>
        <v>0.15250785105428444</v>
      </c>
      <c r="U3374" s="29">
        <v>0.1</v>
      </c>
      <c r="W3374" s="741">
        <f t="shared" si="121"/>
        <v>2969.3278600269182</v>
      </c>
    </row>
    <row r="3375" spans="1:23" ht="15" customHeight="1">
      <c r="A3375" s="3">
        <v>40631</v>
      </c>
      <c r="B3375" s="4">
        <v>42775</v>
      </c>
      <c r="C3375" s="4">
        <v>57575</v>
      </c>
      <c r="D3375" s="5">
        <v>82675</v>
      </c>
      <c r="E3375" s="5">
        <f t="shared" si="119"/>
        <v>100650</v>
      </c>
      <c r="F3375" s="5">
        <v>283675</v>
      </c>
      <c r="K3375" s="24">
        <v>2670</v>
      </c>
      <c r="L3375" s="6">
        <v>2621</v>
      </c>
      <c r="M3375" s="270">
        <f t="shared" si="120"/>
        <v>-49</v>
      </c>
      <c r="N3375" s="19"/>
      <c r="O3375" s="280"/>
      <c r="P3375" s="345">
        <v>17600</v>
      </c>
      <c r="Q3375" s="28">
        <f>169.72/1114.2</f>
        <v>0.1523245377849578</v>
      </c>
      <c r="U3375" s="29">
        <v>0.1</v>
      </c>
      <c r="W3375" s="741">
        <f t="shared" si="121"/>
        <v>2949.0030515167832</v>
      </c>
    </row>
    <row r="3376" spans="1:23" ht="15" customHeight="1">
      <c r="A3376" s="3">
        <v>40632</v>
      </c>
      <c r="B3376" s="4">
        <v>42750</v>
      </c>
      <c r="C3376" s="4">
        <v>57275</v>
      </c>
      <c r="D3376" s="5">
        <v>83025</v>
      </c>
      <c r="E3376" s="5">
        <f t="shared" si="119"/>
        <v>99375</v>
      </c>
      <c r="F3376" s="5">
        <v>282425</v>
      </c>
      <c r="K3376" s="24">
        <v>2700</v>
      </c>
      <c r="L3376" s="6">
        <v>2662</v>
      </c>
      <c r="M3376" s="270">
        <f t="shared" ref="M3376:M3392" si="122">L3376-K3376</f>
        <v>-38</v>
      </c>
      <c r="N3376" s="19"/>
      <c r="O3376" s="280"/>
      <c r="P3376" s="345">
        <v>17600</v>
      </c>
      <c r="Q3376" s="28">
        <f>169.88/1114.6</f>
        <v>0.15241342185537413</v>
      </c>
      <c r="U3376" s="29">
        <v>0.1</v>
      </c>
      <c r="W3376" s="741">
        <f t="shared" si="121"/>
        <v>2950.7238471200435</v>
      </c>
    </row>
    <row r="3377" spans="1:23" ht="15" customHeight="1" thickBot="1">
      <c r="A3377" s="12">
        <v>40633</v>
      </c>
      <c r="B3377" s="13">
        <v>42750</v>
      </c>
      <c r="C3377" s="13">
        <v>57275</v>
      </c>
      <c r="D3377" s="14">
        <v>82600</v>
      </c>
      <c r="E3377" s="14">
        <f t="shared" si="119"/>
        <v>98675</v>
      </c>
      <c r="F3377" s="14">
        <v>281300</v>
      </c>
      <c r="G3377" s="14"/>
      <c r="H3377" s="14"/>
      <c r="I3377" s="14"/>
      <c r="J3377" s="264"/>
      <c r="K3377" s="25">
        <v>2720</v>
      </c>
      <c r="L3377" s="15">
        <v>2671</v>
      </c>
      <c r="M3377" s="271">
        <f t="shared" si="122"/>
        <v>-49</v>
      </c>
      <c r="N3377" s="164">
        <f>AVERAGE(K3355:K3377)</f>
        <v>2624.195652173913</v>
      </c>
      <c r="O3377" s="288">
        <f>AVERAGE(K3315:K3377)</f>
        <v>2605.1269841269841</v>
      </c>
      <c r="P3377" s="346">
        <v>17500</v>
      </c>
      <c r="Q3377" s="30">
        <f>168.88/1107.2</f>
        <v>0.15252890173410402</v>
      </c>
      <c r="R3377" s="30"/>
      <c r="S3377" s="30"/>
      <c r="T3377" s="30"/>
      <c r="U3377" s="31">
        <v>0.1</v>
      </c>
      <c r="V3377" s="46">
        <f>AVERAGE(P3355:P3377)</f>
        <v>17493.478260869564</v>
      </c>
      <c r="W3377" s="741">
        <f t="shared" si="121"/>
        <v>2936.1813583815024</v>
      </c>
    </row>
    <row r="3378" spans="1:23" ht="15" customHeight="1">
      <c r="A3378" s="36">
        <v>40634</v>
      </c>
      <c r="B3378" s="37">
        <v>42750</v>
      </c>
      <c r="C3378" s="37">
        <v>57275</v>
      </c>
      <c r="D3378" s="38">
        <v>83050</v>
      </c>
      <c r="E3378" s="38">
        <f t="shared" si="119"/>
        <v>98425</v>
      </c>
      <c r="F3378" s="38">
        <v>281500</v>
      </c>
      <c r="G3378" s="38"/>
      <c r="H3378" s="38"/>
      <c r="I3378" s="38"/>
      <c r="J3378" s="268"/>
      <c r="K3378" s="39">
        <v>2730.5</v>
      </c>
      <c r="L3378" s="40">
        <v>2668</v>
      </c>
      <c r="M3378" s="270">
        <f t="shared" si="122"/>
        <v>-62.5</v>
      </c>
      <c r="N3378" s="21"/>
      <c r="O3378" s="283"/>
      <c r="P3378" s="348">
        <v>17500</v>
      </c>
      <c r="Q3378" s="41">
        <f>167.99/1100.1</f>
        <v>0.15270429960912646</v>
      </c>
      <c r="R3378" s="41"/>
      <c r="S3378" s="41"/>
      <c r="T3378" s="41"/>
      <c r="U3378" s="42">
        <v>0.1</v>
      </c>
      <c r="V3378" s="45"/>
      <c r="W3378" s="741">
        <f t="shared" si="121"/>
        <v>2939.5577674756846</v>
      </c>
    </row>
    <row r="3379" spans="1:23" ht="15" customHeight="1">
      <c r="A3379" s="3">
        <v>40637</v>
      </c>
      <c r="B3379" s="4">
        <v>42750</v>
      </c>
      <c r="C3379" s="4">
        <v>57275</v>
      </c>
      <c r="D3379" s="5">
        <v>82950</v>
      </c>
      <c r="E3379" s="5">
        <f t="shared" si="119"/>
        <v>98225</v>
      </c>
      <c r="F3379" s="5">
        <v>281200</v>
      </c>
      <c r="K3379" s="24">
        <v>2840</v>
      </c>
      <c r="L3379" s="6">
        <v>2767</v>
      </c>
      <c r="M3379" s="270">
        <f t="shared" si="122"/>
        <v>-73</v>
      </c>
      <c r="N3379" s="19"/>
      <c r="O3379" s="280"/>
      <c r="P3379" s="370"/>
      <c r="Q3379" s="996" t="s">
        <v>122</v>
      </c>
      <c r="R3379" s="996"/>
      <c r="S3379" s="996"/>
      <c r="T3379" s="996"/>
      <c r="U3379" s="996"/>
      <c r="W3379" s="741" t="e">
        <f t="shared" si="121"/>
        <v>#VALUE!</v>
      </c>
    </row>
    <row r="3380" spans="1:23" ht="15" customHeight="1">
      <c r="A3380" s="3">
        <v>40638</v>
      </c>
      <c r="B3380" s="4">
        <v>42750</v>
      </c>
      <c r="C3380" s="4">
        <v>57275</v>
      </c>
      <c r="D3380" s="5">
        <v>82900</v>
      </c>
      <c r="E3380" s="5">
        <f t="shared" si="119"/>
        <v>96500</v>
      </c>
      <c r="F3380" s="5">
        <v>279425</v>
      </c>
      <c r="K3380" s="24">
        <v>2778</v>
      </c>
      <c r="L3380" s="6">
        <v>2723</v>
      </c>
      <c r="M3380" s="270">
        <f t="shared" si="122"/>
        <v>-55</v>
      </c>
      <c r="N3380" s="19"/>
      <c r="O3380" s="280"/>
      <c r="P3380" s="383"/>
      <c r="Q3380" s="996"/>
      <c r="R3380" s="996"/>
      <c r="S3380" s="996"/>
      <c r="T3380" s="996"/>
      <c r="U3380" s="996"/>
      <c r="W3380" s="741">
        <f t="shared" si="121"/>
        <v>0</v>
      </c>
    </row>
    <row r="3381" spans="1:23" ht="15" customHeight="1">
      <c r="A3381" s="3">
        <v>40639</v>
      </c>
      <c r="B3381" s="4">
        <v>42850</v>
      </c>
      <c r="C3381" s="4">
        <v>57000</v>
      </c>
      <c r="D3381" s="5">
        <v>82400</v>
      </c>
      <c r="E3381" s="5">
        <f t="shared" si="119"/>
        <v>96150</v>
      </c>
      <c r="F3381" s="5">
        <v>278400</v>
      </c>
      <c r="K3381" s="24">
        <v>2815</v>
      </c>
      <c r="L3381" s="6">
        <v>2775</v>
      </c>
      <c r="M3381" s="270">
        <f t="shared" si="122"/>
        <v>-40</v>
      </c>
      <c r="N3381" s="19"/>
      <c r="O3381" s="280"/>
      <c r="P3381" s="345">
        <v>17600</v>
      </c>
      <c r="Q3381" s="28">
        <f>166.58/1089.7</f>
        <v>0.15286776176929431</v>
      </c>
      <c r="U3381" s="29">
        <v>0.1</v>
      </c>
      <c r="W3381" s="741">
        <f t="shared" si="121"/>
        <v>2959.519867853538</v>
      </c>
    </row>
    <row r="3382" spans="1:23" ht="15" customHeight="1">
      <c r="A3382" s="3">
        <v>40640</v>
      </c>
      <c r="B3382" s="4">
        <v>42950</v>
      </c>
      <c r="C3382" s="4">
        <v>57000</v>
      </c>
      <c r="D3382" s="5">
        <v>82600</v>
      </c>
      <c r="E3382" s="5">
        <f t="shared" si="119"/>
        <v>95575</v>
      </c>
      <c r="F3382" s="5">
        <v>278125</v>
      </c>
      <c r="K3382" s="24">
        <v>2878</v>
      </c>
      <c r="L3382" s="6">
        <v>2821.5</v>
      </c>
      <c r="M3382" s="270">
        <f t="shared" si="122"/>
        <v>-56.5</v>
      </c>
      <c r="N3382" s="19"/>
      <c r="O3382" s="280"/>
      <c r="P3382" s="345">
        <v>17600</v>
      </c>
      <c r="Q3382" s="28">
        <f>165.87/1085.5</f>
        <v>0.15280515891294336</v>
      </c>
      <c r="U3382" s="29">
        <v>0.1</v>
      </c>
      <c r="W3382" s="741">
        <f t="shared" si="121"/>
        <v>2958.3078765545838</v>
      </c>
    </row>
    <row r="3383" spans="1:23" ht="15" customHeight="1">
      <c r="A3383" s="3">
        <v>40641</v>
      </c>
      <c r="B3383" s="4">
        <v>42950</v>
      </c>
      <c r="C3383" s="4">
        <v>57000</v>
      </c>
      <c r="D3383" s="5">
        <v>82475</v>
      </c>
      <c r="E3383" s="5">
        <f t="shared" si="119"/>
        <v>95125</v>
      </c>
      <c r="F3383" s="5">
        <v>277550</v>
      </c>
      <c r="K3383" s="24">
        <v>2905</v>
      </c>
      <c r="L3383" s="6">
        <v>2853</v>
      </c>
      <c r="M3383" s="270">
        <f t="shared" si="122"/>
        <v>-52</v>
      </c>
      <c r="N3383" s="19"/>
      <c r="O3383" s="280"/>
      <c r="P3383" s="345">
        <v>17600</v>
      </c>
      <c r="Q3383" s="28">
        <f>166.3/1088</f>
        <v>0.15284926470588237</v>
      </c>
      <c r="U3383" s="29">
        <v>0.1</v>
      </c>
      <c r="W3383" s="741">
        <f t="shared" si="121"/>
        <v>2959.1617647058829</v>
      </c>
    </row>
    <row r="3384" spans="1:23" ht="15" customHeight="1">
      <c r="A3384" s="3">
        <v>40644</v>
      </c>
      <c r="B3384" s="4">
        <v>42850</v>
      </c>
      <c r="C3384" s="4">
        <v>57000</v>
      </c>
      <c r="D3384" s="5">
        <v>81625</v>
      </c>
      <c r="E3384" s="5">
        <f t="shared" si="119"/>
        <v>95100</v>
      </c>
      <c r="F3384" s="5">
        <v>276575</v>
      </c>
      <c r="K3384" s="24">
        <v>2939</v>
      </c>
      <c r="L3384" s="6">
        <v>2848.5</v>
      </c>
      <c r="M3384" s="270">
        <f t="shared" si="122"/>
        <v>-90.5</v>
      </c>
      <c r="N3384" s="19"/>
      <c r="O3384" s="280"/>
      <c r="P3384" s="345">
        <v>17700</v>
      </c>
      <c r="Q3384" s="28">
        <f>166.08/1085.4</f>
        <v>0.15301271420674406</v>
      </c>
      <c r="U3384" s="29">
        <v>0.1</v>
      </c>
      <c r="W3384" s="741">
        <f t="shared" si="121"/>
        <v>2979.157545605307</v>
      </c>
    </row>
    <row r="3385" spans="1:23" ht="15" customHeight="1">
      <c r="A3385" s="3">
        <v>40645</v>
      </c>
      <c r="B3385" s="4">
        <v>42850</v>
      </c>
      <c r="C3385" s="4">
        <v>57000</v>
      </c>
      <c r="D3385" s="5">
        <v>80800</v>
      </c>
      <c r="E3385" s="5">
        <f t="shared" si="119"/>
        <v>94800</v>
      </c>
      <c r="F3385" s="5">
        <v>275450</v>
      </c>
      <c r="K3385" s="24">
        <v>2880</v>
      </c>
      <c r="L3385" s="6">
        <v>2810</v>
      </c>
      <c r="M3385" s="270">
        <f t="shared" si="122"/>
        <v>-70</v>
      </c>
      <c r="N3385" s="19"/>
      <c r="O3385" s="280"/>
      <c r="P3385" s="345">
        <v>17600</v>
      </c>
      <c r="Q3385" s="28">
        <f>165.85/1084.4</f>
        <v>0.15294171892290667</v>
      </c>
      <c r="U3385" s="29">
        <v>0.1</v>
      </c>
      <c r="W3385" s="741">
        <f t="shared" si="121"/>
        <v>2960.9516783474733</v>
      </c>
    </row>
    <row r="3386" spans="1:23" ht="15" customHeight="1">
      <c r="A3386" s="3">
        <v>40646</v>
      </c>
      <c r="B3386" s="4">
        <v>43225</v>
      </c>
      <c r="C3386" s="4">
        <v>57000</v>
      </c>
      <c r="D3386" s="5">
        <v>80525</v>
      </c>
      <c r="E3386" s="5">
        <f t="shared" si="119"/>
        <v>99650</v>
      </c>
      <c r="F3386" s="5">
        <v>280400</v>
      </c>
      <c r="K3386" s="24">
        <v>2817.5</v>
      </c>
      <c r="L3386" s="6">
        <v>2755.5</v>
      </c>
      <c r="M3386" s="270">
        <f t="shared" si="122"/>
        <v>-62</v>
      </c>
      <c r="N3386" s="19"/>
      <c r="O3386" s="280"/>
      <c r="P3386" s="345">
        <v>17450</v>
      </c>
      <c r="Q3386" s="28">
        <f>166.91/1091.7</f>
        <v>0.15288998809196666</v>
      </c>
      <c r="U3386" s="29">
        <v>0.1</v>
      </c>
      <c r="W3386" s="741">
        <f t="shared" si="121"/>
        <v>2934.7233214253001</v>
      </c>
    </row>
    <row r="3387" spans="1:23" ht="15" customHeight="1">
      <c r="A3387" s="3">
        <v>40647</v>
      </c>
      <c r="B3387" s="4">
        <v>43600</v>
      </c>
      <c r="C3387" s="4">
        <v>61950</v>
      </c>
      <c r="D3387" s="5">
        <v>80250</v>
      </c>
      <c r="E3387" s="5">
        <f t="shared" si="119"/>
        <v>98050</v>
      </c>
      <c r="F3387" s="5">
        <v>283850</v>
      </c>
      <c r="K3387" s="24">
        <v>2683</v>
      </c>
      <c r="L3387" s="6">
        <v>2625.5</v>
      </c>
      <c r="M3387" s="270">
        <f t="shared" si="122"/>
        <v>-57.5</v>
      </c>
      <c r="N3387" s="19"/>
      <c r="O3387" s="280"/>
      <c r="P3387" s="345">
        <v>17400</v>
      </c>
      <c r="Q3387" s="28">
        <f>167.21/1092.5</f>
        <v>0.15305263157894738</v>
      </c>
      <c r="U3387" s="29">
        <v>0.1</v>
      </c>
      <c r="W3387" s="741">
        <f t="shared" si="121"/>
        <v>2929.427368421053</v>
      </c>
    </row>
    <row r="3388" spans="1:23" ht="15" customHeight="1">
      <c r="A3388" s="3">
        <v>40648</v>
      </c>
      <c r="B3388" s="4">
        <v>43600</v>
      </c>
      <c r="C3388" s="4">
        <v>65400</v>
      </c>
      <c r="D3388" s="5">
        <v>79850</v>
      </c>
      <c r="E3388" s="5">
        <f t="shared" si="119"/>
        <v>98225</v>
      </c>
      <c r="F3388" s="5">
        <v>287075</v>
      </c>
      <c r="K3388" s="24">
        <v>2732</v>
      </c>
      <c r="L3388" s="6">
        <v>2670</v>
      </c>
      <c r="M3388" s="270">
        <f t="shared" si="122"/>
        <v>-62</v>
      </c>
      <c r="N3388" s="19"/>
      <c r="O3388" s="280"/>
      <c r="P3388" s="345">
        <v>17400</v>
      </c>
      <c r="Q3388" s="28">
        <f>166.8/1089.4</f>
        <v>0.1531118046631173</v>
      </c>
      <c r="U3388" s="29">
        <v>0.1</v>
      </c>
      <c r="W3388" s="741">
        <f t="shared" si="121"/>
        <v>2930.5599412520655</v>
      </c>
    </row>
    <row r="3389" spans="1:23" ht="15" customHeight="1">
      <c r="A3389" s="3">
        <v>40651</v>
      </c>
      <c r="B3389" s="4">
        <v>43950</v>
      </c>
      <c r="C3389" s="4">
        <v>69100</v>
      </c>
      <c r="D3389" s="5">
        <v>79675</v>
      </c>
      <c r="E3389" s="5">
        <f t="shared" si="119"/>
        <v>99050</v>
      </c>
      <c r="F3389" s="5">
        <v>291775</v>
      </c>
      <c r="K3389" s="24">
        <v>2720</v>
      </c>
      <c r="L3389" s="6">
        <v>2640</v>
      </c>
      <c r="M3389" s="270">
        <f t="shared" si="122"/>
        <v>-80</v>
      </c>
      <c r="N3389" s="19"/>
      <c r="O3389" s="280"/>
      <c r="P3389" s="345">
        <v>17300</v>
      </c>
      <c r="Q3389" s="28">
        <f>166.57/1087.9</f>
        <v>0.15311149921867817</v>
      </c>
      <c r="U3389" s="29">
        <v>0.1</v>
      </c>
      <c r="W3389" s="741">
        <f t="shared" si="121"/>
        <v>2913.7118301314463</v>
      </c>
    </row>
    <row r="3390" spans="1:23" ht="15" customHeight="1">
      <c r="A3390" s="3">
        <v>40652</v>
      </c>
      <c r="B3390" s="4">
        <v>44200</v>
      </c>
      <c r="C3390" s="4">
        <v>73250</v>
      </c>
      <c r="D3390" s="5">
        <v>79450</v>
      </c>
      <c r="E3390" s="5">
        <f t="shared" si="119"/>
        <v>101525</v>
      </c>
      <c r="F3390" s="5">
        <v>298425</v>
      </c>
      <c r="K3390" s="24">
        <v>2598</v>
      </c>
      <c r="L3390" s="6">
        <v>2542.5</v>
      </c>
      <c r="M3390" s="270">
        <f t="shared" si="122"/>
        <v>-55.5</v>
      </c>
      <c r="N3390" s="19"/>
      <c r="O3390" s="280"/>
      <c r="P3390" s="345">
        <v>17200</v>
      </c>
      <c r="Q3390" s="28">
        <f>166.94/1089.9</f>
        <v>0.15317001559776125</v>
      </c>
      <c r="U3390" s="29">
        <v>0.1</v>
      </c>
      <c r="W3390" s="741">
        <f t="shared" si="121"/>
        <v>2897.9766951096431</v>
      </c>
    </row>
    <row r="3391" spans="1:23" ht="15" customHeight="1">
      <c r="A3391" s="3">
        <v>40653</v>
      </c>
      <c r="B3391" s="4">
        <v>44150</v>
      </c>
      <c r="C3391" s="4">
        <v>77800</v>
      </c>
      <c r="D3391" s="5">
        <v>79950</v>
      </c>
      <c r="E3391" s="5">
        <f t="shared" si="119"/>
        <v>100050</v>
      </c>
      <c r="F3391" s="5">
        <v>301950</v>
      </c>
      <c r="K3391" s="24">
        <v>2661</v>
      </c>
      <c r="L3391" s="6">
        <v>2600.5</v>
      </c>
      <c r="M3391" s="270">
        <f t="shared" si="122"/>
        <v>-60.5</v>
      </c>
      <c r="N3391" s="19"/>
      <c r="O3391" s="280"/>
      <c r="P3391" s="345">
        <v>17050</v>
      </c>
      <c r="Q3391" s="28">
        <f>167.34/1092.8</f>
        <v>0.15312957540263544</v>
      </c>
      <c r="U3391" s="29">
        <v>0.1</v>
      </c>
      <c r="W3391" s="741">
        <f t="shared" si="121"/>
        <v>2871.945186676428</v>
      </c>
    </row>
    <row r="3392" spans="1:23" ht="15" customHeight="1">
      <c r="A3392" s="3">
        <v>40654</v>
      </c>
      <c r="B3392" s="4">
        <v>43875</v>
      </c>
      <c r="C3392" s="4">
        <v>78950</v>
      </c>
      <c r="D3392" s="5">
        <v>79875</v>
      </c>
      <c r="E3392" s="5">
        <f t="shared" si="119"/>
        <v>101925</v>
      </c>
      <c r="F3392" s="5">
        <v>304625</v>
      </c>
      <c r="K3392" s="24">
        <v>2670</v>
      </c>
      <c r="L3392" s="6">
        <v>2638</v>
      </c>
      <c r="M3392" s="270">
        <f t="shared" si="122"/>
        <v>-32</v>
      </c>
      <c r="N3392" s="19"/>
      <c r="O3392" s="280"/>
      <c r="P3392" s="345">
        <v>17100</v>
      </c>
      <c r="Q3392" s="28">
        <f>166.07/1083.7</f>
        <v>0.15324351757866567</v>
      </c>
      <c r="U3392" s="29">
        <v>0.1</v>
      </c>
      <c r="W3392" s="741">
        <f t="shared" si="121"/>
        <v>2882.5105656547016</v>
      </c>
    </row>
    <row r="3393" spans="1:23" ht="15" customHeight="1">
      <c r="A3393" s="3">
        <v>40655</v>
      </c>
      <c r="C3393" s="26"/>
      <c r="D3393" s="26"/>
      <c r="E3393" s="26"/>
      <c r="F3393" s="26"/>
      <c r="G3393" s="1003" t="s">
        <v>73</v>
      </c>
      <c r="H3393" s="1003"/>
      <c r="I3393" s="1003"/>
      <c r="J3393" s="1003"/>
      <c r="K3393" s="26"/>
      <c r="L3393" s="26"/>
      <c r="M3393" s="26"/>
      <c r="N3393" s="19"/>
      <c r="O3393" s="280"/>
      <c r="P3393" s="345"/>
      <c r="Q3393" s="996" t="s">
        <v>77</v>
      </c>
      <c r="R3393" s="996"/>
      <c r="S3393" s="996"/>
      <c r="T3393" s="996"/>
      <c r="U3393" s="996"/>
      <c r="W3393" s="741" t="e">
        <f t="shared" si="121"/>
        <v>#VALUE!</v>
      </c>
    </row>
    <row r="3394" spans="1:23" ht="15" customHeight="1">
      <c r="A3394" s="3">
        <v>40658</v>
      </c>
      <c r="B3394" s="26"/>
      <c r="C3394" s="26"/>
      <c r="D3394" s="26"/>
      <c r="E3394" s="26"/>
      <c r="F3394" s="26"/>
      <c r="G3394" s="1003"/>
      <c r="H3394" s="1003"/>
      <c r="I3394" s="1003"/>
      <c r="J3394" s="1003"/>
      <c r="K3394" s="26"/>
      <c r="L3394" s="26"/>
      <c r="M3394" s="26"/>
      <c r="N3394" s="19"/>
      <c r="O3394" s="280"/>
      <c r="P3394" s="383"/>
      <c r="Q3394" s="996"/>
      <c r="R3394" s="996"/>
      <c r="S3394" s="996"/>
      <c r="T3394" s="996"/>
      <c r="U3394" s="996"/>
      <c r="W3394" s="741">
        <f t="shared" si="121"/>
        <v>0</v>
      </c>
    </row>
    <row r="3395" spans="1:23" ht="15" customHeight="1">
      <c r="A3395" s="3">
        <v>40659</v>
      </c>
      <c r="B3395" s="4">
        <v>43725</v>
      </c>
      <c r="C3395" s="4">
        <v>80025</v>
      </c>
      <c r="D3395" s="5">
        <v>79825</v>
      </c>
      <c r="E3395" s="5">
        <f>F3395-(B3395+C3395+D3395)</f>
        <v>100925</v>
      </c>
      <c r="F3395" s="5">
        <v>304500</v>
      </c>
      <c r="K3395" s="24">
        <v>2582.5</v>
      </c>
      <c r="L3395" s="6">
        <v>2538</v>
      </c>
      <c r="M3395" s="270">
        <f>L3395-K3395</f>
        <v>-44.5</v>
      </c>
      <c r="N3395" s="19"/>
      <c r="O3395" s="280"/>
      <c r="P3395" s="345">
        <v>16600</v>
      </c>
      <c r="Q3395" s="28">
        <f>165.68/1081.5</f>
        <v>0.15319463707813222</v>
      </c>
      <c r="U3395" s="29">
        <v>0.1</v>
      </c>
      <c r="W3395" s="741">
        <f t="shared" si="121"/>
        <v>2797.3340730466944</v>
      </c>
    </row>
    <row r="3396" spans="1:23" ht="15" customHeight="1">
      <c r="A3396" s="3">
        <v>40660</v>
      </c>
      <c r="B3396" s="4">
        <v>43975</v>
      </c>
      <c r="C3396" s="4">
        <v>79900</v>
      </c>
      <c r="D3396" s="5">
        <v>79825</v>
      </c>
      <c r="E3396" s="5">
        <f>F3396-(B3396+C3396+D3396)</f>
        <v>103675</v>
      </c>
      <c r="F3396" s="5">
        <v>307375</v>
      </c>
      <c r="K3396" s="24">
        <v>2580</v>
      </c>
      <c r="L3396" s="6">
        <v>2530.5</v>
      </c>
      <c r="M3396" s="270">
        <f>L3396-K3396</f>
        <v>-49.5</v>
      </c>
      <c r="N3396" s="19"/>
      <c r="O3396" s="280"/>
      <c r="P3396" s="345">
        <v>16700</v>
      </c>
      <c r="Q3396" s="28">
        <f>166.29/1085.5</f>
        <v>0.15319207738369414</v>
      </c>
      <c r="U3396" s="29">
        <v>0.1</v>
      </c>
      <c r="W3396" s="741">
        <f t="shared" si="121"/>
        <v>2814.1384615384618</v>
      </c>
    </row>
    <row r="3397" spans="1:23" ht="15" customHeight="1">
      <c r="A3397" s="3">
        <v>40661</v>
      </c>
      <c r="B3397" s="4">
        <v>44375</v>
      </c>
      <c r="C3397" s="4">
        <v>81525</v>
      </c>
      <c r="D3397" s="5">
        <v>79775</v>
      </c>
      <c r="E3397" s="5">
        <f>F3397-(B3397+C3397+D3397)</f>
        <v>102700</v>
      </c>
      <c r="F3397" s="5">
        <v>308375</v>
      </c>
      <c r="K3397" s="24">
        <v>2531</v>
      </c>
      <c r="L3397" s="6">
        <v>2513</v>
      </c>
      <c r="M3397" s="270">
        <f>L3397-K3397</f>
        <v>-18</v>
      </c>
      <c r="N3397" s="19"/>
      <c r="O3397" s="280"/>
      <c r="P3397" s="345">
        <v>16700</v>
      </c>
      <c r="Q3397" s="28">
        <f>165.84/1079.9</f>
        <v>0.15356977497916474</v>
      </c>
      <c r="U3397" s="29">
        <v>0.1</v>
      </c>
      <c r="W3397" s="741">
        <f t="shared" si="121"/>
        <v>2821.0767663672564</v>
      </c>
    </row>
    <row r="3398" spans="1:23" ht="15" customHeight="1" thickBot="1">
      <c r="A3398" s="12">
        <v>40662</v>
      </c>
      <c r="C3398" s="385"/>
      <c r="D3398" s="385"/>
      <c r="E3398" s="385"/>
      <c r="F3398" s="385"/>
      <c r="G3398" s="1045" t="s">
        <v>82</v>
      </c>
      <c r="H3398" s="1045"/>
      <c r="I3398" s="1045"/>
      <c r="J3398" s="1045"/>
      <c r="K3398" s="385"/>
      <c r="L3398" s="385"/>
      <c r="M3398" s="385"/>
      <c r="N3398" s="164">
        <f>AVERAGE(K3378:K3398)</f>
        <v>2741.1388888888887</v>
      </c>
      <c r="O3398" s="288">
        <f>AVERAGE(K3315:K3398)</f>
        <v>2635.3518518518517</v>
      </c>
      <c r="P3398" s="346">
        <v>16650</v>
      </c>
      <c r="Q3398" s="30">
        <f>164.92/1072.3</f>
        <v>0.15380024246945817</v>
      </c>
      <c r="R3398" s="30"/>
      <c r="S3398" s="30"/>
      <c r="T3398" s="30"/>
      <c r="U3398" s="31">
        <v>0.1</v>
      </c>
      <c r="V3398" s="46">
        <f>AVERAGE(P3378:P3398)</f>
        <v>17244.117647058825</v>
      </c>
      <c r="W3398" s="741">
        <f t="shared" si="121"/>
        <v>2816.8514408281267</v>
      </c>
    </row>
    <row r="3399" spans="1:23" ht="15" customHeight="1">
      <c r="A3399" s="36">
        <v>40665</v>
      </c>
      <c r="B3399" s="386"/>
      <c r="C3399" s="386"/>
      <c r="D3399" s="386"/>
      <c r="E3399" s="386"/>
      <c r="F3399" s="386"/>
      <c r="G3399" s="1033" t="s">
        <v>70</v>
      </c>
      <c r="H3399" s="1033"/>
      <c r="I3399" s="1033"/>
      <c r="J3399" s="1033"/>
      <c r="K3399" s="386"/>
      <c r="L3399" s="386"/>
      <c r="M3399" s="386"/>
      <c r="N3399" s="215"/>
      <c r="O3399" s="285"/>
      <c r="P3399" s="387"/>
      <c r="Q3399" s="1013" t="s">
        <v>122</v>
      </c>
      <c r="R3399" s="1013"/>
      <c r="S3399" s="1013"/>
      <c r="T3399" s="1013"/>
      <c r="U3399" s="1013"/>
      <c r="V3399" s="42"/>
      <c r="W3399" s="741" t="e">
        <f t="shared" si="121"/>
        <v>#VALUE!</v>
      </c>
    </row>
    <row r="3400" spans="1:23" ht="15" customHeight="1">
      <c r="A3400" s="3">
        <v>40666</v>
      </c>
      <c r="B3400" s="4">
        <v>45250</v>
      </c>
      <c r="C3400" s="4">
        <v>81525</v>
      </c>
      <c r="D3400" s="5">
        <v>79750</v>
      </c>
      <c r="E3400" s="5">
        <f t="shared" ref="E3400:E3418" si="123">F3400-(B3400+C3400+D3400)</f>
        <v>103725</v>
      </c>
      <c r="F3400" s="5">
        <v>310250</v>
      </c>
      <c r="K3400" s="24">
        <v>2545</v>
      </c>
      <c r="L3400" s="6">
        <v>2516</v>
      </c>
      <c r="M3400" s="270">
        <f t="shared" ref="M3400:M3463" si="124">L3400-K3400</f>
        <v>-29</v>
      </c>
      <c r="N3400" s="19"/>
      <c r="O3400" s="280"/>
      <c r="P3400" s="345">
        <v>16600</v>
      </c>
      <c r="Q3400" s="28">
        <f>164.31/1066.8</f>
        <v>0.15402137232845894</v>
      </c>
      <c r="U3400" s="29">
        <v>0.1</v>
      </c>
      <c r="W3400" s="741">
        <f t="shared" si="121"/>
        <v>2812.4302587176608</v>
      </c>
    </row>
    <row r="3401" spans="1:23" ht="15" customHeight="1">
      <c r="A3401" s="3">
        <v>40667</v>
      </c>
      <c r="B3401" s="4">
        <v>45475</v>
      </c>
      <c r="C3401" s="4">
        <v>81525</v>
      </c>
      <c r="D3401" s="5">
        <v>80025</v>
      </c>
      <c r="E3401" s="5">
        <f t="shared" si="123"/>
        <v>104025</v>
      </c>
      <c r="F3401" s="5">
        <v>311050</v>
      </c>
      <c r="K3401" s="24">
        <v>2519</v>
      </c>
      <c r="L3401" s="6">
        <v>2496</v>
      </c>
      <c r="M3401" s="270">
        <f t="shared" si="124"/>
        <v>-23</v>
      </c>
      <c r="N3401" s="19"/>
      <c r="O3401" s="280"/>
      <c r="P3401" s="345">
        <v>16600</v>
      </c>
      <c r="Q3401" s="28">
        <f>164.75/1070.2</f>
        <v>0.15394318818912353</v>
      </c>
      <c r="U3401" s="29">
        <v>0.1</v>
      </c>
      <c r="W3401" s="741">
        <f t="shared" si="121"/>
        <v>2811.0026163333955</v>
      </c>
    </row>
    <row r="3402" spans="1:23" ht="15" customHeight="1">
      <c r="A3402" s="3">
        <v>40668</v>
      </c>
      <c r="B3402" s="4">
        <v>45475</v>
      </c>
      <c r="C3402" s="4">
        <v>81525</v>
      </c>
      <c r="D3402" s="5">
        <v>79350</v>
      </c>
      <c r="E3402" s="5">
        <f t="shared" si="123"/>
        <v>105100</v>
      </c>
      <c r="F3402" s="5">
        <v>311450</v>
      </c>
      <c r="K3402" s="24">
        <v>2379</v>
      </c>
      <c r="L3402" s="6">
        <v>2345</v>
      </c>
      <c r="M3402" s="270">
        <f t="shared" si="124"/>
        <v>-34</v>
      </c>
      <c r="N3402" s="19"/>
      <c r="O3402" s="280"/>
      <c r="P3402" s="345">
        <v>16000</v>
      </c>
      <c r="Q3402" s="28">
        <f>164.75/1070.2</f>
        <v>0.15394318818912353</v>
      </c>
      <c r="U3402" s="29">
        <v>0.1</v>
      </c>
      <c r="W3402" s="741">
        <f t="shared" si="121"/>
        <v>2709.4001121285742</v>
      </c>
    </row>
    <row r="3403" spans="1:23" ht="15" customHeight="1">
      <c r="A3403" s="3">
        <v>40669</v>
      </c>
      <c r="B3403" s="4">
        <v>45600</v>
      </c>
      <c r="C3403" s="4">
        <v>81525</v>
      </c>
      <c r="D3403" s="5">
        <v>79225</v>
      </c>
      <c r="E3403" s="5">
        <f t="shared" si="123"/>
        <v>105100</v>
      </c>
      <c r="F3403" s="5">
        <v>311450</v>
      </c>
      <c r="K3403" s="24">
        <v>2295</v>
      </c>
      <c r="L3403" s="6">
        <v>2260</v>
      </c>
      <c r="M3403" s="270">
        <f t="shared" si="124"/>
        <v>-35</v>
      </c>
      <c r="N3403" s="19"/>
      <c r="O3403" s="280"/>
      <c r="P3403" s="345">
        <v>15900</v>
      </c>
      <c r="Q3403" s="28">
        <f>165.49/1074.6</f>
        <v>0.15400148892611207</v>
      </c>
      <c r="U3403" s="29">
        <v>0.1</v>
      </c>
      <c r="W3403" s="741">
        <f t="shared" si="121"/>
        <v>2693.4860413177003</v>
      </c>
    </row>
    <row r="3404" spans="1:23" ht="15" customHeight="1">
      <c r="A3404" s="3">
        <v>40672</v>
      </c>
      <c r="B3404" s="4">
        <v>45975</v>
      </c>
      <c r="C3404" s="4">
        <v>81525</v>
      </c>
      <c r="D3404" s="5">
        <v>79200</v>
      </c>
      <c r="E3404" s="5">
        <f t="shared" si="123"/>
        <v>105775</v>
      </c>
      <c r="F3404" s="5">
        <v>312475</v>
      </c>
      <c r="K3404" s="24">
        <v>2380</v>
      </c>
      <c r="L3404" s="6">
        <v>2331</v>
      </c>
      <c r="M3404" s="270">
        <f t="shared" si="124"/>
        <v>-49</v>
      </c>
      <c r="N3404" s="19"/>
      <c r="O3404" s="280"/>
      <c r="P3404" s="345">
        <v>16000</v>
      </c>
      <c r="Q3404" s="28">
        <f>165.49/1074.6</f>
        <v>0.15400148892611207</v>
      </c>
      <c r="U3404" s="29">
        <v>0.1</v>
      </c>
      <c r="W3404" s="741">
        <f t="shared" si="121"/>
        <v>2710.4262050995726</v>
      </c>
    </row>
    <row r="3405" spans="1:23" ht="15" customHeight="1">
      <c r="A3405" s="3">
        <v>40673</v>
      </c>
      <c r="B3405" s="4">
        <v>46100</v>
      </c>
      <c r="C3405" s="4">
        <v>82025</v>
      </c>
      <c r="D3405" s="5">
        <v>79775</v>
      </c>
      <c r="E3405" s="5">
        <f t="shared" si="123"/>
        <v>105275</v>
      </c>
      <c r="F3405" s="5">
        <v>313175</v>
      </c>
      <c r="K3405" s="24">
        <v>2380</v>
      </c>
      <c r="L3405" s="6">
        <v>2339</v>
      </c>
      <c r="M3405" s="270">
        <f t="shared" si="124"/>
        <v>-41</v>
      </c>
      <c r="N3405" s="19"/>
      <c r="O3405" s="280"/>
      <c r="P3405" s="345">
        <v>16000</v>
      </c>
      <c r="Q3405" s="28">
        <f>165.49/1074.6</f>
        <v>0.15400148892611207</v>
      </c>
      <c r="U3405" s="29">
        <v>0.1</v>
      </c>
      <c r="W3405" s="741">
        <f t="shared" si="121"/>
        <v>2710.4262050995726</v>
      </c>
    </row>
    <row r="3406" spans="1:23" ht="15" customHeight="1">
      <c r="A3406" s="3">
        <v>40674</v>
      </c>
      <c r="B3406" s="4">
        <v>45975</v>
      </c>
      <c r="C3406" s="4">
        <v>82025</v>
      </c>
      <c r="D3406" s="5">
        <v>79750</v>
      </c>
      <c r="E3406" s="5">
        <f t="shared" si="123"/>
        <v>105575</v>
      </c>
      <c r="F3406" s="5">
        <v>313325</v>
      </c>
      <c r="K3406" s="24">
        <v>2359</v>
      </c>
      <c r="L3406" s="6">
        <v>2330</v>
      </c>
      <c r="M3406" s="270">
        <f t="shared" si="124"/>
        <v>-29</v>
      </c>
      <c r="N3406" s="19"/>
      <c r="O3406" s="280"/>
      <c r="P3406" s="345">
        <v>16050</v>
      </c>
      <c r="Q3406" s="28">
        <f>166.35/1079.9</f>
        <v>0.15404204092971568</v>
      </c>
      <c r="U3406" s="29">
        <v>0.1</v>
      </c>
      <c r="W3406" s="741">
        <f t="shared" si="121"/>
        <v>2719.6122326141308</v>
      </c>
    </row>
    <row r="3407" spans="1:23" ht="15" customHeight="1">
      <c r="A3407" s="3">
        <v>40675</v>
      </c>
      <c r="B3407" s="4">
        <v>46350</v>
      </c>
      <c r="C3407" s="4">
        <v>82325</v>
      </c>
      <c r="D3407" s="5">
        <v>79650</v>
      </c>
      <c r="E3407" s="5">
        <f t="shared" si="123"/>
        <v>107500</v>
      </c>
      <c r="F3407" s="5">
        <v>315825</v>
      </c>
      <c r="K3407" s="24">
        <v>2272</v>
      </c>
      <c r="L3407" s="6">
        <v>2255</v>
      </c>
      <c r="M3407" s="270">
        <f t="shared" si="124"/>
        <v>-17</v>
      </c>
      <c r="N3407" s="19"/>
      <c r="O3407" s="280"/>
      <c r="P3407" s="345">
        <v>15750</v>
      </c>
      <c r="Q3407" s="28">
        <f>165.57/1074.9</f>
        <v>0.15403293329612056</v>
      </c>
      <c r="U3407" s="29">
        <v>0.1</v>
      </c>
      <c r="W3407" s="741">
        <f t="shared" si="121"/>
        <v>2668.6205693552893</v>
      </c>
    </row>
    <row r="3408" spans="1:23" ht="15" customHeight="1">
      <c r="A3408" s="3">
        <v>40676</v>
      </c>
      <c r="B3408" s="4">
        <v>47050</v>
      </c>
      <c r="C3408" s="4">
        <v>83800</v>
      </c>
      <c r="D3408" s="5">
        <v>79650</v>
      </c>
      <c r="E3408" s="5">
        <f t="shared" si="123"/>
        <v>106025</v>
      </c>
      <c r="F3408" s="5">
        <v>316525</v>
      </c>
      <c r="K3408" s="24">
        <v>2365</v>
      </c>
      <c r="L3408" s="6">
        <v>2351.5</v>
      </c>
      <c r="M3408" s="270">
        <f t="shared" si="124"/>
        <v>-13.5</v>
      </c>
      <c r="N3408" s="19"/>
      <c r="O3408" s="280"/>
      <c r="P3408" s="345">
        <v>15850</v>
      </c>
      <c r="Q3408" s="28">
        <f>166.6/1082.7</f>
        <v>0.15387457282719127</v>
      </c>
      <c r="U3408" s="29">
        <v>0.1</v>
      </c>
      <c r="W3408" s="741">
        <f t="shared" si="121"/>
        <v>2682.80317724208</v>
      </c>
    </row>
    <row r="3409" spans="1:23" ht="15" customHeight="1">
      <c r="A3409" s="3">
        <v>40679</v>
      </c>
      <c r="B3409" s="4">
        <v>46900</v>
      </c>
      <c r="C3409" s="4">
        <v>83800</v>
      </c>
      <c r="D3409" s="5">
        <v>79550</v>
      </c>
      <c r="E3409" s="5">
        <f t="shared" si="123"/>
        <v>106200</v>
      </c>
      <c r="F3409" s="5">
        <v>316450</v>
      </c>
      <c r="K3409" s="24">
        <v>2277</v>
      </c>
      <c r="L3409" s="6">
        <v>2270</v>
      </c>
      <c r="M3409" s="270">
        <f t="shared" si="124"/>
        <v>-7</v>
      </c>
      <c r="N3409" s="19"/>
      <c r="O3409" s="280"/>
      <c r="P3409" s="345">
        <v>15850</v>
      </c>
      <c r="Q3409" s="28">
        <f>167.57/1088.9</f>
        <v>0.15388924602810172</v>
      </c>
      <c r="U3409" s="29">
        <v>0.1</v>
      </c>
      <c r="W3409" s="741">
        <f t="shared" si="121"/>
        <v>2683.0590044999535</v>
      </c>
    </row>
    <row r="3410" spans="1:23" ht="15" customHeight="1">
      <c r="A3410" s="3">
        <v>40680</v>
      </c>
      <c r="B3410" s="4">
        <v>47125</v>
      </c>
      <c r="C3410" s="4">
        <v>84050</v>
      </c>
      <c r="D3410" s="5">
        <v>79550</v>
      </c>
      <c r="E3410" s="5">
        <f t="shared" si="123"/>
        <v>105575</v>
      </c>
      <c r="F3410" s="5">
        <v>316300</v>
      </c>
      <c r="K3410" s="24">
        <v>2309</v>
      </c>
      <c r="L3410" s="6">
        <v>2305</v>
      </c>
      <c r="M3410" s="270">
        <f t="shared" si="124"/>
        <v>-4</v>
      </c>
      <c r="N3410" s="19"/>
      <c r="O3410" s="280"/>
      <c r="P3410" s="345">
        <v>15750</v>
      </c>
      <c r="Q3410" s="28">
        <f>167.9/1092.8</f>
        <v>0.15364202049780382</v>
      </c>
      <c r="U3410" s="29">
        <v>0.1</v>
      </c>
      <c r="W3410" s="741">
        <f t="shared" si="121"/>
        <v>2661.8480051244514</v>
      </c>
    </row>
    <row r="3411" spans="1:23" ht="15" customHeight="1">
      <c r="A3411" s="3">
        <v>40681</v>
      </c>
      <c r="B3411" s="4">
        <v>47125</v>
      </c>
      <c r="C3411" s="4">
        <v>83750</v>
      </c>
      <c r="D3411" s="5">
        <v>79625</v>
      </c>
      <c r="E3411" s="5">
        <f t="shared" si="123"/>
        <v>106375</v>
      </c>
      <c r="F3411" s="5">
        <v>316875</v>
      </c>
      <c r="K3411" s="24">
        <v>2362</v>
      </c>
      <c r="L3411" s="6">
        <v>2358</v>
      </c>
      <c r="M3411" s="270">
        <f t="shared" si="124"/>
        <v>-4</v>
      </c>
      <c r="N3411" s="19"/>
      <c r="O3411" s="280"/>
      <c r="P3411" s="345">
        <v>15950</v>
      </c>
      <c r="Q3411" s="28">
        <f>167.76/1091.4</f>
        <v>0.15371083012644307</v>
      </c>
      <c r="U3411" s="29">
        <v>0.1</v>
      </c>
      <c r="W3411" s="741">
        <f t="shared" si="121"/>
        <v>2696.8565145684438</v>
      </c>
    </row>
    <row r="3412" spans="1:23" ht="15" customHeight="1">
      <c r="A3412" s="3">
        <v>40682</v>
      </c>
      <c r="B3412" s="4">
        <v>47325</v>
      </c>
      <c r="C3412" s="4">
        <v>83750</v>
      </c>
      <c r="D3412" s="5">
        <v>79625</v>
      </c>
      <c r="E3412" s="5">
        <f t="shared" si="123"/>
        <v>106175</v>
      </c>
      <c r="F3412" s="5">
        <v>316875</v>
      </c>
      <c r="K3412" s="24">
        <v>2455.5</v>
      </c>
      <c r="L3412" s="6">
        <v>2454</v>
      </c>
      <c r="M3412" s="270">
        <f t="shared" si="124"/>
        <v>-1.5</v>
      </c>
      <c r="N3412" s="19"/>
      <c r="O3412" s="280"/>
      <c r="P3412" s="345">
        <v>16300</v>
      </c>
      <c r="Q3412" s="28">
        <f>167.03/1086.7</f>
        <v>0.15370387411429096</v>
      </c>
      <c r="U3412" s="29">
        <v>0.1</v>
      </c>
      <c r="W3412" s="741">
        <f t="shared" si="121"/>
        <v>2755.9104628692371</v>
      </c>
    </row>
    <row r="3413" spans="1:23" ht="15" customHeight="1">
      <c r="A3413" s="3">
        <v>40683</v>
      </c>
      <c r="B3413" s="4">
        <v>47725</v>
      </c>
      <c r="C3413" s="4">
        <v>83700</v>
      </c>
      <c r="D3413" s="5">
        <v>79725</v>
      </c>
      <c r="E3413" s="5">
        <f t="shared" si="123"/>
        <v>106650</v>
      </c>
      <c r="F3413" s="5">
        <v>317800</v>
      </c>
      <c r="K3413" s="24">
        <v>2485</v>
      </c>
      <c r="L3413" s="6">
        <v>2476</v>
      </c>
      <c r="M3413" s="270">
        <f t="shared" si="124"/>
        <v>-9</v>
      </c>
      <c r="N3413" s="19"/>
      <c r="O3413" s="280"/>
      <c r="P3413" s="345">
        <v>16150</v>
      </c>
      <c r="Q3413" s="28">
        <f>166.75/1084.7</f>
        <v>0.15372914169816537</v>
      </c>
      <c r="U3413" s="29">
        <v>0.1</v>
      </c>
      <c r="W3413" s="741">
        <f t="shared" si="121"/>
        <v>2730.9982022679078</v>
      </c>
    </row>
    <row r="3414" spans="1:23" ht="15" customHeight="1">
      <c r="A3414" s="3">
        <v>40686</v>
      </c>
      <c r="B3414" s="4">
        <v>48150</v>
      </c>
      <c r="C3414" s="4">
        <v>84175</v>
      </c>
      <c r="D3414" s="5">
        <v>79800</v>
      </c>
      <c r="E3414" s="5">
        <f t="shared" si="123"/>
        <v>106725</v>
      </c>
      <c r="F3414" s="5">
        <v>318850</v>
      </c>
      <c r="K3414" s="24">
        <v>2421</v>
      </c>
      <c r="L3414" s="6">
        <v>2416</v>
      </c>
      <c r="M3414" s="270">
        <f t="shared" si="124"/>
        <v>-5</v>
      </c>
      <c r="N3414" s="19"/>
      <c r="O3414" s="280"/>
      <c r="P3414" s="345">
        <v>16100</v>
      </c>
      <c r="Q3414" s="28">
        <f>166.77/1082.7</f>
        <v>0.15403158769742312</v>
      </c>
      <c r="U3414" s="29">
        <v>0.1</v>
      </c>
      <c r="W3414" s="741">
        <f t="shared" si="121"/>
        <v>2727.8994181213634</v>
      </c>
    </row>
    <row r="3415" spans="1:23" ht="15" customHeight="1">
      <c r="A3415" s="3">
        <v>40687</v>
      </c>
      <c r="B3415" s="4">
        <v>48375</v>
      </c>
      <c r="C3415" s="4">
        <v>84475</v>
      </c>
      <c r="D3415" s="5">
        <v>79800</v>
      </c>
      <c r="E3415" s="5">
        <f t="shared" si="123"/>
        <v>107175</v>
      </c>
      <c r="F3415" s="5">
        <v>319825</v>
      </c>
      <c r="K3415" s="24">
        <v>2491</v>
      </c>
      <c r="L3415" s="6">
        <v>2476</v>
      </c>
      <c r="M3415" s="270">
        <f t="shared" si="124"/>
        <v>-15</v>
      </c>
      <c r="N3415" s="19"/>
      <c r="O3415" s="280"/>
      <c r="P3415" s="345">
        <v>16000</v>
      </c>
      <c r="Q3415" s="28">
        <f>167.82/1091.7</f>
        <v>0.15372355042594119</v>
      </c>
      <c r="U3415" s="29">
        <v>0.1</v>
      </c>
      <c r="W3415" s="741">
        <f t="shared" si="121"/>
        <v>2705.5344874965654</v>
      </c>
    </row>
    <row r="3416" spans="1:23" ht="15" customHeight="1">
      <c r="A3416" s="3">
        <v>40688</v>
      </c>
      <c r="B3416" s="4">
        <v>48650</v>
      </c>
      <c r="C3416" s="4">
        <v>84725</v>
      </c>
      <c r="D3416" s="5">
        <v>79850</v>
      </c>
      <c r="E3416" s="5">
        <f t="shared" si="123"/>
        <v>107425</v>
      </c>
      <c r="F3416" s="5">
        <v>320650</v>
      </c>
      <c r="K3416" s="24">
        <v>2532</v>
      </c>
      <c r="L3416" s="6">
        <v>2520</v>
      </c>
      <c r="M3416" s="270">
        <f t="shared" si="124"/>
        <v>-12</v>
      </c>
      <c r="N3416" s="19"/>
      <c r="O3416" s="280"/>
      <c r="P3416" s="345">
        <v>16100</v>
      </c>
      <c r="Q3416" s="28">
        <f>168.47/1094.8</f>
        <v>0.15388198757763977</v>
      </c>
      <c r="U3416" s="29">
        <v>0.1</v>
      </c>
      <c r="W3416" s="741">
        <f t="shared" si="121"/>
        <v>2725.2500000000009</v>
      </c>
    </row>
    <row r="3417" spans="1:23" ht="15" customHeight="1">
      <c r="A3417" s="3">
        <v>40689</v>
      </c>
      <c r="B3417" s="4">
        <v>48975</v>
      </c>
      <c r="C3417" s="4">
        <v>85225</v>
      </c>
      <c r="D3417" s="5">
        <v>79750</v>
      </c>
      <c r="E3417" s="5">
        <f t="shared" si="123"/>
        <v>106675</v>
      </c>
      <c r="F3417" s="5">
        <v>320625</v>
      </c>
      <c r="K3417" s="24">
        <v>2503</v>
      </c>
      <c r="L3417" s="6">
        <v>2489</v>
      </c>
      <c r="M3417" s="270">
        <f t="shared" si="124"/>
        <v>-14</v>
      </c>
      <c r="N3417" s="19"/>
      <c r="O3417" s="280"/>
      <c r="P3417" s="345">
        <v>16300</v>
      </c>
      <c r="Q3417" s="28">
        <f>168.82/1096.3</f>
        <v>0.15399069597737847</v>
      </c>
      <c r="U3417" s="29">
        <v>0.1</v>
      </c>
      <c r="W3417" s="741">
        <f t="shared" si="121"/>
        <v>2761.0531788743961</v>
      </c>
    </row>
    <row r="3418" spans="1:23" ht="15" customHeight="1">
      <c r="A3418" s="3">
        <v>40690</v>
      </c>
      <c r="B3418" s="4">
        <v>49225</v>
      </c>
      <c r="C3418" s="4">
        <v>85175</v>
      </c>
      <c r="D3418" s="5">
        <v>79900</v>
      </c>
      <c r="E3418" s="5">
        <f t="shared" si="123"/>
        <v>107750</v>
      </c>
      <c r="F3418" s="5">
        <v>322050</v>
      </c>
      <c r="K3418" s="24">
        <v>2545</v>
      </c>
      <c r="L3418" s="6">
        <v>2525</v>
      </c>
      <c r="M3418" s="270">
        <f t="shared" si="124"/>
        <v>-20</v>
      </c>
      <c r="N3418" s="19"/>
      <c r="O3418" s="280"/>
      <c r="P3418" s="345">
        <v>16300</v>
      </c>
      <c r="Q3418" s="28">
        <f>168.01/1090.5</f>
        <v>0.15406694176983035</v>
      </c>
      <c r="U3418" s="29">
        <v>0.1</v>
      </c>
      <c r="W3418" s="741">
        <f t="shared" si="121"/>
        <v>2762.4202659330585</v>
      </c>
    </row>
    <row r="3419" spans="1:23" ht="15" customHeight="1">
      <c r="A3419" s="3">
        <v>40693</v>
      </c>
      <c r="B3419" s="26"/>
      <c r="C3419" s="26"/>
      <c r="D3419" s="26"/>
      <c r="E3419" s="26"/>
      <c r="F3419" s="26"/>
      <c r="G3419" s="1003" t="s">
        <v>70</v>
      </c>
      <c r="H3419" s="1003"/>
      <c r="I3419" s="1003"/>
      <c r="J3419" s="1003"/>
      <c r="K3419" s="26"/>
      <c r="L3419" s="26"/>
      <c r="M3419" s="26"/>
      <c r="N3419" s="19"/>
      <c r="O3419" s="280"/>
      <c r="P3419" s="345">
        <v>16300</v>
      </c>
      <c r="Q3419" s="28">
        <f>166.75/1082.2</f>
        <v>0.15408427277767511</v>
      </c>
      <c r="U3419" s="29">
        <v>0.1</v>
      </c>
      <c r="W3419" s="741">
        <f t="shared" si="121"/>
        <v>2762.7310109037148</v>
      </c>
    </row>
    <row r="3420" spans="1:23" ht="15" customHeight="1" thickBot="1">
      <c r="A3420" s="12">
        <v>40694</v>
      </c>
      <c r="B3420" s="13">
        <v>49125</v>
      </c>
      <c r="C3420" s="13">
        <v>85175</v>
      </c>
      <c r="D3420" s="14">
        <v>79975</v>
      </c>
      <c r="E3420" s="14">
        <f t="shared" ref="E3420:E3457" si="125">F3420-(B3420+C3420+D3420)</f>
        <v>107925</v>
      </c>
      <c r="F3420" s="14">
        <v>322200</v>
      </c>
      <c r="G3420" s="14"/>
      <c r="H3420" s="14"/>
      <c r="I3420" s="14"/>
      <c r="J3420" s="264"/>
      <c r="K3420" s="25">
        <v>2533</v>
      </c>
      <c r="L3420" s="15">
        <v>2515</v>
      </c>
      <c r="M3420" s="271">
        <f t="shared" si="124"/>
        <v>-18</v>
      </c>
      <c r="N3420" s="164">
        <f>AVERAGE(K3400:K3420)</f>
        <v>2420.375</v>
      </c>
      <c r="O3420" s="288">
        <f>AVERAGE(K3315:K3420)</f>
        <v>2592.7821782178216</v>
      </c>
      <c r="P3420" s="346">
        <v>16300</v>
      </c>
      <c r="Q3420" s="30">
        <f>166.68/1080.6</f>
        <v>0.15424764019988896</v>
      </c>
      <c r="R3420" s="30"/>
      <c r="S3420" s="30"/>
      <c r="T3420" s="30"/>
      <c r="U3420" s="31">
        <v>0.1</v>
      </c>
      <c r="V3420" s="46">
        <f>AVERAGE(P3399:P3420)</f>
        <v>16102.380952380952</v>
      </c>
      <c r="W3420" s="741">
        <f t="shared" si="121"/>
        <v>2765.6601887840093</v>
      </c>
    </row>
    <row r="3421" spans="1:23" ht="15" customHeight="1">
      <c r="A3421" s="36">
        <v>40695</v>
      </c>
      <c r="B3421" s="37">
        <v>50325</v>
      </c>
      <c r="C3421" s="37">
        <v>85050</v>
      </c>
      <c r="D3421" s="38">
        <v>79950</v>
      </c>
      <c r="E3421" s="38">
        <f t="shared" si="125"/>
        <v>107975</v>
      </c>
      <c r="F3421" s="38">
        <v>323300</v>
      </c>
      <c r="G3421" s="38"/>
      <c r="H3421" s="38"/>
      <c r="I3421" s="38"/>
      <c r="J3421" s="268"/>
      <c r="K3421" s="39">
        <v>2513</v>
      </c>
      <c r="L3421" s="40">
        <v>2507</v>
      </c>
      <c r="M3421" s="270">
        <f t="shared" si="124"/>
        <v>-6</v>
      </c>
      <c r="N3421" s="21"/>
      <c r="O3421" s="283"/>
      <c r="P3421" s="348">
        <v>16200</v>
      </c>
      <c r="Q3421" s="41">
        <f>166.2/1076.9</f>
        <v>0.1543318785402544</v>
      </c>
      <c r="R3421" s="41"/>
      <c r="S3421" s="41"/>
      <c r="T3421" s="41"/>
      <c r="U3421" s="42">
        <v>0.1</v>
      </c>
      <c r="V3421" s="45"/>
      <c r="W3421" s="741">
        <f t="shared" si="121"/>
        <v>2750.1940755873338</v>
      </c>
    </row>
    <row r="3422" spans="1:23" ht="15" customHeight="1">
      <c r="A3422" s="3">
        <v>40696</v>
      </c>
      <c r="B3422" s="4">
        <v>50450</v>
      </c>
      <c r="C3422" s="4">
        <v>85050</v>
      </c>
      <c r="D3422" s="5">
        <v>79950</v>
      </c>
      <c r="E3422" s="5">
        <f t="shared" si="125"/>
        <v>107925</v>
      </c>
      <c r="F3422" s="5">
        <v>323375</v>
      </c>
      <c r="K3422" s="24">
        <v>2485</v>
      </c>
      <c r="L3422" s="6">
        <v>2477</v>
      </c>
      <c r="M3422" s="270">
        <f t="shared" si="124"/>
        <v>-8</v>
      </c>
      <c r="N3422" s="19"/>
      <c r="O3422" s="280"/>
      <c r="P3422" s="345">
        <v>16100</v>
      </c>
      <c r="Q3422" s="28">
        <f>166.14/1076.4</f>
        <v>0.15434782608695649</v>
      </c>
      <c r="U3422" s="29">
        <v>0.1</v>
      </c>
      <c r="W3422" s="741">
        <f t="shared" si="121"/>
        <v>2733.4999999999995</v>
      </c>
    </row>
    <row r="3423" spans="1:23" ht="15" customHeight="1">
      <c r="A3423" s="3">
        <v>40697</v>
      </c>
      <c r="B3423" s="4">
        <v>50225</v>
      </c>
      <c r="C3423" s="4">
        <v>85050</v>
      </c>
      <c r="D3423" s="5">
        <v>80300</v>
      </c>
      <c r="E3423" s="5">
        <f t="shared" si="125"/>
        <v>108250</v>
      </c>
      <c r="F3423" s="5">
        <v>323825</v>
      </c>
      <c r="K3423" s="24">
        <v>2426</v>
      </c>
      <c r="L3423" s="6">
        <v>2425</v>
      </c>
      <c r="M3423" s="270">
        <f t="shared" si="124"/>
        <v>-1</v>
      </c>
      <c r="N3423" s="19"/>
      <c r="O3423" s="280"/>
      <c r="P3423" s="345">
        <v>16100</v>
      </c>
      <c r="Q3423" s="28">
        <f>166.64/1080.4</f>
        <v>0.15423917067752682</v>
      </c>
      <c r="U3423" s="29">
        <v>0.1</v>
      </c>
      <c r="W3423" s="741">
        <f t="shared" si="121"/>
        <v>2731.5757126990002</v>
      </c>
    </row>
    <row r="3424" spans="1:23" ht="15" customHeight="1">
      <c r="A3424" s="3">
        <v>40700</v>
      </c>
      <c r="B3424" s="4">
        <v>49475</v>
      </c>
      <c r="C3424" s="4">
        <v>85375</v>
      </c>
      <c r="D3424" s="5">
        <v>80275</v>
      </c>
      <c r="E3424" s="5">
        <f t="shared" si="125"/>
        <v>107925</v>
      </c>
      <c r="F3424" s="5">
        <v>323050</v>
      </c>
      <c r="K3424" s="24">
        <v>2471</v>
      </c>
      <c r="L3424" s="6">
        <v>2471</v>
      </c>
      <c r="M3424" s="270">
        <f t="shared" si="124"/>
        <v>0</v>
      </c>
      <c r="N3424" s="19"/>
      <c r="O3424" s="280"/>
      <c r="P3424" s="383"/>
      <c r="Q3424" s="996" t="s">
        <v>122</v>
      </c>
      <c r="R3424" s="996"/>
      <c r="S3424" s="996"/>
      <c r="T3424" s="996"/>
      <c r="U3424" s="996"/>
    </row>
    <row r="3425" spans="1:23" ht="15" customHeight="1">
      <c r="A3425" s="3">
        <v>40701</v>
      </c>
      <c r="B3425" s="4">
        <v>49600</v>
      </c>
      <c r="C3425" s="4">
        <v>85375</v>
      </c>
      <c r="D3425" s="5">
        <v>80750</v>
      </c>
      <c r="E3425" s="5">
        <f t="shared" si="125"/>
        <v>107675</v>
      </c>
      <c r="F3425" s="5">
        <v>323400</v>
      </c>
      <c r="K3425" s="24">
        <v>2510</v>
      </c>
      <c r="L3425" s="6">
        <v>2506</v>
      </c>
      <c r="M3425" s="270">
        <f t="shared" si="124"/>
        <v>-4</v>
      </c>
      <c r="N3425" s="19"/>
      <c r="O3425" s="280"/>
      <c r="P3425" s="345">
        <v>16200</v>
      </c>
      <c r="Q3425" s="28">
        <f>166.3/1077.5</f>
        <v>0.154338747099768</v>
      </c>
      <c r="U3425" s="29">
        <v>0.1</v>
      </c>
      <c r="W3425" s="741">
        <f t="shared" si="121"/>
        <v>2750.316473317866</v>
      </c>
    </row>
    <row r="3426" spans="1:23" ht="15" customHeight="1">
      <c r="A3426" s="3">
        <v>40702</v>
      </c>
      <c r="B3426" s="4">
        <v>49575</v>
      </c>
      <c r="C3426" s="4">
        <v>85125</v>
      </c>
      <c r="D3426" s="5">
        <v>80750</v>
      </c>
      <c r="E3426" s="5">
        <f t="shared" si="125"/>
        <v>107800</v>
      </c>
      <c r="F3426" s="5">
        <v>323250</v>
      </c>
      <c r="K3426" s="24">
        <v>2520.5</v>
      </c>
      <c r="L3426" s="6">
        <v>2522</v>
      </c>
      <c r="M3426" s="270">
        <f t="shared" si="124"/>
        <v>1.5</v>
      </c>
      <c r="N3426" s="19"/>
      <c r="O3426" s="280"/>
      <c r="P3426" s="345">
        <v>16200</v>
      </c>
      <c r="Q3426" s="28">
        <f>166.71/1080.6</f>
        <v>0.1542754025541366</v>
      </c>
      <c r="U3426" s="29">
        <v>0.1</v>
      </c>
      <c r="W3426" s="741">
        <f t="shared" si="121"/>
        <v>2749.1876735147148</v>
      </c>
    </row>
    <row r="3427" spans="1:23" ht="15" customHeight="1">
      <c r="A3427" s="3">
        <v>40703</v>
      </c>
      <c r="B3427" s="4">
        <v>49400</v>
      </c>
      <c r="C3427" s="4">
        <v>85125</v>
      </c>
      <c r="D3427" s="5">
        <v>80750</v>
      </c>
      <c r="E3427" s="5">
        <f t="shared" si="125"/>
        <v>107950</v>
      </c>
      <c r="F3427" s="5">
        <v>323225</v>
      </c>
      <c r="K3427" s="24">
        <v>2571</v>
      </c>
      <c r="L3427" s="6">
        <v>2578</v>
      </c>
      <c r="M3427" s="270">
        <f t="shared" si="124"/>
        <v>7</v>
      </c>
      <c r="N3427" s="19"/>
      <c r="O3427" s="280"/>
      <c r="P3427" s="345">
        <v>16200</v>
      </c>
      <c r="Q3427" s="28">
        <f>167.01/1081.5</f>
        <v>0.15442441054091538</v>
      </c>
      <c r="U3427" s="29">
        <v>0.1</v>
      </c>
      <c r="W3427" s="741">
        <f t="shared" si="121"/>
        <v>2751.8429958391125</v>
      </c>
    </row>
    <row r="3428" spans="1:23" ht="15" customHeight="1">
      <c r="A3428" s="3">
        <v>40704</v>
      </c>
      <c r="B3428" s="4">
        <v>48850</v>
      </c>
      <c r="C3428" s="4">
        <v>85300</v>
      </c>
      <c r="D3428" s="5">
        <v>80725</v>
      </c>
      <c r="E3428" s="5">
        <f t="shared" si="125"/>
        <v>107325</v>
      </c>
      <c r="F3428" s="5">
        <v>322200</v>
      </c>
      <c r="K3428" s="24">
        <v>2577.5</v>
      </c>
      <c r="L3428" s="6">
        <v>2580.5</v>
      </c>
      <c r="M3428" s="270">
        <f t="shared" si="124"/>
        <v>3</v>
      </c>
      <c r="N3428" s="19"/>
      <c r="O3428" s="280"/>
      <c r="P3428" s="345">
        <v>16200</v>
      </c>
      <c r="Q3428" s="28">
        <f>167.22/1083.1</f>
        <v>0.15439017634567445</v>
      </c>
      <c r="U3428" s="29">
        <v>0.1</v>
      </c>
      <c r="W3428" s="741">
        <f t="shared" si="121"/>
        <v>2751.2329424799191</v>
      </c>
    </row>
    <row r="3429" spans="1:23" ht="15" customHeight="1">
      <c r="A3429" s="3">
        <v>40707</v>
      </c>
      <c r="B3429" s="4">
        <v>48750</v>
      </c>
      <c r="C3429" s="4">
        <v>84925</v>
      </c>
      <c r="D3429" s="5">
        <v>80725</v>
      </c>
      <c r="E3429" s="5">
        <f t="shared" si="125"/>
        <v>107425</v>
      </c>
      <c r="F3429" s="5">
        <v>321825</v>
      </c>
      <c r="K3429" s="24">
        <v>2512.5</v>
      </c>
      <c r="L3429" s="6">
        <v>2525</v>
      </c>
      <c r="M3429" s="270">
        <f t="shared" si="124"/>
        <v>12.5</v>
      </c>
      <c r="N3429" s="19"/>
      <c r="O3429" s="280"/>
      <c r="P3429" s="345">
        <v>16150</v>
      </c>
      <c r="Q3429" s="28">
        <f>166.84/1181.2</f>
        <v>0.14124619031493396</v>
      </c>
      <c r="U3429" s="29">
        <v>0.1</v>
      </c>
      <c r="W3429" s="741">
        <f t="shared" si="121"/>
        <v>2509.2385709448022</v>
      </c>
    </row>
    <row r="3430" spans="1:23" ht="15" customHeight="1">
      <c r="A3430" s="3">
        <v>40708</v>
      </c>
      <c r="B3430" s="4">
        <v>48750</v>
      </c>
      <c r="C3430" s="4">
        <v>84550</v>
      </c>
      <c r="D3430" s="5">
        <v>80625</v>
      </c>
      <c r="E3430" s="5">
        <f t="shared" si="125"/>
        <v>107800</v>
      </c>
      <c r="F3430" s="5">
        <v>321725</v>
      </c>
      <c r="K3430" s="24">
        <v>2550.5</v>
      </c>
      <c r="L3430" s="6">
        <v>2565</v>
      </c>
      <c r="M3430" s="270">
        <f t="shared" si="124"/>
        <v>14.5</v>
      </c>
      <c r="N3430" s="19"/>
      <c r="O3430" s="280"/>
      <c r="P3430" s="345">
        <v>16150</v>
      </c>
      <c r="Q3430" s="28">
        <f>167.5/1085.9</f>
        <v>0.15424993093286674</v>
      </c>
      <c r="U3430" s="29">
        <v>0.1</v>
      </c>
      <c r="W3430" s="741">
        <f t="shared" si="121"/>
        <v>2740.2500230223777</v>
      </c>
    </row>
    <row r="3431" spans="1:23" ht="15" customHeight="1">
      <c r="A3431" s="3">
        <v>40709</v>
      </c>
      <c r="B3431" s="4">
        <v>48750</v>
      </c>
      <c r="C3431" s="4">
        <v>84550</v>
      </c>
      <c r="D3431" s="5">
        <v>80475</v>
      </c>
      <c r="E3431" s="5">
        <f t="shared" si="125"/>
        <v>109325</v>
      </c>
      <c r="F3431" s="5">
        <v>323100</v>
      </c>
      <c r="K3431" s="24">
        <v>2542</v>
      </c>
      <c r="L3431" s="6">
        <v>2565</v>
      </c>
      <c r="M3431" s="270">
        <f t="shared" si="124"/>
        <v>23</v>
      </c>
      <c r="N3431" s="19"/>
      <c r="O3431" s="280"/>
      <c r="P3431" s="345">
        <v>16250</v>
      </c>
      <c r="Q3431" s="28">
        <f>167.22/1083.5</f>
        <v>0.15433317951084449</v>
      </c>
      <c r="U3431" s="29">
        <v>0.1</v>
      </c>
      <c r="W3431" s="741">
        <f t="shared" si="121"/>
        <v>2758.7055837563457</v>
      </c>
    </row>
    <row r="3432" spans="1:23" ht="15" customHeight="1">
      <c r="A3432" s="3">
        <v>40710</v>
      </c>
      <c r="B3432" s="4">
        <v>48750</v>
      </c>
      <c r="C3432" s="4">
        <v>84550</v>
      </c>
      <c r="D3432" s="5">
        <v>80400</v>
      </c>
      <c r="E3432" s="5">
        <f t="shared" si="125"/>
        <v>109250</v>
      </c>
      <c r="F3432" s="5">
        <v>322950</v>
      </c>
      <c r="K3432" s="24">
        <v>2472</v>
      </c>
      <c r="L3432" s="6">
        <v>2493</v>
      </c>
      <c r="M3432" s="270">
        <f t="shared" si="124"/>
        <v>21</v>
      </c>
      <c r="N3432" s="19"/>
      <c r="O3432" s="280"/>
      <c r="P3432" s="345">
        <v>16050</v>
      </c>
      <c r="Q3432" s="28">
        <f>167.01/1082.5</f>
        <v>0.15428175519630485</v>
      </c>
      <c r="U3432" s="29">
        <v>0.1</v>
      </c>
      <c r="W3432" s="741">
        <f t="shared" si="121"/>
        <v>2723.8443879907627</v>
      </c>
    </row>
    <row r="3433" spans="1:23" ht="15" customHeight="1">
      <c r="A3433" s="3">
        <v>40711</v>
      </c>
      <c r="B3433" s="4">
        <v>48750</v>
      </c>
      <c r="C3433" s="4">
        <v>84550</v>
      </c>
      <c r="D3433" s="5">
        <v>80250</v>
      </c>
      <c r="E3433" s="5">
        <f t="shared" si="125"/>
        <v>109150</v>
      </c>
      <c r="F3433" s="5">
        <v>322700</v>
      </c>
      <c r="K3433" s="24">
        <v>2461</v>
      </c>
      <c r="L3433" s="6">
        <v>2480</v>
      </c>
      <c r="M3433" s="270">
        <f t="shared" si="124"/>
        <v>19</v>
      </c>
      <c r="N3433" s="19"/>
      <c r="O3433" s="280"/>
      <c r="P3433" s="345">
        <v>16000</v>
      </c>
      <c r="Q3433" s="28">
        <f>168.16/1088.9</f>
        <v>0.15443107723390576</v>
      </c>
      <c r="U3433" s="29">
        <v>0.1</v>
      </c>
      <c r="W3433" s="741">
        <f t="shared" si="121"/>
        <v>2717.9869593167418</v>
      </c>
    </row>
    <row r="3434" spans="1:23" ht="15" customHeight="1">
      <c r="A3434" s="3">
        <v>40714</v>
      </c>
      <c r="B3434" s="4">
        <v>48700</v>
      </c>
      <c r="C3434" s="4">
        <v>84550</v>
      </c>
      <c r="D3434" s="5">
        <v>80200</v>
      </c>
      <c r="E3434" s="5">
        <f t="shared" si="125"/>
        <v>109125</v>
      </c>
      <c r="F3434" s="5">
        <v>322575</v>
      </c>
      <c r="K3434" s="24">
        <v>2380</v>
      </c>
      <c r="L3434" s="6">
        <v>2405</v>
      </c>
      <c r="M3434" s="270">
        <f t="shared" si="124"/>
        <v>25</v>
      </c>
      <c r="N3434" s="19"/>
      <c r="O3434" s="280"/>
      <c r="P3434" s="345">
        <v>15900</v>
      </c>
      <c r="Q3434" s="28">
        <f>168.01/1087.2</f>
        <v>0.15453458425312727</v>
      </c>
      <c r="U3434" s="29">
        <v>0.1</v>
      </c>
      <c r="W3434" s="741">
        <f t="shared" si="121"/>
        <v>2702.8098785871962</v>
      </c>
    </row>
    <row r="3435" spans="1:23" ht="15" customHeight="1">
      <c r="A3435" s="3">
        <v>40715</v>
      </c>
      <c r="B3435" s="4">
        <v>47950</v>
      </c>
      <c r="C3435" s="4">
        <v>84550</v>
      </c>
      <c r="D3435" s="5">
        <v>80200</v>
      </c>
      <c r="E3435" s="5">
        <f t="shared" si="125"/>
        <v>109125</v>
      </c>
      <c r="F3435" s="5">
        <v>321825</v>
      </c>
      <c r="K3435" s="24">
        <v>2442</v>
      </c>
      <c r="L3435" s="6">
        <v>2462</v>
      </c>
      <c r="M3435" s="270">
        <f t="shared" si="124"/>
        <v>20</v>
      </c>
      <c r="N3435" s="19"/>
      <c r="O3435" s="280"/>
      <c r="P3435" s="345">
        <v>15950</v>
      </c>
      <c r="Q3435" s="28">
        <f>167.34/1083.2</f>
        <v>0.15448670605612999</v>
      </c>
      <c r="U3435" s="29">
        <v>0.1</v>
      </c>
      <c r="W3435" s="741">
        <f t="shared" si="121"/>
        <v>2710.4692577548012</v>
      </c>
    </row>
    <row r="3436" spans="1:23" ht="15" customHeight="1">
      <c r="A3436" s="3">
        <v>40716</v>
      </c>
      <c r="B3436" s="4">
        <v>47650</v>
      </c>
      <c r="C3436" s="4">
        <v>84550</v>
      </c>
      <c r="D3436" s="5">
        <v>80275</v>
      </c>
      <c r="E3436" s="5">
        <f t="shared" si="125"/>
        <v>109125</v>
      </c>
      <c r="F3436" s="5">
        <v>321600</v>
      </c>
      <c r="K3436" s="24">
        <v>2455.5</v>
      </c>
      <c r="L3436" s="6">
        <v>2466</v>
      </c>
      <c r="M3436" s="270">
        <f t="shared" si="124"/>
        <v>10.5</v>
      </c>
      <c r="N3436" s="19"/>
      <c r="O3436" s="280"/>
      <c r="P3436" s="345">
        <v>16000</v>
      </c>
      <c r="Q3436" s="28">
        <f>167.31/1081.7</f>
        <v>0.15467319959323286</v>
      </c>
      <c r="U3436" s="29">
        <v>0.1</v>
      </c>
      <c r="W3436" s="741">
        <f t="shared" si="121"/>
        <v>2722.2483128408985</v>
      </c>
    </row>
    <row r="3437" spans="1:23" ht="15" customHeight="1">
      <c r="A3437" s="3">
        <v>40717</v>
      </c>
      <c r="B3437" s="4">
        <v>47650</v>
      </c>
      <c r="C3437" s="4">
        <v>84550</v>
      </c>
      <c r="D3437" s="5">
        <v>80250</v>
      </c>
      <c r="E3437" s="5">
        <f t="shared" si="125"/>
        <v>109325</v>
      </c>
      <c r="F3437" s="5">
        <v>321775</v>
      </c>
      <c r="K3437" s="24">
        <v>2517.5</v>
      </c>
      <c r="L3437" s="6">
        <v>2530</v>
      </c>
      <c r="M3437" s="270">
        <f t="shared" si="124"/>
        <v>12.5</v>
      </c>
      <c r="N3437" s="19"/>
      <c r="O3437" s="280"/>
      <c r="P3437" s="345">
        <v>16100</v>
      </c>
      <c r="Q3437" s="28">
        <f>166.33/1075</f>
        <v>0.15472558139534884</v>
      </c>
      <c r="U3437" s="29">
        <v>0.1</v>
      </c>
      <c r="W3437" s="741">
        <f t="shared" ref="W3437:W3500" si="126">(P3437*Q3437)*(1+U3437)</f>
        <v>2740.1900465116282</v>
      </c>
    </row>
    <row r="3438" spans="1:23" ht="15" customHeight="1">
      <c r="A3438" s="3">
        <v>40718</v>
      </c>
      <c r="B3438" s="4">
        <v>47650</v>
      </c>
      <c r="C3438" s="4">
        <v>84550</v>
      </c>
      <c r="D3438" s="5">
        <v>80225</v>
      </c>
      <c r="E3438" s="5">
        <f t="shared" si="125"/>
        <v>109325</v>
      </c>
      <c r="F3438" s="5">
        <v>321750</v>
      </c>
      <c r="K3438" s="24">
        <v>2555</v>
      </c>
      <c r="L3438" s="6">
        <v>2560.5</v>
      </c>
      <c r="M3438" s="270">
        <f t="shared" si="124"/>
        <v>5.5</v>
      </c>
      <c r="N3438" s="19"/>
      <c r="O3438" s="280"/>
      <c r="P3438" s="345">
        <v>16200</v>
      </c>
      <c r="Q3438" s="28">
        <f>166.47/1076.7</f>
        <v>0.15461131234327111</v>
      </c>
      <c r="U3438" s="29">
        <v>0.1</v>
      </c>
      <c r="W3438" s="741">
        <f t="shared" si="126"/>
        <v>2755.1735859570913</v>
      </c>
    </row>
    <row r="3439" spans="1:23" ht="15" customHeight="1">
      <c r="A3439" s="3">
        <v>40721</v>
      </c>
      <c r="B3439" s="4">
        <v>48425</v>
      </c>
      <c r="C3439" s="4">
        <v>84550</v>
      </c>
      <c r="D3439" s="5">
        <v>80200</v>
      </c>
      <c r="E3439" s="5">
        <f t="shared" si="125"/>
        <v>109325</v>
      </c>
      <c r="F3439" s="5">
        <v>322500</v>
      </c>
      <c r="K3439" s="24">
        <v>2545.5</v>
      </c>
      <c r="L3439" s="6">
        <v>2556</v>
      </c>
      <c r="M3439" s="270">
        <f t="shared" si="124"/>
        <v>10.5</v>
      </c>
      <c r="N3439" s="19"/>
      <c r="O3439" s="280"/>
      <c r="P3439" s="345">
        <v>16100</v>
      </c>
      <c r="Q3439" s="28">
        <f>166.47/1077.9</f>
        <v>0.15443918730865572</v>
      </c>
      <c r="U3439" s="29">
        <v>0.1</v>
      </c>
      <c r="W3439" s="741">
        <f t="shared" si="126"/>
        <v>2735.1180072362931</v>
      </c>
    </row>
    <row r="3440" spans="1:23" ht="15" customHeight="1">
      <c r="A3440" s="3">
        <v>40722</v>
      </c>
      <c r="B3440" s="4">
        <v>48400</v>
      </c>
      <c r="C3440" s="4">
        <v>84550</v>
      </c>
      <c r="D3440" s="5">
        <v>80700</v>
      </c>
      <c r="E3440" s="5">
        <f t="shared" si="125"/>
        <v>109325</v>
      </c>
      <c r="F3440" s="5">
        <v>322975</v>
      </c>
      <c r="K3440" s="24">
        <v>2553</v>
      </c>
      <c r="L3440" s="6">
        <v>2566</v>
      </c>
      <c r="M3440" s="270">
        <f t="shared" si="124"/>
        <v>13</v>
      </c>
      <c r="N3440" s="19"/>
      <c r="O3440" s="280"/>
      <c r="P3440" s="345">
        <v>16150</v>
      </c>
      <c r="Q3440" s="28">
        <f>167.64/1086.7</f>
        <v>0.15426520658875492</v>
      </c>
      <c r="U3440" s="29">
        <v>0.1</v>
      </c>
      <c r="W3440" s="741">
        <f t="shared" si="126"/>
        <v>2740.5213950492316</v>
      </c>
    </row>
    <row r="3441" spans="1:23" ht="15" customHeight="1">
      <c r="A3441" s="3">
        <v>40723</v>
      </c>
      <c r="B3441" s="4">
        <v>47625</v>
      </c>
      <c r="C3441" s="4">
        <v>84550</v>
      </c>
      <c r="D3441" s="5">
        <v>80875</v>
      </c>
      <c r="E3441" s="5">
        <f t="shared" si="125"/>
        <v>109625</v>
      </c>
      <c r="F3441" s="5">
        <v>322675</v>
      </c>
      <c r="K3441" s="24">
        <v>2585.5</v>
      </c>
      <c r="L3441" s="6">
        <v>2605.5</v>
      </c>
      <c r="M3441" s="270">
        <f t="shared" si="124"/>
        <v>20</v>
      </c>
      <c r="N3441" s="19"/>
      <c r="O3441" s="280"/>
      <c r="P3441" s="345">
        <v>16150</v>
      </c>
      <c r="Q3441" s="28">
        <f>167.22/1081.8</f>
        <v>0.15457570715474211</v>
      </c>
      <c r="U3441" s="29">
        <v>0.1</v>
      </c>
      <c r="W3441" s="741">
        <f t="shared" si="126"/>
        <v>2746.0374376039936</v>
      </c>
    </row>
    <row r="3442" spans="1:23" ht="15" customHeight="1" thickBot="1">
      <c r="A3442" s="12">
        <v>40724</v>
      </c>
      <c r="B3442" s="13">
        <v>46100</v>
      </c>
      <c r="C3442" s="13">
        <v>84550</v>
      </c>
      <c r="D3442" s="14">
        <v>80900</v>
      </c>
      <c r="E3442" s="14">
        <f t="shared" si="125"/>
        <v>108750</v>
      </c>
      <c r="F3442" s="14">
        <v>320300</v>
      </c>
      <c r="G3442" s="14"/>
      <c r="H3442" s="14"/>
      <c r="I3442" s="14"/>
      <c r="J3442" s="264"/>
      <c r="K3442" s="25">
        <v>2622.5</v>
      </c>
      <c r="L3442" s="15">
        <v>2640</v>
      </c>
      <c r="M3442" s="271">
        <f t="shared" si="124"/>
        <v>17.5</v>
      </c>
      <c r="N3442" s="164">
        <f>AVERAGE(K3421:K3442)</f>
        <v>2512.2045454545455</v>
      </c>
      <c r="O3442" s="288">
        <f>AVERAGE(K3315:K3442)</f>
        <v>2578.3699186991871</v>
      </c>
      <c r="P3442" s="346">
        <v>16300</v>
      </c>
      <c r="Q3442" s="30">
        <f>166.8/1078.1</f>
        <v>0.15471663111028663</v>
      </c>
      <c r="R3442" s="30"/>
      <c r="S3442" s="30"/>
      <c r="T3442" s="30"/>
      <c r="U3442" s="31">
        <v>0.1</v>
      </c>
      <c r="V3442" s="46">
        <f>AVERAGE(P3421:P3442)</f>
        <v>16126.190476190477</v>
      </c>
      <c r="W3442" s="741">
        <f t="shared" si="126"/>
        <v>2774.0691958074394</v>
      </c>
    </row>
    <row r="3443" spans="1:23" ht="15" customHeight="1">
      <c r="A3443" s="36">
        <v>40725</v>
      </c>
      <c r="B3443" s="37">
        <v>45075</v>
      </c>
      <c r="C3443" s="37">
        <v>83550</v>
      </c>
      <c r="D3443" s="38">
        <v>80825</v>
      </c>
      <c r="E3443" s="38">
        <f t="shared" si="125"/>
        <v>109150</v>
      </c>
      <c r="F3443" s="38">
        <v>318600</v>
      </c>
      <c r="G3443" s="38"/>
      <c r="H3443" s="38"/>
      <c r="I3443" s="38"/>
      <c r="J3443" s="268"/>
      <c r="K3443" s="39">
        <v>2636.5</v>
      </c>
      <c r="L3443" s="40">
        <v>2660</v>
      </c>
      <c r="M3443" s="270">
        <f t="shared" si="124"/>
        <v>23.5</v>
      </c>
      <c r="N3443" s="21"/>
      <c r="O3443" s="283"/>
      <c r="P3443" s="348">
        <v>16300</v>
      </c>
      <c r="Q3443" s="41">
        <f>165.54/1070.1</f>
        <v>0.15469582282029717</v>
      </c>
      <c r="R3443" s="41"/>
      <c r="S3443" s="41"/>
      <c r="T3443" s="41"/>
      <c r="U3443" s="42">
        <v>0.1</v>
      </c>
      <c r="V3443" s="45"/>
      <c r="W3443" s="741">
        <f t="shared" si="126"/>
        <v>2773.6961031679284</v>
      </c>
    </row>
    <row r="3444" spans="1:23" ht="15" customHeight="1">
      <c r="A3444" s="3">
        <v>40728</v>
      </c>
      <c r="B3444" s="4">
        <v>43825</v>
      </c>
      <c r="C3444" s="4">
        <v>82950</v>
      </c>
      <c r="D3444" s="5">
        <v>80800</v>
      </c>
      <c r="E3444" s="5">
        <f t="shared" si="125"/>
        <v>109100</v>
      </c>
      <c r="F3444" s="5">
        <v>316675</v>
      </c>
      <c r="K3444" s="24">
        <v>2655</v>
      </c>
      <c r="L3444" s="6">
        <v>2668</v>
      </c>
      <c r="M3444" s="270">
        <f t="shared" si="124"/>
        <v>13</v>
      </c>
      <c r="N3444" s="19"/>
      <c r="O3444" s="280"/>
      <c r="P3444" s="345">
        <v>16500</v>
      </c>
      <c r="Q3444" s="28">
        <f>164.95/1066.4</f>
        <v>0.1546792948237059</v>
      </c>
      <c r="U3444" s="29">
        <v>0.1</v>
      </c>
      <c r="W3444" s="741">
        <f t="shared" si="126"/>
        <v>2807.4292010502627</v>
      </c>
    </row>
    <row r="3445" spans="1:23" ht="15" customHeight="1">
      <c r="A3445" s="3">
        <v>40729</v>
      </c>
      <c r="B3445" s="4">
        <v>42200</v>
      </c>
      <c r="C3445" s="4">
        <v>82300</v>
      </c>
      <c r="D3445" s="5">
        <v>80975</v>
      </c>
      <c r="E3445" s="5">
        <f t="shared" si="125"/>
        <v>109425</v>
      </c>
      <c r="F3445" s="5">
        <v>314900</v>
      </c>
      <c r="K3445" s="24">
        <v>2660.5</v>
      </c>
      <c r="L3445" s="6">
        <v>2669</v>
      </c>
      <c r="M3445" s="270">
        <f t="shared" si="124"/>
        <v>8.5</v>
      </c>
      <c r="N3445" s="19"/>
      <c r="O3445" s="280"/>
      <c r="P3445" s="345">
        <v>16500</v>
      </c>
      <c r="Q3445" s="28">
        <f>164.6/1063.8</f>
        <v>0.15472833239330702</v>
      </c>
      <c r="U3445" s="29">
        <v>0.1</v>
      </c>
      <c r="W3445" s="741">
        <f t="shared" si="126"/>
        <v>2808.3192329385229</v>
      </c>
    </row>
    <row r="3446" spans="1:23" ht="15" customHeight="1">
      <c r="A3446" s="3">
        <v>40730</v>
      </c>
      <c r="B3446" s="4">
        <v>40550</v>
      </c>
      <c r="C3446" s="4">
        <v>82000</v>
      </c>
      <c r="D3446" s="5">
        <v>80975</v>
      </c>
      <c r="E3446" s="5">
        <f t="shared" si="125"/>
        <v>111375</v>
      </c>
      <c r="F3446" s="5">
        <v>314900</v>
      </c>
      <c r="K3446" s="24">
        <v>2661</v>
      </c>
      <c r="L3446" s="6">
        <v>2676</v>
      </c>
      <c r="M3446" s="270">
        <f t="shared" si="124"/>
        <v>15</v>
      </c>
      <c r="N3446" s="19"/>
      <c r="O3446" s="280"/>
      <c r="P3446" s="345">
        <v>16550</v>
      </c>
      <c r="Q3446" s="28">
        <f>164.75/1065.6</f>
        <v>0.15460773273273273</v>
      </c>
      <c r="U3446" s="29">
        <v>0.1</v>
      </c>
      <c r="W3446" s="741">
        <f t="shared" si="126"/>
        <v>2814.6337743993995</v>
      </c>
    </row>
    <row r="3447" spans="1:23" ht="15" customHeight="1">
      <c r="A3447" s="3">
        <v>40731</v>
      </c>
      <c r="B3447" s="4">
        <v>38825</v>
      </c>
      <c r="C3447" s="4">
        <v>81550</v>
      </c>
      <c r="D3447" s="5">
        <v>81075</v>
      </c>
      <c r="E3447" s="5">
        <f t="shared" si="125"/>
        <v>107975</v>
      </c>
      <c r="F3447" s="5">
        <v>309425</v>
      </c>
      <c r="K3447" s="24">
        <v>2694</v>
      </c>
      <c r="L3447" s="6">
        <v>2704</v>
      </c>
      <c r="M3447" s="270">
        <f t="shared" si="124"/>
        <v>10</v>
      </c>
      <c r="N3447" s="19"/>
      <c r="O3447" s="280"/>
      <c r="P3447" s="345">
        <v>16550</v>
      </c>
      <c r="Q3447" s="28">
        <f>164.64/1064.9</f>
        <v>0.15460606629730489</v>
      </c>
      <c r="U3447" s="29">
        <v>0.1</v>
      </c>
      <c r="W3447" s="741">
        <f t="shared" si="126"/>
        <v>2814.6034369424356</v>
      </c>
    </row>
    <row r="3448" spans="1:23" ht="15" customHeight="1">
      <c r="A3448" s="3">
        <v>40732</v>
      </c>
      <c r="B3448" s="4">
        <v>37725</v>
      </c>
      <c r="C3448" s="4">
        <v>80950</v>
      </c>
      <c r="D3448" s="5">
        <v>81050</v>
      </c>
      <c r="E3448" s="5">
        <f t="shared" si="125"/>
        <v>108575</v>
      </c>
      <c r="F3448" s="5">
        <v>308300</v>
      </c>
      <c r="K3448" s="24">
        <v>2706</v>
      </c>
      <c r="L3448" s="6">
        <v>2717.5</v>
      </c>
      <c r="M3448" s="270">
        <f t="shared" si="124"/>
        <v>11.5</v>
      </c>
      <c r="N3448" s="19"/>
      <c r="O3448" s="280"/>
      <c r="P3448" s="345">
        <v>16700</v>
      </c>
      <c r="Q3448" s="28">
        <f>164.61/1064.3</f>
        <v>0.15466503805318052</v>
      </c>
      <c r="U3448" s="29">
        <v>0.1</v>
      </c>
      <c r="W3448" s="741">
        <f t="shared" si="126"/>
        <v>2841.1967490369261</v>
      </c>
    </row>
    <row r="3449" spans="1:23" ht="15" customHeight="1">
      <c r="A3449" s="3">
        <v>40735</v>
      </c>
      <c r="B3449" s="4">
        <v>35950</v>
      </c>
      <c r="C3449" s="4">
        <v>80950</v>
      </c>
      <c r="D3449" s="5">
        <v>81050</v>
      </c>
      <c r="E3449" s="5">
        <f t="shared" si="125"/>
        <v>108775</v>
      </c>
      <c r="F3449" s="5">
        <v>306725</v>
      </c>
      <c r="K3449" s="24">
        <v>2650.5</v>
      </c>
      <c r="L3449" s="6">
        <v>2663.5</v>
      </c>
      <c r="M3449" s="270">
        <f t="shared" si="124"/>
        <v>13</v>
      </c>
      <c r="N3449" s="19"/>
      <c r="O3449" s="280"/>
      <c r="P3449" s="345">
        <v>16700</v>
      </c>
      <c r="Q3449" s="28">
        <f>163.72/1058.4</f>
        <v>0.15468631897203325</v>
      </c>
      <c r="U3449" s="29">
        <v>0.1</v>
      </c>
      <c r="W3449" s="741">
        <f t="shared" si="126"/>
        <v>2841.5876795162508</v>
      </c>
    </row>
    <row r="3450" spans="1:23" ht="15" customHeight="1">
      <c r="A3450" s="3">
        <v>40736</v>
      </c>
      <c r="B3450" s="4">
        <v>36225</v>
      </c>
      <c r="C3450" s="4">
        <v>80950</v>
      </c>
      <c r="D3450" s="5">
        <v>81050</v>
      </c>
      <c r="E3450" s="5">
        <f t="shared" si="125"/>
        <v>110425</v>
      </c>
      <c r="F3450" s="5">
        <v>308650</v>
      </c>
      <c r="K3450" s="24">
        <v>2660</v>
      </c>
      <c r="L3450" s="6">
        <v>2670</v>
      </c>
      <c r="M3450" s="270">
        <f t="shared" si="124"/>
        <v>10</v>
      </c>
      <c r="N3450" s="19"/>
      <c r="O3450" s="280"/>
      <c r="P3450" s="345">
        <v>16700</v>
      </c>
      <c r="Q3450" s="28">
        <f>163.86/1059.7</f>
        <v>0.15462866849108239</v>
      </c>
      <c r="U3450" s="29">
        <v>0.1</v>
      </c>
      <c r="W3450" s="741">
        <f t="shared" si="126"/>
        <v>2840.5286401811836</v>
      </c>
    </row>
    <row r="3451" spans="1:23" ht="15" customHeight="1">
      <c r="A3451" s="3">
        <v>40737</v>
      </c>
      <c r="B3451" s="4">
        <v>34950</v>
      </c>
      <c r="C3451" s="4">
        <v>81650</v>
      </c>
      <c r="D3451" s="5">
        <v>81025</v>
      </c>
      <c r="E3451" s="5">
        <f t="shared" si="125"/>
        <v>109725</v>
      </c>
      <c r="F3451" s="5">
        <v>307350</v>
      </c>
      <c r="K3451" s="24">
        <v>2745</v>
      </c>
      <c r="L3451" s="6">
        <v>2752</v>
      </c>
      <c r="M3451" s="270">
        <f t="shared" si="124"/>
        <v>7</v>
      </c>
      <c r="N3451" s="19"/>
      <c r="O3451" s="280"/>
      <c r="P3451" s="345">
        <v>16850</v>
      </c>
      <c r="Q3451" s="28">
        <f>164.73/1066.2</f>
        <v>0.15450196961170509</v>
      </c>
      <c r="U3451" s="29">
        <v>0.1</v>
      </c>
      <c r="W3451" s="741">
        <f t="shared" si="126"/>
        <v>2863.694006752954</v>
      </c>
    </row>
    <row r="3452" spans="1:23" ht="15" customHeight="1">
      <c r="A3452" s="3">
        <v>40738</v>
      </c>
      <c r="B3452" s="4">
        <v>33775</v>
      </c>
      <c r="C3452" s="4">
        <v>81650</v>
      </c>
      <c r="D3452" s="5">
        <v>81000</v>
      </c>
      <c r="E3452" s="5">
        <f t="shared" si="125"/>
        <v>109725</v>
      </c>
      <c r="F3452" s="5">
        <v>306150</v>
      </c>
      <c r="K3452" s="24">
        <v>2687</v>
      </c>
      <c r="L3452" s="6">
        <v>2698</v>
      </c>
      <c r="M3452" s="270">
        <f t="shared" si="124"/>
        <v>11</v>
      </c>
      <c r="N3452" s="19"/>
      <c r="O3452" s="280"/>
      <c r="P3452" s="345">
        <v>17000</v>
      </c>
      <c r="Q3452" s="28">
        <f>164.38/1063.2</f>
        <v>0.15460872836719336</v>
      </c>
      <c r="U3452" s="29">
        <v>0.1</v>
      </c>
      <c r="W3452" s="741">
        <f t="shared" si="126"/>
        <v>2891.1832204665161</v>
      </c>
    </row>
    <row r="3453" spans="1:23" ht="15" customHeight="1">
      <c r="A3453" s="3">
        <v>40739</v>
      </c>
      <c r="B3453" s="4">
        <v>34325</v>
      </c>
      <c r="C3453" s="4">
        <v>81650</v>
      </c>
      <c r="D3453" s="5">
        <v>81000</v>
      </c>
      <c r="E3453" s="5">
        <f t="shared" si="125"/>
        <v>110875</v>
      </c>
      <c r="F3453" s="5">
        <v>307850</v>
      </c>
      <c r="K3453" s="24">
        <v>2650</v>
      </c>
      <c r="L3453" s="6">
        <v>2663.5</v>
      </c>
      <c r="M3453" s="270">
        <f t="shared" si="124"/>
        <v>13.5</v>
      </c>
      <c r="N3453" s="19"/>
      <c r="O3453" s="280"/>
      <c r="P3453" s="345">
        <v>17000</v>
      </c>
      <c r="Q3453" s="28">
        <f>163.65/1056.7</f>
        <v>0.15486893157944545</v>
      </c>
      <c r="U3453" s="29">
        <v>0.1</v>
      </c>
      <c r="W3453" s="741">
        <f t="shared" si="126"/>
        <v>2896.04902053563</v>
      </c>
    </row>
    <row r="3454" spans="1:23" ht="15" customHeight="1">
      <c r="A3454" s="3">
        <v>40742</v>
      </c>
      <c r="B3454" s="4">
        <v>33775</v>
      </c>
      <c r="C3454" s="4">
        <v>81650</v>
      </c>
      <c r="D3454" s="5">
        <v>81000</v>
      </c>
      <c r="E3454" s="5">
        <f t="shared" si="125"/>
        <v>111100</v>
      </c>
      <c r="F3454" s="5">
        <v>307525</v>
      </c>
      <c r="K3454" s="24">
        <v>2730</v>
      </c>
      <c r="L3454" s="6">
        <v>2736.5</v>
      </c>
      <c r="M3454" s="270">
        <f t="shared" si="124"/>
        <v>6.5</v>
      </c>
      <c r="N3454" s="19"/>
      <c r="O3454" s="280"/>
      <c r="P3454" s="345">
        <v>17050</v>
      </c>
      <c r="Q3454" s="28">
        <f>163.58/1057.3</f>
        <v>0.15471483968599264</v>
      </c>
      <c r="U3454" s="29">
        <v>0.1</v>
      </c>
      <c r="W3454" s="741">
        <f t="shared" si="126"/>
        <v>2901.676818310792</v>
      </c>
    </row>
    <row r="3455" spans="1:23" ht="15" customHeight="1">
      <c r="A3455" s="3">
        <v>40743</v>
      </c>
      <c r="B3455" s="4">
        <v>34850</v>
      </c>
      <c r="C3455" s="4">
        <v>81750</v>
      </c>
      <c r="D3455" s="5">
        <v>81000</v>
      </c>
      <c r="E3455" s="5">
        <f t="shared" si="125"/>
        <v>111650</v>
      </c>
      <c r="F3455" s="5">
        <v>309250</v>
      </c>
      <c r="K3455" s="24">
        <v>2741.5</v>
      </c>
      <c r="L3455" s="6">
        <v>2763</v>
      </c>
      <c r="M3455" s="270">
        <f t="shared" si="124"/>
        <v>21.5</v>
      </c>
      <c r="N3455" s="19"/>
      <c r="O3455" s="280"/>
      <c r="P3455" s="345">
        <v>17100</v>
      </c>
      <c r="Q3455" s="28">
        <f>164.04/1061.2</f>
        <v>0.15457972107048623</v>
      </c>
      <c r="U3455" s="29">
        <v>0.1</v>
      </c>
      <c r="W3455" s="741">
        <f t="shared" si="126"/>
        <v>2907.644553335846</v>
      </c>
    </row>
    <row r="3456" spans="1:23" ht="15" customHeight="1">
      <c r="A3456" s="3">
        <v>40744</v>
      </c>
      <c r="B3456" s="4">
        <v>35475</v>
      </c>
      <c r="C3456" s="4">
        <v>81725</v>
      </c>
      <c r="D3456" s="5">
        <v>81000</v>
      </c>
      <c r="E3456" s="5">
        <f t="shared" si="125"/>
        <v>112075</v>
      </c>
      <c r="F3456" s="5">
        <v>310275</v>
      </c>
      <c r="K3456" s="24">
        <v>2720</v>
      </c>
      <c r="L3456" s="6">
        <v>2745</v>
      </c>
      <c r="M3456" s="270">
        <f t="shared" si="124"/>
        <v>25</v>
      </c>
      <c r="N3456" s="19"/>
      <c r="O3456" s="280"/>
      <c r="P3456" s="345">
        <v>17150</v>
      </c>
      <c r="Q3456" s="28">
        <f>163.95/1059.7</f>
        <v>0.15471359818816643</v>
      </c>
      <c r="U3456" s="29">
        <v>0.1</v>
      </c>
      <c r="W3456" s="741">
        <f t="shared" si="126"/>
        <v>2918.6720298197602</v>
      </c>
    </row>
    <row r="3457" spans="1:23" ht="15" customHeight="1">
      <c r="A3457" s="3">
        <v>40745</v>
      </c>
      <c r="B3457" s="4">
        <v>35200</v>
      </c>
      <c r="C3457" s="4">
        <v>82125</v>
      </c>
      <c r="D3457" s="5">
        <v>81000</v>
      </c>
      <c r="E3457" s="5">
        <f t="shared" si="125"/>
        <v>111825</v>
      </c>
      <c r="F3457" s="5">
        <v>310150</v>
      </c>
      <c r="K3457" s="24">
        <v>2667</v>
      </c>
      <c r="L3457" s="6">
        <v>2690</v>
      </c>
      <c r="M3457" s="270">
        <f t="shared" si="124"/>
        <v>23</v>
      </c>
      <c r="N3457" s="19"/>
      <c r="O3457" s="280"/>
      <c r="P3457" s="345">
        <v>17100</v>
      </c>
      <c r="Q3457" s="28">
        <f>163.39/1055.3</f>
        <v>0.15482801099213492</v>
      </c>
      <c r="U3457" s="29">
        <v>0.1</v>
      </c>
      <c r="W3457" s="741">
        <f t="shared" si="126"/>
        <v>2912.314886762058</v>
      </c>
    </row>
    <row r="3458" spans="1:23" ht="15" customHeight="1">
      <c r="A3458" s="3">
        <v>40746</v>
      </c>
      <c r="B3458" s="4">
        <v>35200</v>
      </c>
      <c r="C3458" s="4">
        <v>82275</v>
      </c>
      <c r="D3458" s="5">
        <v>81050</v>
      </c>
      <c r="E3458" s="5">
        <f t="shared" ref="E3458:E3483" si="127">F3458-(B3458+C3458+D3458)</f>
        <v>111675</v>
      </c>
      <c r="F3458" s="5">
        <v>310200</v>
      </c>
      <c r="K3458" s="24">
        <v>2707.5</v>
      </c>
      <c r="L3458" s="6">
        <v>2727</v>
      </c>
      <c r="M3458" s="270">
        <f t="shared" si="124"/>
        <v>19.5</v>
      </c>
      <c r="N3458" s="19"/>
      <c r="O3458" s="280"/>
      <c r="P3458" s="345">
        <v>17100</v>
      </c>
      <c r="Q3458" s="28">
        <f>163.6/1055.3</f>
        <v>0.15502700653842511</v>
      </c>
      <c r="U3458" s="29">
        <v>0.1</v>
      </c>
      <c r="W3458" s="741">
        <f t="shared" si="126"/>
        <v>2916.0579929877767</v>
      </c>
    </row>
    <row r="3459" spans="1:23" ht="15" customHeight="1">
      <c r="A3459" s="3">
        <v>40749</v>
      </c>
      <c r="B3459" s="4">
        <v>35400</v>
      </c>
      <c r="C3459" s="4">
        <v>82275</v>
      </c>
      <c r="D3459" s="5">
        <v>81150</v>
      </c>
      <c r="E3459" s="5">
        <f t="shared" si="127"/>
        <v>111975</v>
      </c>
      <c r="F3459" s="5">
        <v>310800</v>
      </c>
      <c r="K3459" s="24">
        <v>2670</v>
      </c>
      <c r="L3459" s="6">
        <v>2682</v>
      </c>
      <c r="M3459" s="270">
        <f t="shared" si="124"/>
        <v>12</v>
      </c>
      <c r="N3459" s="19"/>
      <c r="O3459" s="280"/>
      <c r="P3459" s="345">
        <v>17050</v>
      </c>
      <c r="Q3459" s="28">
        <f>163.08/1051.2</f>
        <v>0.15513698630136988</v>
      </c>
      <c r="U3459" s="29">
        <v>0.1</v>
      </c>
      <c r="W3459" s="741">
        <f t="shared" si="126"/>
        <v>2909.5941780821922</v>
      </c>
    </row>
    <row r="3460" spans="1:23" ht="15" customHeight="1">
      <c r="A3460" s="3">
        <v>40750</v>
      </c>
      <c r="B3460" s="4">
        <v>35625</v>
      </c>
      <c r="C3460" s="4">
        <v>82375</v>
      </c>
      <c r="D3460" s="5">
        <v>81500</v>
      </c>
      <c r="E3460" s="5">
        <f t="shared" si="127"/>
        <v>112025</v>
      </c>
      <c r="F3460" s="5">
        <v>311525</v>
      </c>
      <c r="K3460" s="24">
        <v>2705.5</v>
      </c>
      <c r="L3460" s="6">
        <v>2728</v>
      </c>
      <c r="M3460" s="270">
        <f t="shared" si="124"/>
        <v>22.5</v>
      </c>
      <c r="N3460" s="19"/>
      <c r="O3460" s="280"/>
      <c r="P3460" s="345">
        <v>17050</v>
      </c>
      <c r="Q3460" s="28">
        <f>163.45/1052.9</f>
        <v>0.15523791433184536</v>
      </c>
      <c r="U3460" s="29">
        <v>0.1</v>
      </c>
      <c r="W3460" s="741">
        <f t="shared" si="126"/>
        <v>2911.48708329376</v>
      </c>
    </row>
    <row r="3461" spans="1:23" ht="15" customHeight="1">
      <c r="A3461" s="3">
        <v>40751</v>
      </c>
      <c r="B3461" s="4">
        <v>35275</v>
      </c>
      <c r="C3461" s="4">
        <v>82375</v>
      </c>
      <c r="D3461" s="5">
        <v>81550</v>
      </c>
      <c r="E3461" s="5">
        <f t="shared" si="127"/>
        <v>112175</v>
      </c>
      <c r="F3461" s="5">
        <v>311375</v>
      </c>
      <c r="K3461" s="24">
        <v>2694</v>
      </c>
      <c r="L3461" s="6">
        <v>2717</v>
      </c>
      <c r="M3461" s="270">
        <f t="shared" si="124"/>
        <v>23</v>
      </c>
      <c r="N3461" s="19"/>
      <c r="O3461" s="280"/>
      <c r="P3461" s="345">
        <v>17150</v>
      </c>
      <c r="Q3461" s="28">
        <f>163.45/1052.9</f>
        <v>0.15523791433184536</v>
      </c>
      <c r="U3461" s="29">
        <v>0.1</v>
      </c>
      <c r="W3461" s="741">
        <f t="shared" si="126"/>
        <v>2928.563253870263</v>
      </c>
    </row>
    <row r="3462" spans="1:23" ht="15" customHeight="1">
      <c r="A3462" s="3">
        <v>40752</v>
      </c>
      <c r="B3462" s="4">
        <v>34900</v>
      </c>
      <c r="C3462" s="4">
        <v>82375</v>
      </c>
      <c r="D3462" s="5">
        <v>81750</v>
      </c>
      <c r="E3462" s="5">
        <f t="shared" si="127"/>
        <v>112900</v>
      </c>
      <c r="F3462" s="5">
        <v>311925</v>
      </c>
      <c r="K3462" s="24">
        <v>2680</v>
      </c>
      <c r="L3462" s="6">
        <v>2695</v>
      </c>
      <c r="M3462" s="270">
        <f t="shared" si="124"/>
        <v>15</v>
      </c>
      <c r="N3462" s="19"/>
      <c r="O3462" s="280"/>
      <c r="P3462" s="345">
        <v>17100</v>
      </c>
      <c r="Q3462" s="28">
        <f>162.98/1050.2</f>
        <v>0.15518948771662538</v>
      </c>
      <c r="U3462" s="29">
        <v>0.1</v>
      </c>
      <c r="W3462" s="741">
        <f t="shared" si="126"/>
        <v>2919.1142639497234</v>
      </c>
    </row>
    <row r="3463" spans="1:23" ht="15" customHeight="1" thickBot="1">
      <c r="A3463" s="12">
        <v>40753</v>
      </c>
      <c r="B3463" s="13">
        <v>34300</v>
      </c>
      <c r="C3463" s="13">
        <v>82950</v>
      </c>
      <c r="D3463" s="14">
        <v>81875</v>
      </c>
      <c r="E3463" s="14">
        <f t="shared" si="127"/>
        <v>112325</v>
      </c>
      <c r="F3463" s="14">
        <v>311450</v>
      </c>
      <c r="G3463" s="14"/>
      <c r="H3463" s="14"/>
      <c r="I3463" s="14"/>
      <c r="J3463" s="264"/>
      <c r="K3463" s="25">
        <v>2613.5</v>
      </c>
      <c r="L3463" s="15">
        <v>2632</v>
      </c>
      <c r="M3463" s="271">
        <f t="shared" si="124"/>
        <v>18.5</v>
      </c>
      <c r="N3463" s="164">
        <f>AVERAGE(K3443:K3463)</f>
        <v>2682.5952380952381</v>
      </c>
      <c r="O3463" s="288">
        <f>AVERAGE(K3315:K3463)</f>
        <v>2593.5694444444443</v>
      </c>
      <c r="P3463" s="346">
        <v>17100</v>
      </c>
      <c r="Q3463" s="30">
        <f>163.39/1052.6</f>
        <v>0.15522515675470264</v>
      </c>
      <c r="R3463" s="30"/>
      <c r="S3463" s="30"/>
      <c r="T3463" s="30"/>
      <c r="U3463" s="31">
        <v>0.1</v>
      </c>
      <c r="V3463" s="46">
        <f>AVERAGE(P3443:P3463)</f>
        <v>16871.428571428572</v>
      </c>
      <c r="W3463" s="741">
        <f t="shared" si="126"/>
        <v>2919.7851985559569</v>
      </c>
    </row>
    <row r="3464" spans="1:23" ht="15" customHeight="1">
      <c r="A3464" s="36">
        <v>40756</v>
      </c>
      <c r="B3464" s="37">
        <v>33525</v>
      </c>
      <c r="C3464" s="37">
        <v>82950</v>
      </c>
      <c r="D3464" s="38">
        <v>81875</v>
      </c>
      <c r="E3464" s="38">
        <f t="shared" si="127"/>
        <v>112325</v>
      </c>
      <c r="F3464" s="38">
        <v>310675</v>
      </c>
      <c r="G3464" s="38"/>
      <c r="H3464" s="38"/>
      <c r="I3464" s="38"/>
      <c r="J3464" s="268"/>
      <c r="K3464" s="39">
        <v>2627.5</v>
      </c>
      <c r="L3464" s="40">
        <v>2645</v>
      </c>
      <c r="M3464" s="270">
        <f t="shared" ref="M3464:M3527" si="128">L3464-K3464</f>
        <v>17.5</v>
      </c>
      <c r="N3464" s="21"/>
      <c r="O3464" s="283"/>
      <c r="P3464" s="348">
        <v>17050</v>
      </c>
      <c r="Q3464" s="41">
        <f>163.6/1053.1</f>
        <v>0.15535086886335581</v>
      </c>
      <c r="R3464" s="41"/>
      <c r="S3464" s="41"/>
      <c r="T3464" s="41"/>
      <c r="U3464" s="42">
        <v>0.1</v>
      </c>
      <c r="V3464" s="45"/>
      <c r="W3464" s="741">
        <f t="shared" si="126"/>
        <v>2913.6055455322385</v>
      </c>
    </row>
    <row r="3465" spans="1:23" ht="15" customHeight="1">
      <c r="A3465" s="3">
        <v>40757</v>
      </c>
      <c r="B3465" s="4">
        <v>33225</v>
      </c>
      <c r="C3465" s="4">
        <v>82950</v>
      </c>
      <c r="D3465" s="5">
        <v>82000</v>
      </c>
      <c r="E3465" s="5">
        <f t="shared" si="127"/>
        <v>112575</v>
      </c>
      <c r="F3465" s="5">
        <v>310750</v>
      </c>
      <c r="K3465" s="24">
        <v>2539.5</v>
      </c>
      <c r="L3465" s="6">
        <v>2558</v>
      </c>
      <c r="M3465" s="270">
        <f t="shared" si="128"/>
        <v>18.5</v>
      </c>
      <c r="N3465" s="19"/>
      <c r="O3465" s="280"/>
      <c r="P3465" s="345">
        <v>16900</v>
      </c>
      <c r="Q3465" s="28">
        <f>163.12/1049.5</f>
        <v>0.15542639352072415</v>
      </c>
      <c r="U3465" s="29">
        <v>0.1</v>
      </c>
      <c r="W3465" s="741">
        <f t="shared" si="126"/>
        <v>2889.3766555502625</v>
      </c>
    </row>
    <row r="3466" spans="1:23" ht="15" customHeight="1">
      <c r="A3466" s="3">
        <v>40758</v>
      </c>
      <c r="B3466" s="4">
        <v>32275</v>
      </c>
      <c r="C3466" s="4">
        <v>83350</v>
      </c>
      <c r="D3466" s="5">
        <v>82000</v>
      </c>
      <c r="E3466" s="5">
        <f t="shared" si="127"/>
        <v>112050</v>
      </c>
      <c r="F3466" s="5">
        <v>309675</v>
      </c>
      <c r="K3466" s="24">
        <v>2522.5</v>
      </c>
      <c r="L3466" s="6">
        <v>2537</v>
      </c>
      <c r="M3466" s="270">
        <f t="shared" si="128"/>
        <v>14.5</v>
      </c>
      <c r="N3466" s="19"/>
      <c r="O3466" s="280"/>
      <c r="P3466" s="345">
        <v>16850</v>
      </c>
      <c r="Q3466" s="28">
        <f>163.29/1051.3</f>
        <v>0.15532198230761915</v>
      </c>
      <c r="U3466" s="29">
        <v>0.1</v>
      </c>
      <c r="W3466" s="741">
        <f t="shared" si="126"/>
        <v>2878.8929420717213</v>
      </c>
    </row>
    <row r="3467" spans="1:23" ht="15" customHeight="1">
      <c r="A3467" s="3">
        <v>40759</v>
      </c>
      <c r="B3467" s="4">
        <v>32675</v>
      </c>
      <c r="C3467" s="4">
        <v>83350</v>
      </c>
      <c r="D3467" s="5">
        <v>82000</v>
      </c>
      <c r="E3467" s="5">
        <f t="shared" si="127"/>
        <v>111925</v>
      </c>
      <c r="F3467" s="5">
        <v>309950</v>
      </c>
      <c r="K3467" s="24">
        <v>2493</v>
      </c>
      <c r="L3467" s="6">
        <v>2510</v>
      </c>
      <c r="M3467" s="270">
        <f t="shared" si="128"/>
        <v>17</v>
      </c>
      <c r="N3467" s="19"/>
      <c r="O3467" s="280"/>
      <c r="P3467" s="345">
        <v>16650</v>
      </c>
      <c r="Q3467" s="28">
        <f>164.53/1058.6</f>
        <v>0.15542225580955982</v>
      </c>
      <c r="U3467" s="29">
        <v>0.1</v>
      </c>
      <c r="W3467" s="741">
        <f t="shared" si="126"/>
        <v>2846.5586151520884</v>
      </c>
    </row>
    <row r="3468" spans="1:23" ht="15" customHeight="1">
      <c r="A3468" s="3">
        <v>40760</v>
      </c>
      <c r="B3468" s="4">
        <v>32625</v>
      </c>
      <c r="C3468" s="4">
        <v>83350</v>
      </c>
      <c r="D3468" s="5">
        <v>82000</v>
      </c>
      <c r="E3468" s="5">
        <f t="shared" si="127"/>
        <v>111825</v>
      </c>
      <c r="F3468" s="5">
        <v>309800</v>
      </c>
      <c r="K3468" s="24">
        <v>2419</v>
      </c>
      <c r="L3468" s="6">
        <v>2445</v>
      </c>
      <c r="M3468" s="270">
        <f t="shared" si="128"/>
        <v>26</v>
      </c>
      <c r="N3468" s="19"/>
      <c r="O3468" s="280"/>
      <c r="P3468" s="345">
        <v>16100</v>
      </c>
      <c r="Q3468" s="28">
        <f>164.41/1058.5</f>
        <v>0.15532357109116673</v>
      </c>
      <c r="U3468" s="29">
        <v>0.1</v>
      </c>
      <c r="W3468" s="741">
        <f t="shared" si="126"/>
        <v>2750.7804440245632</v>
      </c>
    </row>
    <row r="3469" spans="1:23" ht="15" customHeight="1">
      <c r="A3469" s="3">
        <v>40763</v>
      </c>
      <c r="B3469" s="4">
        <v>33350</v>
      </c>
      <c r="C3469" s="4">
        <v>83250</v>
      </c>
      <c r="D3469" s="5">
        <v>82000</v>
      </c>
      <c r="E3469" s="5">
        <f t="shared" si="127"/>
        <v>112050</v>
      </c>
      <c r="F3469" s="5">
        <v>310650</v>
      </c>
      <c r="K3469" s="24">
        <v>2345</v>
      </c>
      <c r="L3469" s="6">
        <v>2347</v>
      </c>
      <c r="M3469" s="270">
        <f t="shared" si="128"/>
        <v>2</v>
      </c>
      <c r="N3469" s="19"/>
      <c r="O3469" s="280"/>
      <c r="P3469" s="345">
        <v>16000</v>
      </c>
      <c r="Q3469" s="28">
        <f>166.04/1069.4</f>
        <v>0.15526463437441554</v>
      </c>
      <c r="U3469" s="29">
        <v>0.1</v>
      </c>
      <c r="W3469" s="741">
        <f t="shared" si="126"/>
        <v>2732.657564989714</v>
      </c>
    </row>
    <row r="3470" spans="1:23" ht="15" customHeight="1">
      <c r="A3470" s="3">
        <v>40764</v>
      </c>
      <c r="B3470" s="4">
        <v>32925</v>
      </c>
      <c r="C3470" s="4">
        <v>83250</v>
      </c>
      <c r="D3470" s="5">
        <v>82250</v>
      </c>
      <c r="E3470" s="5">
        <f t="shared" si="127"/>
        <v>112050</v>
      </c>
      <c r="F3470" s="5">
        <v>310475</v>
      </c>
      <c r="K3470" s="24">
        <v>2278</v>
      </c>
      <c r="L3470" s="6">
        <v>2290</v>
      </c>
      <c r="M3470" s="270">
        <f t="shared" si="128"/>
        <v>12</v>
      </c>
      <c r="N3470" s="19"/>
      <c r="O3470" s="280"/>
      <c r="P3470" s="345">
        <v>15600</v>
      </c>
      <c r="Q3470" s="28">
        <f>166.82/1073.5</f>
        <v>0.15539823008849557</v>
      </c>
      <c r="U3470" s="29">
        <v>0.1</v>
      </c>
      <c r="W3470" s="741">
        <f t="shared" si="126"/>
        <v>2666.6336283185842</v>
      </c>
    </row>
    <row r="3471" spans="1:23" ht="15" customHeight="1">
      <c r="A3471" s="3">
        <v>40765</v>
      </c>
      <c r="B3471" s="4">
        <v>32925</v>
      </c>
      <c r="C3471" s="4">
        <v>83250</v>
      </c>
      <c r="D3471" s="5">
        <v>82350</v>
      </c>
      <c r="E3471" s="5">
        <f t="shared" si="127"/>
        <v>111300</v>
      </c>
      <c r="F3471" s="5">
        <v>309825</v>
      </c>
      <c r="K3471" s="24">
        <v>2338.5</v>
      </c>
      <c r="L3471" s="6">
        <v>2354</v>
      </c>
      <c r="M3471" s="270">
        <f t="shared" si="128"/>
        <v>15.5</v>
      </c>
      <c r="N3471" s="19"/>
      <c r="O3471" s="280"/>
      <c r="P3471" s="345">
        <v>15900</v>
      </c>
      <c r="Q3471" s="28">
        <f>169.84/1092.2</f>
        <v>0.15550265519135689</v>
      </c>
      <c r="U3471" s="29">
        <v>0.1</v>
      </c>
      <c r="W3471" s="741">
        <f t="shared" si="126"/>
        <v>2719.7414392968321</v>
      </c>
    </row>
    <row r="3472" spans="1:23" ht="15" customHeight="1">
      <c r="A3472" s="3">
        <v>40766</v>
      </c>
      <c r="B3472" s="4">
        <v>32250</v>
      </c>
      <c r="C3472" s="4">
        <v>83250</v>
      </c>
      <c r="D3472" s="5">
        <v>82350</v>
      </c>
      <c r="E3472" s="5">
        <f t="shared" si="127"/>
        <v>111300</v>
      </c>
      <c r="F3472" s="5">
        <v>309150</v>
      </c>
      <c r="K3472" s="24">
        <v>2300.5</v>
      </c>
      <c r="L3472" s="6">
        <v>2309</v>
      </c>
      <c r="M3472" s="270">
        <f t="shared" si="128"/>
        <v>8.5</v>
      </c>
      <c r="N3472" s="19"/>
      <c r="O3472" s="280"/>
      <c r="P3472" s="345">
        <v>16000</v>
      </c>
      <c r="Q3472" s="28">
        <f>168.35/1080.4</f>
        <v>0.15582191780821916</v>
      </c>
      <c r="U3472" s="29">
        <v>0.1</v>
      </c>
      <c r="W3472" s="741">
        <f t="shared" si="126"/>
        <v>2742.4657534246571</v>
      </c>
    </row>
    <row r="3473" spans="1:23" ht="15" customHeight="1">
      <c r="A3473" s="3">
        <v>40767</v>
      </c>
      <c r="B3473" s="4">
        <v>31575</v>
      </c>
      <c r="C3473" s="4">
        <v>83250</v>
      </c>
      <c r="D3473" s="5">
        <v>82400</v>
      </c>
      <c r="E3473" s="5">
        <f t="shared" si="127"/>
        <v>111300</v>
      </c>
      <c r="F3473" s="5">
        <v>308525</v>
      </c>
      <c r="K3473" s="24">
        <v>2387</v>
      </c>
      <c r="L3473" s="6">
        <v>2388</v>
      </c>
      <c r="M3473" s="270">
        <f t="shared" si="128"/>
        <v>1</v>
      </c>
      <c r="N3473" s="19"/>
      <c r="O3473" s="280"/>
      <c r="P3473" s="345">
        <v>16200</v>
      </c>
      <c r="Q3473" s="28">
        <f>169.79/1085.7</f>
        <v>0.1563875840471585</v>
      </c>
      <c r="U3473" s="29">
        <v>0.1</v>
      </c>
      <c r="W3473" s="741">
        <f t="shared" si="126"/>
        <v>2786.8267477203649</v>
      </c>
    </row>
    <row r="3474" spans="1:23" ht="15" customHeight="1">
      <c r="A3474" s="3">
        <v>40770</v>
      </c>
      <c r="B3474" s="4">
        <v>31375</v>
      </c>
      <c r="C3474" s="4">
        <v>83250</v>
      </c>
      <c r="D3474" s="5">
        <v>82475</v>
      </c>
      <c r="E3474" s="5">
        <f t="shared" si="127"/>
        <v>111200</v>
      </c>
      <c r="F3474" s="5">
        <v>308300</v>
      </c>
      <c r="K3474" s="24">
        <v>2355</v>
      </c>
      <c r="L3474" s="6">
        <v>2359</v>
      </c>
      <c r="M3474" s="270">
        <f t="shared" si="128"/>
        <v>4</v>
      </c>
      <c r="N3474" s="19"/>
      <c r="O3474" s="280"/>
      <c r="P3474" s="345">
        <v>16250</v>
      </c>
      <c r="Q3474" s="28">
        <f>169.79/1085.7</f>
        <v>0.1563875840471585</v>
      </c>
      <c r="U3474" s="29">
        <v>0.1</v>
      </c>
      <c r="W3474" s="741">
        <f t="shared" si="126"/>
        <v>2795.4280648429585</v>
      </c>
    </row>
    <row r="3475" spans="1:23" ht="15" customHeight="1">
      <c r="A3475" s="3">
        <v>40771</v>
      </c>
      <c r="B3475" s="4">
        <v>42400</v>
      </c>
      <c r="C3475" s="4">
        <v>83150</v>
      </c>
      <c r="D3475" s="5">
        <v>82475</v>
      </c>
      <c r="E3475" s="5">
        <f t="shared" si="127"/>
        <v>111200</v>
      </c>
      <c r="F3475" s="5">
        <v>319225</v>
      </c>
      <c r="K3475" s="24">
        <v>2355</v>
      </c>
      <c r="L3475" s="6">
        <v>2345.5</v>
      </c>
      <c r="M3475" s="270">
        <f t="shared" si="128"/>
        <v>-9.5</v>
      </c>
      <c r="N3475" s="19"/>
      <c r="O3475" s="280"/>
      <c r="P3475" s="345">
        <v>16200</v>
      </c>
      <c r="Q3475" s="28">
        <f>168.79/1078.7</f>
        <v>0.15647538703995548</v>
      </c>
      <c r="U3475" s="29">
        <v>0.1</v>
      </c>
      <c r="W3475" s="741">
        <f t="shared" si="126"/>
        <v>2788.3913970520066</v>
      </c>
    </row>
    <row r="3476" spans="1:23" ht="15" customHeight="1">
      <c r="A3476" s="3">
        <v>40772</v>
      </c>
      <c r="B3476" s="4">
        <v>41700</v>
      </c>
      <c r="C3476" s="4">
        <v>83050</v>
      </c>
      <c r="D3476" s="5">
        <v>82525</v>
      </c>
      <c r="E3476" s="5">
        <f t="shared" si="127"/>
        <v>111300</v>
      </c>
      <c r="F3476" s="5">
        <v>318575</v>
      </c>
      <c r="K3476" s="24">
        <v>2396</v>
      </c>
      <c r="L3476" s="6">
        <v>2389</v>
      </c>
      <c r="M3476" s="270">
        <f t="shared" si="128"/>
        <v>-7</v>
      </c>
      <c r="N3476" s="19"/>
      <c r="O3476" s="280"/>
      <c r="P3476" s="345">
        <v>16200</v>
      </c>
      <c r="Q3476" s="28">
        <f>167.64/1070</f>
        <v>0.15667289719626168</v>
      </c>
      <c r="U3476" s="29">
        <v>0.1</v>
      </c>
      <c r="W3476" s="741">
        <f t="shared" si="126"/>
        <v>2791.9110280373834</v>
      </c>
    </row>
    <row r="3477" spans="1:23" ht="15" customHeight="1">
      <c r="A3477" s="3">
        <v>40773</v>
      </c>
      <c r="B3477" s="4">
        <v>41300</v>
      </c>
      <c r="C3477" s="4">
        <v>83050</v>
      </c>
      <c r="D3477" s="5">
        <v>82525</v>
      </c>
      <c r="E3477" s="5">
        <f t="shared" si="127"/>
        <v>111250</v>
      </c>
      <c r="F3477" s="5">
        <v>318125</v>
      </c>
      <c r="K3477" s="24">
        <v>2340</v>
      </c>
      <c r="L3477" s="6">
        <v>2332.5</v>
      </c>
      <c r="M3477" s="270">
        <f t="shared" si="128"/>
        <v>-7.5</v>
      </c>
      <c r="N3477" s="19"/>
      <c r="O3477" s="280"/>
      <c r="P3477" s="345">
        <v>16300</v>
      </c>
      <c r="Q3477" s="28">
        <f>167.95/1072.7</f>
        <v>0.1565675398527081</v>
      </c>
      <c r="U3477" s="29">
        <v>0.1</v>
      </c>
      <c r="W3477" s="741">
        <f t="shared" si="126"/>
        <v>2807.2559895590566</v>
      </c>
    </row>
    <row r="3478" spans="1:23" ht="15" customHeight="1">
      <c r="A3478" s="3">
        <v>40774</v>
      </c>
      <c r="B3478" s="4">
        <v>40725</v>
      </c>
      <c r="C3478" s="4">
        <v>83050</v>
      </c>
      <c r="D3478" s="5">
        <v>82575</v>
      </c>
      <c r="E3478" s="5">
        <f t="shared" si="127"/>
        <v>111700</v>
      </c>
      <c r="F3478" s="5">
        <v>318050</v>
      </c>
      <c r="K3478" s="24">
        <v>2316</v>
      </c>
      <c r="L3478" s="6">
        <v>2319.5</v>
      </c>
      <c r="M3478" s="270">
        <f t="shared" si="128"/>
        <v>3.5</v>
      </c>
      <c r="N3478" s="19"/>
      <c r="O3478" s="280"/>
      <c r="P3478" s="345">
        <v>16100</v>
      </c>
      <c r="Q3478" s="28">
        <f>167.86/1072.3</f>
        <v>0.15654201249650287</v>
      </c>
      <c r="U3478" s="29">
        <v>0.1</v>
      </c>
      <c r="W3478" s="741">
        <f t="shared" si="126"/>
        <v>2772.359041313066</v>
      </c>
    </row>
    <row r="3479" spans="1:23" ht="15" customHeight="1">
      <c r="A3479" s="3">
        <v>40777</v>
      </c>
      <c r="B3479" s="4">
        <v>39925</v>
      </c>
      <c r="C3479" s="4">
        <v>83525</v>
      </c>
      <c r="D3479" s="5">
        <v>82825</v>
      </c>
      <c r="E3479" s="5">
        <f t="shared" si="127"/>
        <v>110175</v>
      </c>
      <c r="F3479" s="5">
        <v>316450</v>
      </c>
      <c r="K3479" s="24">
        <v>2300</v>
      </c>
      <c r="L3479" s="6">
        <v>2297</v>
      </c>
      <c r="M3479" s="270">
        <f t="shared" si="128"/>
        <v>-3</v>
      </c>
      <c r="N3479" s="19"/>
      <c r="O3479" s="280"/>
      <c r="P3479" s="345">
        <v>16250</v>
      </c>
      <c r="Q3479" s="28">
        <f>169.43/1082.9</f>
        <v>0.15645950687967494</v>
      </c>
      <c r="U3479" s="29">
        <v>0.1</v>
      </c>
      <c r="W3479" s="741">
        <f t="shared" si="126"/>
        <v>2796.7136854741898</v>
      </c>
    </row>
    <row r="3480" spans="1:23" ht="15" customHeight="1">
      <c r="A3480" s="3">
        <v>40778</v>
      </c>
      <c r="B3480" s="4">
        <v>39175</v>
      </c>
      <c r="C3480" s="4">
        <v>82475</v>
      </c>
      <c r="D3480" s="5">
        <v>82900</v>
      </c>
      <c r="E3480" s="5">
        <f t="shared" si="127"/>
        <v>111200</v>
      </c>
      <c r="F3480" s="5">
        <v>315750</v>
      </c>
      <c r="K3480" s="24">
        <v>2324.5</v>
      </c>
      <c r="L3480" s="6">
        <v>2320</v>
      </c>
      <c r="M3480" s="270">
        <f t="shared" si="128"/>
        <v>-4.5</v>
      </c>
      <c r="N3480" s="19"/>
      <c r="O3480" s="280"/>
      <c r="P3480" s="345">
        <v>16150</v>
      </c>
      <c r="Q3480" s="28">
        <f>169.31/1083.4</f>
        <v>0.15627653682850284</v>
      </c>
      <c r="U3480" s="29">
        <v>0.1</v>
      </c>
      <c r="W3480" s="741">
        <f t="shared" si="126"/>
        <v>2776.2526767583536</v>
      </c>
    </row>
    <row r="3481" spans="1:23" ht="15" customHeight="1">
      <c r="A3481" s="3">
        <v>40779</v>
      </c>
      <c r="B3481" s="4">
        <v>38325</v>
      </c>
      <c r="C3481" s="4">
        <v>82475</v>
      </c>
      <c r="D3481" s="5">
        <v>82900</v>
      </c>
      <c r="E3481" s="5">
        <f t="shared" si="127"/>
        <v>111325</v>
      </c>
      <c r="F3481" s="5">
        <v>315025</v>
      </c>
      <c r="K3481" s="24">
        <v>2344</v>
      </c>
      <c r="L3481" s="6">
        <v>2342</v>
      </c>
      <c r="M3481" s="270">
        <f t="shared" si="128"/>
        <v>-2</v>
      </c>
      <c r="N3481" s="19"/>
      <c r="O3481" s="280"/>
      <c r="P3481" s="345">
        <v>16250</v>
      </c>
      <c r="Q3481" s="28">
        <f>168.99/1081</f>
        <v>0.15632747456059204</v>
      </c>
      <c r="U3481" s="29">
        <v>0.1</v>
      </c>
      <c r="W3481" s="741">
        <f t="shared" si="126"/>
        <v>2794.353607770583</v>
      </c>
    </row>
    <row r="3482" spans="1:23" ht="15" customHeight="1">
      <c r="A3482" s="3">
        <v>40780</v>
      </c>
      <c r="B3482" s="4">
        <v>37100</v>
      </c>
      <c r="C3482" s="4">
        <v>82475</v>
      </c>
      <c r="D3482" s="5">
        <v>83100</v>
      </c>
      <c r="E3482" s="5">
        <f t="shared" si="127"/>
        <v>111325</v>
      </c>
      <c r="F3482" s="5">
        <v>314000</v>
      </c>
      <c r="K3482" s="24">
        <v>2399.5</v>
      </c>
      <c r="L3482" s="6">
        <v>2395</v>
      </c>
      <c r="M3482" s="270">
        <f t="shared" si="128"/>
        <v>-4.5</v>
      </c>
      <c r="N3482" s="19"/>
      <c r="O3482" s="280"/>
      <c r="P3482" s="345">
        <v>16250</v>
      </c>
      <c r="Q3482" s="28">
        <f>168.91/1079</f>
        <v>0.15654309545875811</v>
      </c>
      <c r="U3482" s="29">
        <v>0.1</v>
      </c>
      <c r="W3482" s="741">
        <f t="shared" si="126"/>
        <v>2798.2078313253014</v>
      </c>
    </row>
    <row r="3483" spans="1:23" ht="15" customHeight="1">
      <c r="A3483" s="3">
        <v>40781</v>
      </c>
      <c r="B3483" s="4">
        <v>37050</v>
      </c>
      <c r="C3483" s="4">
        <v>82475</v>
      </c>
      <c r="D3483" s="5">
        <v>83100</v>
      </c>
      <c r="E3483" s="5">
        <f t="shared" si="127"/>
        <v>114575</v>
      </c>
      <c r="F3483" s="5">
        <v>317200</v>
      </c>
      <c r="K3483" s="24">
        <v>2471</v>
      </c>
      <c r="L3483" s="6">
        <v>2465</v>
      </c>
      <c r="M3483" s="270">
        <f t="shared" si="128"/>
        <v>-6</v>
      </c>
      <c r="N3483" s="19"/>
      <c r="O3483" s="280"/>
      <c r="P3483" s="345">
        <v>16275</v>
      </c>
      <c r="Q3483" s="28">
        <f>169.87/1085.3</f>
        <v>0.15651893485672166</v>
      </c>
      <c r="U3483" s="29">
        <v>0.1</v>
      </c>
      <c r="W3483" s="741">
        <f t="shared" si="126"/>
        <v>2802.08023127246</v>
      </c>
    </row>
    <row r="3484" spans="1:23" ht="15" customHeight="1">
      <c r="A3484" s="3">
        <v>40784</v>
      </c>
      <c r="C3484" s="26"/>
      <c r="D3484" s="26"/>
      <c r="E3484" s="26"/>
      <c r="F3484" s="26"/>
      <c r="G3484" s="1003" t="s">
        <v>70</v>
      </c>
      <c r="H3484" s="1003"/>
      <c r="I3484" s="1003"/>
      <c r="J3484" s="1003"/>
      <c r="K3484" s="26"/>
      <c r="L3484" s="26"/>
      <c r="M3484" s="26"/>
      <c r="N3484" s="19"/>
      <c r="O3484" s="280"/>
      <c r="P3484" s="345">
        <v>16375</v>
      </c>
      <c r="Q3484" s="28">
        <f>169.79/1084.5</f>
        <v>0.15656062701705856</v>
      </c>
      <c r="U3484" s="29">
        <v>0.1</v>
      </c>
      <c r="W3484" s="741">
        <f t="shared" si="126"/>
        <v>2820.0482941447676</v>
      </c>
    </row>
    <row r="3485" spans="1:23" ht="15" customHeight="1">
      <c r="A3485" s="3">
        <v>40785</v>
      </c>
      <c r="B3485" s="4">
        <v>37050</v>
      </c>
      <c r="C3485" s="4">
        <v>85725</v>
      </c>
      <c r="D3485" s="5">
        <v>83100</v>
      </c>
      <c r="E3485" s="5">
        <f t="shared" ref="E3485:E3567" si="129">F3485-(B3485+C3485+D3485)</f>
        <v>112000</v>
      </c>
      <c r="F3485" s="5">
        <v>317875</v>
      </c>
      <c r="K3485" s="24">
        <v>2497</v>
      </c>
      <c r="L3485" s="6">
        <v>2493</v>
      </c>
      <c r="M3485" s="270">
        <f t="shared" si="128"/>
        <v>-4</v>
      </c>
      <c r="N3485" s="19"/>
      <c r="O3485" s="280"/>
      <c r="P3485" s="345">
        <v>16475</v>
      </c>
      <c r="Q3485" s="28">
        <f>168.62/1076</f>
        <v>0.15671003717472121</v>
      </c>
      <c r="U3485" s="29">
        <v>0.1</v>
      </c>
      <c r="W3485" s="741">
        <f t="shared" si="126"/>
        <v>2839.9776486988853</v>
      </c>
    </row>
    <row r="3486" spans="1:23" ht="15" customHeight="1" thickBot="1">
      <c r="A3486" s="12">
        <v>40786</v>
      </c>
      <c r="B3486" s="13">
        <v>37050</v>
      </c>
      <c r="C3486" s="13">
        <v>86400</v>
      </c>
      <c r="D3486" s="14">
        <v>82825</v>
      </c>
      <c r="E3486" s="14">
        <f t="shared" si="129"/>
        <v>111325</v>
      </c>
      <c r="F3486" s="14">
        <v>317600</v>
      </c>
      <c r="G3486" s="14"/>
      <c r="H3486" s="14"/>
      <c r="I3486" s="14"/>
      <c r="J3486" s="264"/>
      <c r="K3486" s="25">
        <v>2555</v>
      </c>
      <c r="L3486" s="15">
        <v>2546</v>
      </c>
      <c r="M3486" s="271">
        <f t="shared" si="128"/>
        <v>-9</v>
      </c>
      <c r="N3486" s="164">
        <f>AVERAGE(K3464:K3486)</f>
        <v>2404.7045454545455</v>
      </c>
      <c r="O3486" s="288">
        <f>AVERAGE(K3315:K3486)</f>
        <v>2568.5391566265062</v>
      </c>
      <c r="P3486" s="346">
        <v>16425</v>
      </c>
      <c r="Q3486" s="30">
        <f>167.96/1071.7</f>
        <v>0.15672296351590931</v>
      </c>
      <c r="R3486" s="30"/>
      <c r="S3486" s="30"/>
      <c r="T3486" s="30"/>
      <c r="U3486" s="31">
        <v>0.1</v>
      </c>
      <c r="V3486" s="46">
        <f>AVERAGE(P3464:P3486)</f>
        <v>16293.478260869566</v>
      </c>
      <c r="W3486" s="741">
        <f t="shared" si="126"/>
        <v>2831.5921433236917</v>
      </c>
    </row>
    <row r="3487" spans="1:23" ht="15" customHeight="1">
      <c r="A3487" s="36">
        <v>40787</v>
      </c>
      <c r="B3487" s="37">
        <v>37050</v>
      </c>
      <c r="C3487" s="37">
        <v>86400</v>
      </c>
      <c r="D3487" s="38">
        <v>82800</v>
      </c>
      <c r="E3487" s="38">
        <f t="shared" si="129"/>
        <v>112000</v>
      </c>
      <c r="F3487" s="38">
        <v>318250</v>
      </c>
      <c r="G3487" s="38"/>
      <c r="H3487" s="38"/>
      <c r="I3487" s="38"/>
      <c r="J3487" s="268"/>
      <c r="K3487" s="39">
        <v>2559</v>
      </c>
      <c r="L3487" s="40">
        <v>2542</v>
      </c>
      <c r="M3487" s="270">
        <f t="shared" si="128"/>
        <v>-17</v>
      </c>
      <c r="N3487" s="21"/>
      <c r="O3487" s="283"/>
      <c r="P3487" s="348">
        <v>16425</v>
      </c>
      <c r="Q3487" s="41">
        <f>167.8/1070.4</f>
        <v>0.15676382660687593</v>
      </c>
      <c r="R3487" s="41"/>
      <c r="S3487" s="41"/>
      <c r="T3487" s="41"/>
      <c r="U3487" s="42">
        <v>0.1</v>
      </c>
      <c r="V3487" s="45"/>
      <c r="W3487" s="741">
        <f t="shared" si="126"/>
        <v>2832.3304372197313</v>
      </c>
    </row>
    <row r="3488" spans="1:23" ht="15" customHeight="1">
      <c r="A3488" s="3">
        <v>40788</v>
      </c>
      <c r="B3488" s="4">
        <v>37025</v>
      </c>
      <c r="C3488" s="4">
        <v>87075</v>
      </c>
      <c r="D3488" s="5">
        <v>82650</v>
      </c>
      <c r="E3488" s="5">
        <f t="shared" si="129"/>
        <v>114750</v>
      </c>
      <c r="F3488" s="5">
        <v>321500</v>
      </c>
      <c r="K3488" s="24">
        <v>2527</v>
      </c>
      <c r="L3488" s="6">
        <v>2507</v>
      </c>
      <c r="M3488" s="270">
        <f t="shared" si="128"/>
        <v>-20</v>
      </c>
      <c r="N3488" s="19"/>
      <c r="O3488" s="280"/>
      <c r="P3488" s="345">
        <v>16325</v>
      </c>
      <c r="Q3488" s="28">
        <f>166.58/1063</f>
        <v>0.15670743179680152</v>
      </c>
      <c r="U3488" s="29">
        <v>0.1</v>
      </c>
      <c r="W3488" s="741">
        <f t="shared" si="126"/>
        <v>2814.0737064910636</v>
      </c>
    </row>
    <row r="3489" spans="1:23" ht="15" customHeight="1">
      <c r="A3489" s="3">
        <v>40791</v>
      </c>
      <c r="B3489" s="4">
        <v>37000</v>
      </c>
      <c r="C3489" s="4">
        <v>90500</v>
      </c>
      <c r="D3489" s="5">
        <v>82275</v>
      </c>
      <c r="E3489" s="5">
        <f t="shared" si="129"/>
        <v>111325</v>
      </c>
      <c r="F3489" s="5">
        <v>321100</v>
      </c>
      <c r="K3489" s="24">
        <v>2444</v>
      </c>
      <c r="L3489" s="6">
        <v>2430</v>
      </c>
      <c r="M3489" s="270">
        <f t="shared" si="128"/>
        <v>-14</v>
      </c>
      <c r="N3489" s="19"/>
      <c r="O3489" s="280"/>
      <c r="P3489" s="345">
        <v>16275</v>
      </c>
      <c r="Q3489" s="28">
        <f>166.49/1062.7</f>
        <v>0.15666698033311377</v>
      </c>
      <c r="U3489" s="29">
        <v>0.1</v>
      </c>
      <c r="W3489" s="741">
        <f t="shared" si="126"/>
        <v>2804.7306154135695</v>
      </c>
    </row>
    <row r="3490" spans="1:23" ht="15" customHeight="1">
      <c r="A3490" s="3">
        <v>40792</v>
      </c>
      <c r="B3490" s="4">
        <v>37000</v>
      </c>
      <c r="C3490" s="4">
        <v>90500</v>
      </c>
      <c r="D3490" s="5">
        <v>82575</v>
      </c>
      <c r="E3490" s="5">
        <f t="shared" si="129"/>
        <v>111275</v>
      </c>
      <c r="F3490" s="5">
        <v>321350</v>
      </c>
      <c r="K3490" s="24">
        <v>2424</v>
      </c>
      <c r="L3490" s="6">
        <v>2407.5</v>
      </c>
      <c r="M3490" s="270">
        <f t="shared" si="128"/>
        <v>-16.5</v>
      </c>
      <c r="N3490" s="19"/>
      <c r="O3490" s="280"/>
      <c r="P3490" s="345">
        <v>16175</v>
      </c>
      <c r="Q3490" s="28">
        <f>167.29/1068.3</f>
        <v>0.15659458953477487</v>
      </c>
      <c r="U3490" s="29">
        <v>0.1</v>
      </c>
      <c r="W3490" s="741">
        <f t="shared" si="126"/>
        <v>2786.209234297482</v>
      </c>
    </row>
    <row r="3491" spans="1:23" ht="15" customHeight="1">
      <c r="A3491" s="3">
        <v>40793</v>
      </c>
      <c r="B3491" s="4">
        <v>37075</v>
      </c>
      <c r="C3491" s="4">
        <v>90500</v>
      </c>
      <c r="D3491" s="5">
        <v>82625</v>
      </c>
      <c r="E3491" s="5">
        <f t="shared" si="129"/>
        <v>111250</v>
      </c>
      <c r="F3491" s="5">
        <v>321450</v>
      </c>
      <c r="K3491" s="219">
        <v>2432</v>
      </c>
      <c r="L3491" s="6">
        <v>2410.5</v>
      </c>
      <c r="M3491" s="270">
        <f t="shared" si="128"/>
        <v>-21.5</v>
      </c>
      <c r="N3491" s="19"/>
      <c r="O3491" s="280"/>
      <c r="P3491" s="345">
        <v>16225</v>
      </c>
      <c r="Q3491" s="28">
        <f>167.72/1071.8</f>
        <v>0.15648441873483859</v>
      </c>
      <c r="U3491" s="29">
        <v>0.1</v>
      </c>
      <c r="W3491" s="741">
        <f t="shared" si="126"/>
        <v>2792.8556633700318</v>
      </c>
    </row>
    <row r="3492" spans="1:23" ht="15" customHeight="1">
      <c r="A3492" s="3">
        <v>40794</v>
      </c>
      <c r="B3492" s="4">
        <v>37075</v>
      </c>
      <c r="C3492" s="4">
        <v>90500</v>
      </c>
      <c r="D3492" s="5">
        <v>82200</v>
      </c>
      <c r="E3492" s="5">
        <f>F3492-(B3492+C3492+D3492)</f>
        <v>111275</v>
      </c>
      <c r="F3492" s="5">
        <v>321050</v>
      </c>
      <c r="K3492" s="24">
        <v>2423.5</v>
      </c>
      <c r="L3492" s="6">
        <v>2405</v>
      </c>
      <c r="M3492" s="270">
        <f t="shared" si="128"/>
        <v>-18.5</v>
      </c>
      <c r="N3492" s="19"/>
      <c r="O3492" s="280"/>
      <c r="P3492" s="345">
        <v>16325</v>
      </c>
      <c r="Q3492" s="28">
        <f>167.64/1071.7</f>
        <v>0.15642437249230193</v>
      </c>
      <c r="U3492" s="29">
        <v>0.1</v>
      </c>
      <c r="W3492" s="741">
        <f t="shared" si="126"/>
        <v>2808.9906690305124</v>
      </c>
    </row>
    <row r="3493" spans="1:23" ht="15" customHeight="1">
      <c r="A3493" s="3">
        <v>40795</v>
      </c>
      <c r="B3493" s="4">
        <v>36975</v>
      </c>
      <c r="C3493" s="4">
        <v>90875</v>
      </c>
      <c r="D3493" s="5">
        <v>80475</v>
      </c>
      <c r="E3493" s="5">
        <f t="shared" si="129"/>
        <v>111800</v>
      </c>
      <c r="F3493" s="5">
        <v>320125</v>
      </c>
      <c r="K3493" s="24">
        <v>2455</v>
      </c>
      <c r="L3493" s="6">
        <v>2435.5</v>
      </c>
      <c r="M3493" s="270">
        <f t="shared" si="128"/>
        <v>-19.5</v>
      </c>
      <c r="N3493" s="19"/>
      <c r="O3493" s="280"/>
      <c r="P3493" s="345">
        <v>16275</v>
      </c>
      <c r="Q3493" s="28">
        <f>168.05/1072.8</f>
        <v>0.15664615958240122</v>
      </c>
      <c r="U3493" s="29">
        <v>0.1</v>
      </c>
      <c r="W3493" s="741">
        <f t="shared" si="126"/>
        <v>2804.3578719239381</v>
      </c>
    </row>
    <row r="3494" spans="1:23" ht="15" customHeight="1">
      <c r="A3494" s="3">
        <v>40798</v>
      </c>
      <c r="B3494" s="4">
        <v>36975</v>
      </c>
      <c r="C3494" s="4">
        <v>90875</v>
      </c>
      <c r="D3494" s="5">
        <v>80475</v>
      </c>
      <c r="E3494" s="5">
        <f t="shared" si="129"/>
        <v>110825</v>
      </c>
      <c r="F3494" s="5">
        <v>319150</v>
      </c>
      <c r="K3494" s="24">
        <v>2430</v>
      </c>
      <c r="L3494" s="6">
        <v>2405</v>
      </c>
      <c r="M3494" s="270">
        <f t="shared" si="128"/>
        <v>-25</v>
      </c>
      <c r="N3494" s="19"/>
      <c r="O3494" s="280"/>
      <c r="P3494" s="345">
        <v>16175</v>
      </c>
      <c r="Q3494" s="28">
        <f>168.05/1072.8</f>
        <v>0.15664615958240122</v>
      </c>
      <c r="U3494" s="29">
        <v>0.1</v>
      </c>
      <c r="W3494" s="741">
        <f t="shared" si="126"/>
        <v>2787.126794369874</v>
      </c>
    </row>
    <row r="3495" spans="1:23" ht="15" customHeight="1">
      <c r="A3495" s="3">
        <v>40799</v>
      </c>
      <c r="B3495" s="4">
        <v>41975</v>
      </c>
      <c r="C3495" s="4">
        <v>90775</v>
      </c>
      <c r="D3495" s="5">
        <v>79650</v>
      </c>
      <c r="E3495" s="5">
        <f t="shared" si="129"/>
        <v>111375</v>
      </c>
      <c r="F3495" s="5">
        <v>323775</v>
      </c>
      <c r="K3495" s="24">
        <v>2425.5</v>
      </c>
      <c r="L3495" s="6">
        <v>2406</v>
      </c>
      <c r="M3495" s="270">
        <f t="shared" si="128"/>
        <v>-19.5</v>
      </c>
      <c r="N3495" s="19"/>
      <c r="O3495" s="280"/>
      <c r="P3495" s="345">
        <v>16175</v>
      </c>
      <c r="Q3495" s="28">
        <f>168.05/1072.8</f>
        <v>0.15664615958240122</v>
      </c>
      <c r="U3495" s="29">
        <v>0.1</v>
      </c>
      <c r="W3495" s="741">
        <f t="shared" si="126"/>
        <v>2787.126794369874</v>
      </c>
    </row>
    <row r="3496" spans="1:23" ht="15" customHeight="1">
      <c r="A3496" s="3">
        <v>40800</v>
      </c>
      <c r="B3496" s="4">
        <v>41975</v>
      </c>
      <c r="C3496" s="4">
        <v>91300</v>
      </c>
      <c r="D3496" s="5">
        <v>79025</v>
      </c>
      <c r="E3496" s="5">
        <f t="shared" si="129"/>
        <v>110700</v>
      </c>
      <c r="F3496" s="5">
        <v>323000</v>
      </c>
      <c r="K3496" s="24">
        <v>2383</v>
      </c>
      <c r="L3496" s="6">
        <v>2363</v>
      </c>
      <c r="M3496" s="270">
        <f t="shared" si="128"/>
        <v>-20</v>
      </c>
      <c r="N3496" s="19"/>
      <c r="O3496" s="280"/>
      <c r="P3496" s="345">
        <v>16175</v>
      </c>
      <c r="Q3496" s="28">
        <f>168.15/1076</f>
        <v>0.15627323420074349</v>
      </c>
      <c r="U3496" s="29">
        <v>0.1</v>
      </c>
      <c r="W3496" s="741">
        <f t="shared" si="126"/>
        <v>2780.4915195167287</v>
      </c>
    </row>
    <row r="3497" spans="1:23" ht="15" customHeight="1">
      <c r="A3497" s="3">
        <v>40801</v>
      </c>
      <c r="B3497" s="4">
        <v>41975</v>
      </c>
      <c r="C3497" s="4">
        <v>91300</v>
      </c>
      <c r="D3497" s="5">
        <v>78650</v>
      </c>
      <c r="E3497" s="5">
        <f t="shared" si="129"/>
        <v>110750</v>
      </c>
      <c r="F3497" s="5">
        <v>322675</v>
      </c>
      <c r="K3497" s="24">
        <v>2406</v>
      </c>
      <c r="L3497" s="6">
        <v>2390</v>
      </c>
      <c r="M3497" s="270">
        <f t="shared" si="128"/>
        <v>-16</v>
      </c>
      <c r="N3497" s="19"/>
      <c r="O3497" s="280"/>
      <c r="P3497" s="345">
        <v>16100</v>
      </c>
      <c r="Q3497" s="28">
        <f>172.15/1100.4</f>
        <v>0.15644311159578334</v>
      </c>
      <c r="U3497" s="29">
        <v>0.1</v>
      </c>
      <c r="W3497" s="741">
        <f t="shared" si="126"/>
        <v>2770.607506361323</v>
      </c>
    </row>
    <row r="3498" spans="1:23" ht="15" customHeight="1">
      <c r="A3498" s="3">
        <v>40802</v>
      </c>
      <c r="B3498" s="4">
        <v>45225</v>
      </c>
      <c r="C3498" s="4">
        <v>91500</v>
      </c>
      <c r="D3498" s="5">
        <v>79475</v>
      </c>
      <c r="E3498" s="5">
        <f t="shared" si="129"/>
        <v>111550</v>
      </c>
      <c r="F3498" s="5">
        <v>327750</v>
      </c>
      <c r="K3498" s="24">
        <v>2426</v>
      </c>
      <c r="L3498" s="6">
        <v>2411.5</v>
      </c>
      <c r="M3498" s="270">
        <f t="shared" si="128"/>
        <v>-14.5</v>
      </c>
      <c r="N3498" s="19"/>
      <c r="O3498" s="280"/>
      <c r="P3498" s="345">
        <v>16100</v>
      </c>
      <c r="Q3498" s="28">
        <f>173.38/1108.1</f>
        <v>0.15646602292211895</v>
      </c>
      <c r="U3498" s="29">
        <v>0.1</v>
      </c>
      <c r="W3498" s="741">
        <f t="shared" si="126"/>
        <v>2771.0132659507267</v>
      </c>
    </row>
    <row r="3499" spans="1:23" ht="15" customHeight="1">
      <c r="A3499" s="3">
        <v>40805</v>
      </c>
      <c r="B3499" s="4">
        <v>45125</v>
      </c>
      <c r="C3499" s="4">
        <v>91625</v>
      </c>
      <c r="D3499" s="5">
        <v>79400</v>
      </c>
      <c r="E3499" s="5">
        <f t="shared" si="129"/>
        <v>114025</v>
      </c>
      <c r="F3499" s="5">
        <v>330175</v>
      </c>
      <c r="K3499" s="24">
        <v>2321</v>
      </c>
      <c r="L3499" s="6">
        <v>2320</v>
      </c>
      <c r="M3499" s="270">
        <f t="shared" si="128"/>
        <v>-1</v>
      </c>
      <c r="N3499" s="19"/>
      <c r="O3499" s="280"/>
      <c r="P3499" s="345">
        <v>15950</v>
      </c>
      <c r="Q3499" s="28">
        <f>173.39/1106.9</f>
        <v>0.15664468334989609</v>
      </c>
      <c r="U3499" s="29">
        <v>0.1</v>
      </c>
      <c r="W3499" s="741">
        <f t="shared" si="126"/>
        <v>2748.3309693739275</v>
      </c>
    </row>
    <row r="3500" spans="1:23" ht="15" customHeight="1">
      <c r="A3500" s="3">
        <v>40806</v>
      </c>
      <c r="B3500" s="4">
        <v>45025</v>
      </c>
      <c r="C3500" s="4">
        <v>91625</v>
      </c>
      <c r="D3500" s="5">
        <v>79375</v>
      </c>
      <c r="E3500" s="5">
        <f t="shared" si="129"/>
        <v>129400</v>
      </c>
      <c r="F3500" s="5">
        <v>345425</v>
      </c>
      <c r="K3500" s="24">
        <v>2330</v>
      </c>
      <c r="L3500" s="6">
        <v>2319</v>
      </c>
      <c r="M3500" s="270">
        <f t="shared" si="128"/>
        <v>-11</v>
      </c>
      <c r="N3500" s="19"/>
      <c r="O3500" s="280"/>
      <c r="P3500" s="345">
        <v>15700</v>
      </c>
      <c r="Q3500" s="28">
        <f>175.73/1122.3</f>
        <v>0.15658023701327631</v>
      </c>
      <c r="U3500" s="29">
        <v>0.1</v>
      </c>
      <c r="W3500" s="741">
        <f t="shared" si="126"/>
        <v>2704.1406932192822</v>
      </c>
    </row>
    <row r="3501" spans="1:23" ht="15" customHeight="1">
      <c r="A3501" s="3">
        <v>40807</v>
      </c>
      <c r="B3501" s="4">
        <v>66775</v>
      </c>
      <c r="C3501" s="4">
        <v>106800</v>
      </c>
      <c r="D3501" s="5">
        <v>78600</v>
      </c>
      <c r="E3501" s="5">
        <f t="shared" si="129"/>
        <v>122650</v>
      </c>
      <c r="F3501" s="5">
        <v>374825</v>
      </c>
      <c r="K3501" s="24">
        <v>2260</v>
      </c>
      <c r="L3501" s="6">
        <v>2253</v>
      </c>
      <c r="M3501" s="270">
        <f t="shared" si="128"/>
        <v>-7</v>
      </c>
      <c r="N3501" s="19"/>
      <c r="O3501" s="280"/>
      <c r="P3501" s="345">
        <v>15700</v>
      </c>
      <c r="Q3501" s="28">
        <f>180.23/1150.6</f>
        <v>0.1566400139057883</v>
      </c>
      <c r="U3501" s="29">
        <v>0.1</v>
      </c>
      <c r="W3501" s="741">
        <f t="shared" ref="W3501:W3508" si="130">(P3501*Q3501)*(1+U3501)</f>
        <v>2705.1730401529639</v>
      </c>
    </row>
    <row r="3502" spans="1:23" ht="15" customHeight="1">
      <c r="A3502" s="3">
        <v>40808</v>
      </c>
      <c r="B3502" s="4">
        <v>66775</v>
      </c>
      <c r="C3502" s="4">
        <v>115375</v>
      </c>
      <c r="D3502" s="5">
        <v>78425</v>
      </c>
      <c r="E3502" s="5">
        <f t="shared" si="129"/>
        <v>113875</v>
      </c>
      <c r="F3502" s="5">
        <v>374450</v>
      </c>
      <c r="K3502" s="24">
        <v>2167</v>
      </c>
      <c r="L3502" s="6">
        <v>2160</v>
      </c>
      <c r="M3502" s="270">
        <f t="shared" si="128"/>
        <v>-7</v>
      </c>
      <c r="N3502" s="19"/>
      <c r="O3502" s="280"/>
      <c r="P3502" s="345">
        <v>15400</v>
      </c>
      <c r="Q3502" s="28">
        <f>179.76/1147.2</f>
        <v>0.15669456066945606</v>
      </c>
      <c r="U3502" s="29">
        <v>0.1</v>
      </c>
      <c r="W3502" s="741">
        <f t="shared" si="130"/>
        <v>2654.4058577405858</v>
      </c>
    </row>
    <row r="3503" spans="1:23" ht="15" customHeight="1">
      <c r="A3503" s="3">
        <v>40809</v>
      </c>
      <c r="B3503" s="4">
        <v>66675</v>
      </c>
      <c r="C3503" s="4">
        <v>115375</v>
      </c>
      <c r="D3503" s="5">
        <v>78975</v>
      </c>
      <c r="E3503" s="5">
        <f t="shared" si="129"/>
        <v>113000</v>
      </c>
      <c r="F3503" s="5">
        <v>374025</v>
      </c>
      <c r="K3503" s="24">
        <v>2050</v>
      </c>
      <c r="L3503" s="6">
        <v>2023</v>
      </c>
      <c r="M3503" s="270">
        <f t="shared" si="128"/>
        <v>-27</v>
      </c>
      <c r="N3503" s="19"/>
      <c r="O3503" s="280"/>
      <c r="P3503" s="345">
        <v>14700</v>
      </c>
      <c r="Q3503" s="28">
        <f>184.31/1177.5</f>
        <v>0.15652653927813165</v>
      </c>
      <c r="U3503" s="29">
        <v>0.1</v>
      </c>
      <c r="W3503" s="741">
        <f t="shared" si="130"/>
        <v>2531.0341401273886</v>
      </c>
    </row>
    <row r="3504" spans="1:23" ht="15" customHeight="1">
      <c r="A3504" s="3">
        <v>40812</v>
      </c>
      <c r="B3504" s="4">
        <v>66675</v>
      </c>
      <c r="C3504" s="4">
        <v>115625</v>
      </c>
      <c r="D3504" s="5">
        <v>79125</v>
      </c>
      <c r="E3504" s="5">
        <f t="shared" si="129"/>
        <v>112375</v>
      </c>
      <c r="F3504" s="5">
        <v>373800</v>
      </c>
      <c r="K3504" s="24">
        <v>1994</v>
      </c>
      <c r="L3504" s="6">
        <v>1974.5</v>
      </c>
      <c r="M3504" s="270">
        <f t="shared" si="128"/>
        <v>-19.5</v>
      </c>
      <c r="N3504" s="19"/>
      <c r="O3504" s="280"/>
      <c r="P3504" s="345">
        <v>14200</v>
      </c>
      <c r="Q3504" s="28">
        <f>185.66/1186</f>
        <v>0.15654300168634064</v>
      </c>
      <c r="U3504" s="29">
        <v>0.1</v>
      </c>
      <c r="W3504" s="741">
        <f t="shared" si="130"/>
        <v>2445.2016863406411</v>
      </c>
    </row>
    <row r="3505" spans="1:23" ht="15" customHeight="1">
      <c r="A3505" s="3">
        <v>40813</v>
      </c>
      <c r="B3505" s="4">
        <v>67000</v>
      </c>
      <c r="C3505" s="4">
        <v>115875</v>
      </c>
      <c r="D3505" s="5">
        <v>79000</v>
      </c>
      <c r="E3505" s="5">
        <f t="shared" si="129"/>
        <v>112350</v>
      </c>
      <c r="F3505" s="5">
        <v>374225</v>
      </c>
      <c r="K3505" s="24">
        <v>2015</v>
      </c>
      <c r="L3505" s="6">
        <v>1982</v>
      </c>
      <c r="M3505" s="270">
        <f t="shared" si="128"/>
        <v>-33</v>
      </c>
      <c r="N3505" s="19"/>
      <c r="O3505" s="280"/>
      <c r="P3505" s="345">
        <v>14250</v>
      </c>
      <c r="Q3505" s="28">
        <f>185.15/1184.6</f>
        <v>0.15629748438291408</v>
      </c>
      <c r="U3505" s="29">
        <v>0.1</v>
      </c>
      <c r="W3505" s="741">
        <f t="shared" si="130"/>
        <v>2449.9630677021783</v>
      </c>
    </row>
    <row r="3506" spans="1:23" ht="15" customHeight="1">
      <c r="A3506" s="3">
        <v>40814</v>
      </c>
      <c r="B3506" s="4">
        <v>67000</v>
      </c>
      <c r="C3506" s="4">
        <v>115875</v>
      </c>
      <c r="D3506" s="5">
        <v>78325</v>
      </c>
      <c r="E3506" s="5">
        <f t="shared" si="129"/>
        <v>112500</v>
      </c>
      <c r="F3506" s="5">
        <v>373700</v>
      </c>
      <c r="K3506" s="24">
        <v>2035</v>
      </c>
      <c r="L3506" s="6">
        <v>2015</v>
      </c>
      <c r="M3506" s="270">
        <f t="shared" si="128"/>
        <v>-20</v>
      </c>
      <c r="N3506" s="19"/>
      <c r="O3506" s="280"/>
      <c r="P3506" s="345">
        <v>14375</v>
      </c>
      <c r="Q3506" s="28">
        <f>184.38/1179.7</f>
        <v>0.15629397304399423</v>
      </c>
      <c r="U3506" s="29">
        <v>0.1</v>
      </c>
      <c r="W3506" s="741">
        <f t="shared" si="130"/>
        <v>2471.3984487581588</v>
      </c>
    </row>
    <row r="3507" spans="1:23" ht="15" customHeight="1">
      <c r="A3507" s="3">
        <v>40815</v>
      </c>
      <c r="B3507" s="4">
        <v>67000</v>
      </c>
      <c r="C3507" s="4">
        <v>115875</v>
      </c>
      <c r="D3507" s="5">
        <v>78075</v>
      </c>
      <c r="E3507" s="5">
        <f t="shared" si="129"/>
        <v>112475</v>
      </c>
      <c r="F3507" s="5">
        <v>373425</v>
      </c>
      <c r="K3507" s="24">
        <v>2006</v>
      </c>
      <c r="L3507" s="6">
        <v>2000</v>
      </c>
      <c r="M3507" s="270">
        <f t="shared" si="128"/>
        <v>-6</v>
      </c>
      <c r="N3507" s="19"/>
      <c r="O3507" s="280"/>
      <c r="P3507" s="345">
        <v>14125</v>
      </c>
      <c r="Q3507" s="28">
        <f>183.41/1172.7</f>
        <v>0.15639976123475738</v>
      </c>
      <c r="U3507" s="29">
        <v>0.1</v>
      </c>
      <c r="W3507" s="741">
        <f t="shared" si="130"/>
        <v>2430.0612901850432</v>
      </c>
    </row>
    <row r="3508" spans="1:23" ht="15" customHeight="1" thickBot="1">
      <c r="A3508" s="12">
        <v>40816</v>
      </c>
      <c r="B3508" s="13">
        <v>67000</v>
      </c>
      <c r="C3508" s="13">
        <v>115875</v>
      </c>
      <c r="D3508" s="14">
        <v>77900</v>
      </c>
      <c r="E3508" s="14">
        <f t="shared" si="129"/>
        <v>112650</v>
      </c>
      <c r="F3508" s="14">
        <v>373425</v>
      </c>
      <c r="G3508" s="14"/>
      <c r="H3508" s="14"/>
      <c r="I3508" s="14"/>
      <c r="J3508" s="264"/>
      <c r="K3508" s="25">
        <v>2060.5</v>
      </c>
      <c r="L3508" s="15">
        <v>2037</v>
      </c>
      <c r="M3508" s="271">
        <f t="shared" si="128"/>
        <v>-23.5</v>
      </c>
      <c r="N3508" s="164">
        <f>AVERAGE(K3487:K3508)</f>
        <v>2298.7954545454545</v>
      </c>
      <c r="O3508" s="288">
        <f>AVERAGE(K3315:K3508)</f>
        <v>2536.9734042553191</v>
      </c>
      <c r="P3508" s="346">
        <v>14525</v>
      </c>
      <c r="Q3508" s="30">
        <f>184.37/1179.5</f>
        <v>0.15631199660873252</v>
      </c>
      <c r="R3508" s="30"/>
      <c r="S3508" s="30"/>
      <c r="T3508" s="30"/>
      <c r="U3508" s="31">
        <v>0.1</v>
      </c>
      <c r="V3508" s="46">
        <f>AVERAGE(P3487:P3508)</f>
        <v>15621.59090909091</v>
      </c>
      <c r="W3508" s="741">
        <f t="shared" si="130"/>
        <v>2497.4749258160241</v>
      </c>
    </row>
    <row r="3509" spans="1:23" ht="15" customHeight="1">
      <c r="A3509" s="36">
        <v>40819</v>
      </c>
      <c r="B3509" s="37">
        <v>66800</v>
      </c>
      <c r="C3509" s="37">
        <v>115875</v>
      </c>
      <c r="D3509" s="38">
        <v>78650</v>
      </c>
      <c r="E3509" s="38">
        <f t="shared" si="129"/>
        <v>112800</v>
      </c>
      <c r="F3509" s="38">
        <v>374125</v>
      </c>
      <c r="G3509" s="38"/>
      <c r="H3509" s="38"/>
      <c r="I3509" s="38"/>
      <c r="J3509" s="268"/>
      <c r="K3509" s="39">
        <v>1999.5</v>
      </c>
      <c r="L3509" s="40">
        <v>1961</v>
      </c>
      <c r="M3509" s="270">
        <f t="shared" si="128"/>
        <v>-38.5</v>
      </c>
      <c r="N3509" s="21"/>
      <c r="O3509" s="283"/>
      <c r="P3509" s="384"/>
      <c r="Q3509" s="1010" t="s">
        <v>122</v>
      </c>
      <c r="R3509" s="1010"/>
      <c r="S3509" s="1010"/>
      <c r="T3509" s="1010"/>
      <c r="U3509" s="1010"/>
      <c r="V3509" s="45"/>
      <c r="W3509" s="743"/>
    </row>
    <row r="3510" spans="1:23" ht="15" customHeight="1">
      <c r="A3510" s="3">
        <v>40820</v>
      </c>
      <c r="B3510" s="4">
        <v>66800</v>
      </c>
      <c r="C3510" s="4">
        <v>115875</v>
      </c>
      <c r="D3510" s="5">
        <v>78600</v>
      </c>
      <c r="E3510" s="5">
        <f t="shared" si="129"/>
        <v>113275</v>
      </c>
      <c r="F3510" s="5">
        <v>374550</v>
      </c>
      <c r="K3510" s="24">
        <v>1961</v>
      </c>
      <c r="L3510" s="6">
        <v>1920.5</v>
      </c>
      <c r="M3510" s="270">
        <f t="shared" si="128"/>
        <v>-40.5</v>
      </c>
      <c r="N3510" s="19"/>
      <c r="O3510" s="280"/>
      <c r="P3510" s="383"/>
      <c r="Q3510" s="996"/>
      <c r="R3510" s="996"/>
      <c r="S3510" s="996"/>
      <c r="T3510" s="996"/>
      <c r="U3510" s="996"/>
      <c r="W3510" s="744"/>
    </row>
    <row r="3511" spans="1:23" ht="15" customHeight="1">
      <c r="A3511" s="3">
        <v>40821</v>
      </c>
      <c r="B3511" s="4">
        <v>66600</v>
      </c>
      <c r="C3511" s="4">
        <v>116875</v>
      </c>
      <c r="D3511" s="5">
        <v>78425</v>
      </c>
      <c r="E3511" s="5">
        <f t="shared" si="129"/>
        <v>117800</v>
      </c>
      <c r="F3511" s="5">
        <v>379700</v>
      </c>
      <c r="K3511" s="24">
        <v>1947</v>
      </c>
      <c r="L3511" s="6">
        <v>1910</v>
      </c>
      <c r="M3511" s="270">
        <f t="shared" si="128"/>
        <v>-37</v>
      </c>
      <c r="N3511" s="19"/>
      <c r="O3511" s="280"/>
      <c r="P3511" s="383"/>
      <c r="Q3511" s="996"/>
      <c r="R3511" s="996"/>
      <c r="S3511" s="996"/>
      <c r="T3511" s="996"/>
      <c r="U3511" s="996"/>
      <c r="W3511" s="744"/>
    </row>
    <row r="3512" spans="1:23" ht="15" customHeight="1">
      <c r="A3512" s="3">
        <v>40822</v>
      </c>
      <c r="B3512" s="4">
        <v>66650</v>
      </c>
      <c r="C3512" s="4">
        <v>122075</v>
      </c>
      <c r="D3512" s="5">
        <v>78425</v>
      </c>
      <c r="E3512" s="5">
        <f t="shared" si="129"/>
        <v>113725</v>
      </c>
      <c r="F3512" s="5">
        <v>380875</v>
      </c>
      <c r="K3512" s="24">
        <v>1944.5</v>
      </c>
      <c r="L3512" s="6">
        <v>1925.5</v>
      </c>
      <c r="M3512" s="270">
        <f t="shared" si="128"/>
        <v>-19</v>
      </c>
      <c r="N3512" s="19"/>
      <c r="O3512" s="280"/>
      <c r="P3512" s="383"/>
      <c r="Q3512" s="996"/>
      <c r="R3512" s="996"/>
      <c r="S3512" s="996"/>
      <c r="T3512" s="996"/>
      <c r="U3512" s="996"/>
      <c r="W3512" s="744"/>
    </row>
    <row r="3513" spans="1:23" ht="15" customHeight="1">
      <c r="A3513" s="3">
        <v>40823</v>
      </c>
      <c r="B3513" s="4">
        <v>66650</v>
      </c>
      <c r="C3513" s="4">
        <v>123325</v>
      </c>
      <c r="D3513" s="5">
        <v>78425</v>
      </c>
      <c r="E3513" s="5">
        <f t="shared" si="129"/>
        <v>112000</v>
      </c>
      <c r="F3513" s="5">
        <v>380400</v>
      </c>
      <c r="K3513" s="24">
        <v>1946</v>
      </c>
      <c r="L3513" s="6">
        <v>1932</v>
      </c>
      <c r="M3513" s="270">
        <f t="shared" si="128"/>
        <v>-14</v>
      </c>
      <c r="N3513" s="19"/>
      <c r="O3513" s="280"/>
      <c r="P3513" s="383"/>
      <c r="Q3513" s="996"/>
      <c r="R3513" s="996"/>
      <c r="S3513" s="996"/>
      <c r="T3513" s="996"/>
      <c r="U3513" s="996"/>
      <c r="W3513" s="744"/>
    </row>
    <row r="3514" spans="1:23" ht="15" customHeight="1">
      <c r="A3514" s="3">
        <v>40826</v>
      </c>
      <c r="B3514" s="4">
        <v>66650</v>
      </c>
      <c r="C3514" s="4">
        <v>122875</v>
      </c>
      <c r="D3514" s="5">
        <v>78300</v>
      </c>
      <c r="E3514" s="5">
        <f t="shared" si="129"/>
        <v>114175</v>
      </c>
      <c r="F3514" s="5">
        <v>382000</v>
      </c>
      <c r="K3514" s="24">
        <v>1976</v>
      </c>
      <c r="L3514" s="6">
        <v>1957</v>
      </c>
      <c r="M3514" s="270">
        <f t="shared" si="128"/>
        <v>-19</v>
      </c>
      <c r="N3514" s="19"/>
      <c r="O3514" s="280"/>
      <c r="P3514" s="345">
        <v>14775</v>
      </c>
      <c r="Q3514" s="28">
        <f>185.08/1179.9</f>
        <v>0.15686075091109417</v>
      </c>
      <c r="U3514" s="29">
        <v>0.1</v>
      </c>
      <c r="W3514" s="741">
        <f t="shared" ref="W3514:W3529" si="131">(P3514*Q3514)*(1+U3514)</f>
        <v>2549.379354182558</v>
      </c>
    </row>
    <row r="3515" spans="1:23" ht="15" customHeight="1">
      <c r="A3515" s="3">
        <v>40827</v>
      </c>
      <c r="B3515" s="4">
        <v>66400</v>
      </c>
      <c r="C3515" s="4">
        <v>125125</v>
      </c>
      <c r="D3515" s="5">
        <v>78200</v>
      </c>
      <c r="E3515" s="5">
        <f t="shared" si="129"/>
        <v>115950</v>
      </c>
      <c r="F3515" s="5">
        <v>385675</v>
      </c>
      <c r="K3515" s="24">
        <v>1956.5</v>
      </c>
      <c r="L3515" s="6">
        <v>1965</v>
      </c>
      <c r="M3515" s="270">
        <f t="shared" si="128"/>
        <v>8.5</v>
      </c>
      <c r="N3515" s="19"/>
      <c r="O3515" s="280"/>
      <c r="P3515" s="345">
        <v>14850</v>
      </c>
      <c r="Q3515" s="28">
        <f>184.78/1173</f>
        <v>0.15752770673486785</v>
      </c>
      <c r="U3515" s="29">
        <v>0.1</v>
      </c>
      <c r="W3515" s="741">
        <f t="shared" si="131"/>
        <v>2573.2150895140667</v>
      </c>
    </row>
    <row r="3516" spans="1:23" ht="15" customHeight="1">
      <c r="A3516" s="3">
        <v>40828</v>
      </c>
      <c r="B3516" s="4">
        <v>66400</v>
      </c>
      <c r="C3516" s="4">
        <v>128225</v>
      </c>
      <c r="D3516" s="5">
        <v>78200</v>
      </c>
      <c r="E3516" s="5">
        <f t="shared" si="129"/>
        <v>114025</v>
      </c>
      <c r="F3516" s="5">
        <v>386850</v>
      </c>
      <c r="K3516" s="24">
        <v>2009.5</v>
      </c>
      <c r="L3516" s="6">
        <v>2016.5</v>
      </c>
      <c r="M3516" s="270">
        <f t="shared" si="128"/>
        <v>7</v>
      </c>
      <c r="N3516" s="19"/>
      <c r="O3516" s="280"/>
      <c r="P3516" s="345">
        <v>14850</v>
      </c>
      <c r="Q3516" s="28">
        <f>182.62/1164.2</f>
        <v>0.15686308194468304</v>
      </c>
      <c r="U3516" s="29">
        <v>0.1</v>
      </c>
      <c r="W3516" s="741">
        <f t="shared" si="131"/>
        <v>2562.3584435663975</v>
      </c>
    </row>
    <row r="3517" spans="1:23" ht="15" customHeight="1">
      <c r="A3517" s="3">
        <v>40829</v>
      </c>
      <c r="B3517" s="4">
        <v>66350</v>
      </c>
      <c r="C3517" s="4">
        <v>129475</v>
      </c>
      <c r="D3517" s="5">
        <v>78075</v>
      </c>
      <c r="E3517" s="5">
        <f t="shared" si="129"/>
        <v>114425</v>
      </c>
      <c r="F3517" s="5">
        <v>388325</v>
      </c>
      <c r="K3517" s="24">
        <v>1996</v>
      </c>
      <c r="L3517" s="6">
        <v>2015</v>
      </c>
      <c r="M3517" s="270">
        <f t="shared" si="128"/>
        <v>19</v>
      </c>
      <c r="N3517" s="19"/>
      <c r="O3517" s="280"/>
      <c r="P3517" s="345">
        <v>14950</v>
      </c>
      <c r="Q3517" s="28">
        <f>184.37/1172.4</f>
        <v>0.15725861480723302</v>
      </c>
      <c r="U3517" s="29">
        <v>0.1</v>
      </c>
      <c r="W3517" s="741">
        <f t="shared" si="131"/>
        <v>2586.1179205049475</v>
      </c>
    </row>
    <row r="3518" spans="1:23" ht="15" customHeight="1">
      <c r="A3518" s="3">
        <v>40830</v>
      </c>
      <c r="B3518" s="4">
        <v>66350</v>
      </c>
      <c r="C3518" s="4">
        <v>131175</v>
      </c>
      <c r="D3518" s="5">
        <v>77925</v>
      </c>
      <c r="E3518" s="5">
        <f t="shared" si="129"/>
        <v>113050</v>
      </c>
      <c r="F3518" s="5">
        <v>388500</v>
      </c>
      <c r="K3518" s="24">
        <v>2008</v>
      </c>
      <c r="L3518" s="6">
        <v>2028</v>
      </c>
      <c r="M3518" s="270">
        <f t="shared" si="128"/>
        <v>20</v>
      </c>
      <c r="N3518" s="19"/>
      <c r="O3518" s="280"/>
      <c r="P3518" s="345">
        <v>14950</v>
      </c>
      <c r="Q3518" s="28">
        <f>181.42/1158</f>
        <v>0.15666666666666665</v>
      </c>
      <c r="U3518" s="29">
        <v>0.1</v>
      </c>
      <c r="W3518" s="741">
        <f t="shared" si="131"/>
        <v>2576.3833333333332</v>
      </c>
    </row>
    <row r="3519" spans="1:23" ht="15" customHeight="1">
      <c r="A3519" s="3">
        <v>40833</v>
      </c>
      <c r="B3519" s="4">
        <v>66350</v>
      </c>
      <c r="C3519" s="4">
        <v>131525</v>
      </c>
      <c r="D3519" s="5">
        <v>77725</v>
      </c>
      <c r="E3519" s="5">
        <f t="shared" si="129"/>
        <v>112900</v>
      </c>
      <c r="F3519" s="5">
        <v>388500</v>
      </c>
      <c r="K3519" s="24">
        <v>1990.5</v>
      </c>
      <c r="L3519" s="6">
        <v>2022.5</v>
      </c>
      <c r="M3519" s="270">
        <f t="shared" si="128"/>
        <v>32</v>
      </c>
      <c r="N3519" s="19"/>
      <c r="O3519" s="280"/>
      <c r="P3519" s="345">
        <v>15000</v>
      </c>
      <c r="Q3519" s="28">
        <f>181.83/1160.3</f>
        <v>0.15670947168835647</v>
      </c>
      <c r="U3519" s="29">
        <v>0.1</v>
      </c>
      <c r="W3519" s="741">
        <f t="shared" si="131"/>
        <v>2585.7062828578819</v>
      </c>
    </row>
    <row r="3520" spans="1:23" ht="15" customHeight="1">
      <c r="A3520" s="3">
        <v>40834</v>
      </c>
      <c r="B3520" s="4">
        <v>66350</v>
      </c>
      <c r="C3520" s="4">
        <v>131625</v>
      </c>
      <c r="D3520" s="5">
        <v>77650</v>
      </c>
      <c r="E3520" s="5">
        <f t="shared" si="129"/>
        <v>112200</v>
      </c>
      <c r="F3520" s="5">
        <v>387825</v>
      </c>
      <c r="K3520" s="24">
        <v>1906</v>
      </c>
      <c r="L3520" s="6">
        <v>1935</v>
      </c>
      <c r="M3520" s="270">
        <f t="shared" si="128"/>
        <v>29</v>
      </c>
      <c r="N3520" s="19"/>
      <c r="O3520" s="280"/>
      <c r="P3520" s="345">
        <v>14650</v>
      </c>
      <c r="Q3520" s="28">
        <f>179.86/1145.7</f>
        <v>0.15698699485030987</v>
      </c>
      <c r="U3520" s="29">
        <v>0.1</v>
      </c>
      <c r="W3520" s="741">
        <f t="shared" si="131"/>
        <v>2529.8454220127437</v>
      </c>
    </row>
    <row r="3521" spans="1:23" ht="15" customHeight="1">
      <c r="A3521" s="3">
        <v>40835</v>
      </c>
      <c r="B3521" s="4">
        <v>66350</v>
      </c>
      <c r="C3521" s="4">
        <v>131175</v>
      </c>
      <c r="D3521" s="5">
        <v>77575</v>
      </c>
      <c r="E3521" s="5">
        <f t="shared" si="129"/>
        <v>113250</v>
      </c>
      <c r="F3521" s="5">
        <v>388350</v>
      </c>
      <c r="K3521" s="24">
        <v>1890</v>
      </c>
      <c r="L3521" s="6">
        <v>1915</v>
      </c>
      <c r="M3521" s="270">
        <f t="shared" si="128"/>
        <v>25</v>
      </c>
      <c r="N3521" s="19"/>
      <c r="O3521" s="280"/>
      <c r="P3521" s="345">
        <v>14650</v>
      </c>
      <c r="Q3521" s="28">
        <f>179.77/1147.1</f>
        <v>0.15671693836631509</v>
      </c>
      <c r="U3521" s="29">
        <v>0.1</v>
      </c>
      <c r="W3521" s="741">
        <f t="shared" si="131"/>
        <v>2525.4934617731678</v>
      </c>
    </row>
    <row r="3522" spans="1:23" ht="15" customHeight="1">
      <c r="A3522" s="3">
        <v>40836</v>
      </c>
      <c r="B3522" s="4">
        <v>66350</v>
      </c>
      <c r="C3522" s="4">
        <v>131900</v>
      </c>
      <c r="D3522" s="5">
        <v>77325</v>
      </c>
      <c r="E3522" s="5">
        <f t="shared" si="129"/>
        <v>112350</v>
      </c>
      <c r="F3522" s="5">
        <v>387925</v>
      </c>
      <c r="K3522" s="24">
        <v>1791.5</v>
      </c>
      <c r="L3522" s="6">
        <v>1832</v>
      </c>
      <c r="M3522" s="270">
        <f t="shared" si="128"/>
        <v>40.5</v>
      </c>
      <c r="N3522" s="19"/>
      <c r="O3522" s="280"/>
      <c r="P3522" s="345">
        <v>14050</v>
      </c>
      <c r="Q3522" s="28">
        <f>178.39/1137.7</f>
        <v>0.15679880460578358</v>
      </c>
      <c r="U3522" s="29">
        <v>0.1</v>
      </c>
      <c r="W3522" s="741">
        <f t="shared" si="131"/>
        <v>2423.3255251823853</v>
      </c>
    </row>
    <row r="3523" spans="1:23" ht="15" customHeight="1">
      <c r="A3523" s="3">
        <v>40837</v>
      </c>
      <c r="B3523" s="4">
        <v>66350</v>
      </c>
      <c r="C3523" s="4">
        <v>131800</v>
      </c>
      <c r="D3523" s="5">
        <v>77250</v>
      </c>
      <c r="E3523" s="5">
        <f t="shared" si="129"/>
        <v>112550</v>
      </c>
      <c r="F3523" s="5">
        <v>387950</v>
      </c>
      <c r="K3523" s="24">
        <v>1841</v>
      </c>
      <c r="L3523" s="6">
        <v>1868</v>
      </c>
      <c r="M3523" s="270">
        <f t="shared" si="128"/>
        <v>27</v>
      </c>
      <c r="N3523" s="19"/>
      <c r="O3523" s="280"/>
      <c r="P3523" s="345">
        <v>14400</v>
      </c>
      <c r="Q3523" s="28">
        <f>178.48/1139.5</f>
        <v>0.15663010092145677</v>
      </c>
      <c r="U3523" s="29">
        <v>0.1</v>
      </c>
      <c r="W3523" s="741">
        <f t="shared" si="131"/>
        <v>2481.020798595875</v>
      </c>
    </row>
    <row r="3524" spans="1:23" ht="15" customHeight="1">
      <c r="A3524" s="3">
        <v>40840</v>
      </c>
      <c r="B3524" s="4">
        <v>66350</v>
      </c>
      <c r="C3524" s="4">
        <v>132000</v>
      </c>
      <c r="D3524" s="5">
        <v>77200</v>
      </c>
      <c r="E3524" s="5">
        <f t="shared" si="129"/>
        <v>112725</v>
      </c>
      <c r="F3524" s="5">
        <v>388275</v>
      </c>
      <c r="K3524" s="24">
        <v>1940.5</v>
      </c>
      <c r="L3524" s="6">
        <v>1970</v>
      </c>
      <c r="M3524" s="270">
        <f t="shared" si="128"/>
        <v>29.5</v>
      </c>
      <c r="N3524" s="19"/>
      <c r="O3524" s="280"/>
      <c r="P3524" s="345">
        <v>14750</v>
      </c>
      <c r="Q3524" s="28">
        <f>180.07/1149.5</f>
        <v>0.15665071770334926</v>
      </c>
      <c r="U3524" s="29">
        <v>0.1</v>
      </c>
      <c r="W3524" s="741">
        <f t="shared" si="131"/>
        <v>2541.6578947368421</v>
      </c>
    </row>
    <row r="3525" spans="1:23" ht="15" customHeight="1">
      <c r="A3525" s="3">
        <v>40841</v>
      </c>
      <c r="B3525" s="4">
        <v>66350</v>
      </c>
      <c r="C3525" s="4">
        <v>132500</v>
      </c>
      <c r="D3525" s="5">
        <v>77200</v>
      </c>
      <c r="E3525" s="5">
        <f t="shared" si="129"/>
        <v>112100</v>
      </c>
      <c r="F3525" s="5">
        <v>388150</v>
      </c>
      <c r="K3525" s="24">
        <v>1961.5</v>
      </c>
      <c r="L3525" s="6">
        <v>1990</v>
      </c>
      <c r="M3525" s="270">
        <f t="shared" si="128"/>
        <v>28.5</v>
      </c>
      <c r="N3525" s="19"/>
      <c r="O3525" s="280"/>
      <c r="P3525" s="345">
        <v>15100</v>
      </c>
      <c r="Q3525" s="28">
        <f>178.46/1137.7</f>
        <v>0.15686033224927484</v>
      </c>
      <c r="U3525" s="29">
        <v>0.1</v>
      </c>
      <c r="W3525" s="741">
        <f t="shared" si="131"/>
        <v>2605.4501186604552</v>
      </c>
    </row>
    <row r="3526" spans="1:23" ht="15" customHeight="1">
      <c r="A3526" s="3">
        <v>40842</v>
      </c>
      <c r="B3526" s="4">
        <v>66350</v>
      </c>
      <c r="C3526" s="4">
        <v>132475</v>
      </c>
      <c r="D3526" s="5">
        <v>77200</v>
      </c>
      <c r="E3526" s="5">
        <f t="shared" si="129"/>
        <v>112450</v>
      </c>
      <c r="F3526" s="5">
        <v>388475</v>
      </c>
      <c r="K3526" s="24">
        <v>1937.5</v>
      </c>
      <c r="L3526" s="6">
        <v>1962.5</v>
      </c>
      <c r="M3526" s="270">
        <f t="shared" si="128"/>
        <v>25</v>
      </c>
      <c r="N3526" s="19"/>
      <c r="O3526" s="280"/>
      <c r="P3526" s="345">
        <v>15050</v>
      </c>
      <c r="Q3526" s="28">
        <f>177.31/1127.9</f>
        <v>0.15720365280609983</v>
      </c>
      <c r="U3526" s="29">
        <v>0.1</v>
      </c>
      <c r="W3526" s="741">
        <f t="shared" si="131"/>
        <v>2602.5064722049829</v>
      </c>
    </row>
    <row r="3527" spans="1:23" ht="15" customHeight="1">
      <c r="A3527" s="3">
        <v>40843</v>
      </c>
      <c r="B3527" s="4">
        <v>66350</v>
      </c>
      <c r="C3527" s="4">
        <v>132375</v>
      </c>
      <c r="D3527" s="5">
        <v>77200</v>
      </c>
      <c r="E3527" s="5">
        <f t="shared" si="129"/>
        <v>112450</v>
      </c>
      <c r="F3527" s="5">
        <v>388375</v>
      </c>
      <c r="K3527" s="24">
        <v>1951</v>
      </c>
      <c r="L3527" s="6">
        <v>1980</v>
      </c>
      <c r="M3527" s="270">
        <f t="shared" si="128"/>
        <v>29</v>
      </c>
      <c r="N3527" s="19"/>
      <c r="O3527" s="280"/>
      <c r="P3527" s="345">
        <v>15050</v>
      </c>
      <c r="Q3527" s="28">
        <f>177.91/1130.4</f>
        <v>0.15738676574663835</v>
      </c>
      <c r="U3527" s="29">
        <v>0.1</v>
      </c>
      <c r="W3527" s="741">
        <f t="shared" si="131"/>
        <v>2605.5379069355977</v>
      </c>
    </row>
    <row r="3528" spans="1:23" ht="15" customHeight="1">
      <c r="A3528" s="3">
        <v>40844</v>
      </c>
      <c r="B3528" s="4">
        <v>66350</v>
      </c>
      <c r="C3528" s="4">
        <v>132375</v>
      </c>
      <c r="D3528" s="5">
        <v>77100</v>
      </c>
      <c r="E3528" s="5">
        <f t="shared" si="129"/>
        <v>112075</v>
      </c>
      <c r="F3528" s="5">
        <v>387900</v>
      </c>
      <c r="K3528" s="24">
        <v>1986</v>
      </c>
      <c r="L3528" s="6">
        <v>2010</v>
      </c>
      <c r="M3528" s="270">
        <f t="shared" ref="M3528:M3568" si="132">L3528-K3528</f>
        <v>24</v>
      </c>
      <c r="N3528" s="19"/>
      <c r="O3528" s="280"/>
      <c r="P3528" s="345">
        <v>15400</v>
      </c>
      <c r="Q3528" s="28">
        <f>176.82/1124.5</f>
        <v>0.15724321920853712</v>
      </c>
      <c r="U3528" s="29">
        <v>0.1</v>
      </c>
      <c r="W3528" s="741">
        <f t="shared" si="131"/>
        <v>2663.7001333926191</v>
      </c>
    </row>
    <row r="3529" spans="1:23" ht="15" customHeight="1" thickBot="1">
      <c r="A3529" s="12">
        <v>40847</v>
      </c>
      <c r="B3529" s="13">
        <v>66350</v>
      </c>
      <c r="C3529" s="13">
        <v>132375</v>
      </c>
      <c r="D3529" s="14">
        <v>76750</v>
      </c>
      <c r="E3529" s="14">
        <f t="shared" si="129"/>
        <v>112325</v>
      </c>
      <c r="F3529" s="14">
        <v>387800</v>
      </c>
      <c r="G3529" s="14"/>
      <c r="H3529" s="14"/>
      <c r="I3529" s="14"/>
      <c r="J3529" s="264"/>
      <c r="K3529" s="25">
        <v>1981</v>
      </c>
      <c r="L3529" s="15">
        <v>2006</v>
      </c>
      <c r="M3529" s="271">
        <f t="shared" si="132"/>
        <v>25</v>
      </c>
      <c r="N3529" s="164">
        <f>AVERAGE(K3509:K3529)</f>
        <v>1948.5952380952381</v>
      </c>
      <c r="O3529" s="288">
        <f>AVERAGE(K3315:K3529)</f>
        <v>2477.8540669856461</v>
      </c>
      <c r="P3529" s="346">
        <v>15400</v>
      </c>
      <c r="Q3529" s="30">
        <f>173.7/1104.5</f>
        <v>0.15726573110004527</v>
      </c>
      <c r="R3529" s="30"/>
      <c r="S3529" s="30"/>
      <c r="T3529" s="30"/>
      <c r="U3529" s="31">
        <v>0.1</v>
      </c>
      <c r="V3529" s="46">
        <f>AVERAGE(P3509:P3529)</f>
        <v>14867.1875</v>
      </c>
      <c r="W3529" s="741">
        <f t="shared" si="131"/>
        <v>2664.0814848347668</v>
      </c>
    </row>
    <row r="3530" spans="1:23" ht="15" customHeight="1">
      <c r="A3530" s="36">
        <v>40848</v>
      </c>
      <c r="B3530" s="37">
        <v>66350</v>
      </c>
      <c r="C3530" s="37">
        <v>132650</v>
      </c>
      <c r="D3530" s="38">
        <v>76600</v>
      </c>
      <c r="E3530" s="38">
        <f t="shared" si="129"/>
        <v>111825</v>
      </c>
      <c r="F3530" s="38">
        <v>387425</v>
      </c>
      <c r="G3530" s="38"/>
      <c r="H3530" s="38"/>
      <c r="I3530" s="38"/>
      <c r="J3530" s="268"/>
      <c r="K3530" s="39">
        <v>1997</v>
      </c>
      <c r="L3530" s="40">
        <v>2019</v>
      </c>
      <c r="M3530" s="270">
        <f t="shared" si="132"/>
        <v>22</v>
      </c>
      <c r="N3530" s="21"/>
      <c r="O3530" s="283"/>
      <c r="P3530" s="348">
        <v>15400</v>
      </c>
      <c r="Q3530" s="41">
        <f>173.9/1105.2</f>
        <v>0.15734708650018095</v>
      </c>
      <c r="R3530" s="41"/>
      <c r="S3530" s="41"/>
      <c r="T3530" s="41"/>
      <c r="U3530" s="42">
        <v>0.1</v>
      </c>
      <c r="V3530" s="45"/>
      <c r="W3530" s="741">
        <f t="shared" ref="W3530:W3551" si="133">(P3530*Q3530)*(1+U3530)</f>
        <v>2665.4596453130657</v>
      </c>
    </row>
    <row r="3531" spans="1:23" ht="15" customHeight="1">
      <c r="A3531" s="3">
        <v>40849</v>
      </c>
      <c r="B3531" s="4">
        <v>66300</v>
      </c>
      <c r="C3531" s="4">
        <v>132650</v>
      </c>
      <c r="D3531" s="5">
        <v>75950</v>
      </c>
      <c r="E3531" s="5">
        <f t="shared" si="129"/>
        <v>111700</v>
      </c>
      <c r="F3531" s="5">
        <v>386600</v>
      </c>
      <c r="K3531" s="24">
        <v>1978</v>
      </c>
      <c r="L3531" s="6">
        <v>2000</v>
      </c>
      <c r="M3531" s="270">
        <f t="shared" si="132"/>
        <v>22</v>
      </c>
      <c r="N3531" s="19"/>
      <c r="O3531" s="280"/>
      <c r="P3531" s="345">
        <v>15150</v>
      </c>
      <c r="Q3531" s="28">
        <f>175.28/1113.9</f>
        <v>0.15735703384504893</v>
      </c>
      <c r="U3531" s="29">
        <v>0.1</v>
      </c>
      <c r="W3531" s="741">
        <f t="shared" si="133"/>
        <v>2622.3549690277405</v>
      </c>
    </row>
    <row r="3532" spans="1:23" ht="15" customHeight="1">
      <c r="A3532" s="3">
        <v>40850</v>
      </c>
      <c r="B3532" s="4">
        <v>66300</v>
      </c>
      <c r="C3532" s="4">
        <v>132625</v>
      </c>
      <c r="D3532" s="5">
        <v>75425</v>
      </c>
      <c r="E3532" s="5">
        <f t="shared" si="129"/>
        <v>110950</v>
      </c>
      <c r="F3532" s="5">
        <v>385300</v>
      </c>
      <c r="K3532" s="24">
        <v>1993</v>
      </c>
      <c r="L3532" s="6">
        <v>2012</v>
      </c>
      <c r="M3532" s="270">
        <f t="shared" si="132"/>
        <v>19</v>
      </c>
      <c r="N3532" s="19"/>
      <c r="O3532" s="280"/>
      <c r="P3532" s="345">
        <v>15200</v>
      </c>
      <c r="Q3532" s="28">
        <f>177.18/1126.2</f>
        <v>0.15732551944592435</v>
      </c>
      <c r="U3532" s="29">
        <v>0.1</v>
      </c>
      <c r="W3532" s="741">
        <f t="shared" si="133"/>
        <v>2630.4826851358553</v>
      </c>
    </row>
    <row r="3533" spans="1:23" ht="15" customHeight="1">
      <c r="A3533" s="3">
        <v>40851</v>
      </c>
      <c r="B3533" s="4">
        <v>66300</v>
      </c>
      <c r="C3533" s="4">
        <v>132800</v>
      </c>
      <c r="D3533" s="5">
        <v>75075</v>
      </c>
      <c r="E3533" s="5">
        <f t="shared" si="129"/>
        <v>110400</v>
      </c>
      <c r="F3533" s="5">
        <v>384575</v>
      </c>
      <c r="K3533" s="24">
        <v>2022</v>
      </c>
      <c r="L3533" s="6">
        <v>2048</v>
      </c>
      <c r="M3533" s="270">
        <f t="shared" si="132"/>
        <v>26</v>
      </c>
      <c r="N3533" s="19"/>
      <c r="O3533" s="280"/>
      <c r="P3533" s="345">
        <v>15400</v>
      </c>
      <c r="Q3533" s="28">
        <f>178.15/1131.5</f>
        <v>0.15744586831639418</v>
      </c>
      <c r="U3533" s="29">
        <v>0.1</v>
      </c>
      <c r="W3533" s="741">
        <f t="shared" si="133"/>
        <v>2667.133009279718</v>
      </c>
    </row>
    <row r="3534" spans="1:23" ht="15" customHeight="1">
      <c r="A3534" s="3">
        <v>40854</v>
      </c>
      <c r="B3534" s="4">
        <v>66300</v>
      </c>
      <c r="C3534" s="4">
        <v>132700</v>
      </c>
      <c r="D3534" s="5">
        <v>74750</v>
      </c>
      <c r="E3534" s="5">
        <f t="shared" si="129"/>
        <v>109650</v>
      </c>
      <c r="F3534" s="5">
        <v>383400</v>
      </c>
      <c r="K3534" s="24">
        <v>1976</v>
      </c>
      <c r="L3534" s="6">
        <v>1999</v>
      </c>
      <c r="M3534" s="270">
        <f t="shared" si="132"/>
        <v>23</v>
      </c>
      <c r="N3534" s="19"/>
      <c r="O3534" s="280"/>
      <c r="P3534" s="345">
        <v>15400</v>
      </c>
      <c r="Q3534" s="28">
        <f>175.6/1115</f>
        <v>0.15748878923766815</v>
      </c>
      <c r="U3534" s="29">
        <v>0.1</v>
      </c>
      <c r="W3534" s="741">
        <f t="shared" si="133"/>
        <v>2667.8600896860989</v>
      </c>
    </row>
    <row r="3535" spans="1:23" ht="15" customHeight="1">
      <c r="A3535" s="3">
        <v>40855</v>
      </c>
      <c r="B3535" s="4">
        <v>66300</v>
      </c>
      <c r="C3535" s="4">
        <v>132100</v>
      </c>
      <c r="D3535" s="5">
        <v>74100</v>
      </c>
      <c r="E3535" s="5">
        <f t="shared" si="129"/>
        <v>109675</v>
      </c>
      <c r="F3535" s="5">
        <v>382175</v>
      </c>
      <c r="K3535" s="24">
        <v>1995.5</v>
      </c>
      <c r="L3535" s="6">
        <v>2020</v>
      </c>
      <c r="M3535" s="270">
        <f t="shared" si="132"/>
        <v>24.5</v>
      </c>
      <c r="N3535" s="19"/>
      <c r="O3535" s="280"/>
      <c r="P3535" s="345">
        <v>15350</v>
      </c>
      <c r="Q3535" s="28">
        <f>175.89/1116.3</f>
        <v>0.15756517065305026</v>
      </c>
      <c r="U3535" s="29">
        <v>0.1</v>
      </c>
      <c r="W3535" s="741">
        <f t="shared" si="133"/>
        <v>2660.4879064767538</v>
      </c>
    </row>
    <row r="3536" spans="1:23" ht="15" customHeight="1">
      <c r="A3536" s="3">
        <v>40856</v>
      </c>
      <c r="B3536" s="4">
        <v>66200</v>
      </c>
      <c r="C3536" s="4">
        <v>132100</v>
      </c>
      <c r="D3536" s="5">
        <v>73425</v>
      </c>
      <c r="E3536" s="5">
        <f t="shared" si="129"/>
        <v>108325</v>
      </c>
      <c r="F3536" s="5">
        <v>380050</v>
      </c>
      <c r="K3536" s="24">
        <v>1966.5</v>
      </c>
      <c r="L3536" s="6">
        <v>1992</v>
      </c>
      <c r="M3536" s="270">
        <f t="shared" si="132"/>
        <v>25.5</v>
      </c>
      <c r="N3536" s="19"/>
      <c r="O3536" s="280"/>
      <c r="P3536" s="345">
        <v>15400</v>
      </c>
      <c r="Q3536" s="28">
        <f>175.97/1115.7</f>
        <v>0.15772160975172536</v>
      </c>
      <c r="U3536" s="29">
        <v>0.1</v>
      </c>
      <c r="W3536" s="741">
        <f t="shared" si="133"/>
        <v>2671.8040691942278</v>
      </c>
    </row>
    <row r="3537" spans="1:23" ht="15" customHeight="1">
      <c r="A3537" s="3">
        <v>40857</v>
      </c>
      <c r="B3537" s="4">
        <v>66200</v>
      </c>
      <c r="C3537" s="4">
        <v>131100</v>
      </c>
      <c r="D3537" s="5">
        <v>72525</v>
      </c>
      <c r="E3537" s="5">
        <f t="shared" si="129"/>
        <v>108950</v>
      </c>
      <c r="F3537" s="5">
        <v>378775</v>
      </c>
      <c r="K3537" s="24">
        <v>1921.5</v>
      </c>
      <c r="L3537" s="6">
        <v>1947</v>
      </c>
      <c r="M3537" s="270">
        <f t="shared" si="132"/>
        <v>25.5</v>
      </c>
      <c r="N3537" s="19"/>
      <c r="O3537" s="280"/>
      <c r="P3537" s="345">
        <v>14750</v>
      </c>
      <c r="Q3537" s="28">
        <f>178.72/1134.3</f>
        <v>0.15755972846689589</v>
      </c>
      <c r="U3537" s="29">
        <v>0.1</v>
      </c>
      <c r="W3537" s="741">
        <f t="shared" si="133"/>
        <v>2556.4065943753858</v>
      </c>
    </row>
    <row r="3538" spans="1:23" ht="15" customHeight="1">
      <c r="A3538" s="3">
        <v>40858</v>
      </c>
      <c r="B3538" s="4">
        <v>66200</v>
      </c>
      <c r="C3538" s="4">
        <v>131325</v>
      </c>
      <c r="D3538" s="5">
        <v>71600</v>
      </c>
      <c r="E3538" s="5">
        <f t="shared" si="129"/>
        <v>107725</v>
      </c>
      <c r="F3538" s="5">
        <v>376850</v>
      </c>
      <c r="K3538" s="24">
        <v>1949</v>
      </c>
      <c r="L3538" s="6">
        <v>1970</v>
      </c>
      <c r="M3538" s="270">
        <f t="shared" si="132"/>
        <v>21</v>
      </c>
      <c r="N3538" s="19"/>
      <c r="O3538" s="280"/>
      <c r="P3538" s="345">
        <v>14900</v>
      </c>
      <c r="Q3538" s="28">
        <f>178.72/1134.3</f>
        <v>0.15755972846689589</v>
      </c>
      <c r="U3538" s="29">
        <v>0.1</v>
      </c>
      <c r="W3538" s="741">
        <f t="shared" si="133"/>
        <v>2582.4039495724242</v>
      </c>
    </row>
    <row r="3539" spans="1:23" ht="15" customHeight="1">
      <c r="A3539" s="3">
        <v>40861</v>
      </c>
      <c r="B3539" s="4">
        <v>66200</v>
      </c>
      <c r="C3539" s="4">
        <v>130625</v>
      </c>
      <c r="D3539" s="5">
        <v>70500</v>
      </c>
      <c r="E3539" s="5">
        <f t="shared" si="129"/>
        <v>107575</v>
      </c>
      <c r="F3539" s="5">
        <v>374900</v>
      </c>
      <c r="K3539" s="24">
        <v>1990.5</v>
      </c>
      <c r="L3539" s="6">
        <v>2017</v>
      </c>
      <c r="M3539" s="270">
        <f t="shared" si="132"/>
        <v>26.5</v>
      </c>
      <c r="N3539" s="19"/>
      <c r="O3539" s="280"/>
      <c r="P3539" s="345">
        <v>15500</v>
      </c>
      <c r="Q3539" s="28">
        <f>177.75/1127.3</f>
        <v>0.15767763683136699</v>
      </c>
      <c r="U3539" s="29">
        <v>0.1</v>
      </c>
      <c r="W3539" s="741">
        <f t="shared" si="133"/>
        <v>2688.4037079748073</v>
      </c>
    </row>
    <row r="3540" spans="1:23" ht="15" customHeight="1">
      <c r="A3540" s="3">
        <v>40862</v>
      </c>
      <c r="B3540" s="4">
        <v>66200</v>
      </c>
      <c r="C3540" s="4">
        <v>130225</v>
      </c>
      <c r="D3540" s="5">
        <v>70450</v>
      </c>
      <c r="E3540" s="5">
        <f t="shared" si="129"/>
        <v>109075</v>
      </c>
      <c r="F3540" s="5">
        <v>375950</v>
      </c>
      <c r="K3540" s="24">
        <v>1983</v>
      </c>
      <c r="L3540" s="6">
        <v>2012</v>
      </c>
      <c r="M3540" s="270">
        <f t="shared" si="132"/>
        <v>29</v>
      </c>
      <c r="N3540" s="19"/>
      <c r="O3540" s="280"/>
      <c r="P3540" s="345">
        <v>15400</v>
      </c>
      <c r="Q3540" s="28">
        <f>176.32/1120.6</f>
        <v>0.15734427985008032</v>
      </c>
      <c r="U3540" s="29">
        <v>0.1</v>
      </c>
      <c r="W3540" s="741">
        <f t="shared" si="133"/>
        <v>2665.4121006603609</v>
      </c>
    </row>
    <row r="3541" spans="1:23" ht="15" customHeight="1">
      <c r="A3541" s="3">
        <v>40863</v>
      </c>
      <c r="B3541" s="4">
        <v>66200</v>
      </c>
      <c r="C3541" s="4">
        <v>131750</v>
      </c>
      <c r="D3541" s="5">
        <v>75075</v>
      </c>
      <c r="E3541" s="5">
        <f t="shared" si="129"/>
        <v>107275</v>
      </c>
      <c r="F3541" s="5">
        <v>380300</v>
      </c>
      <c r="K3541" s="24">
        <v>1982</v>
      </c>
      <c r="L3541" s="6">
        <v>2005</v>
      </c>
      <c r="M3541" s="270">
        <f t="shared" si="132"/>
        <v>23</v>
      </c>
      <c r="N3541" s="19"/>
      <c r="O3541" s="280"/>
      <c r="P3541" s="345">
        <v>15350</v>
      </c>
      <c r="Q3541" s="28">
        <f>177.43/1126.2</f>
        <v>0.15754750488367963</v>
      </c>
      <c r="U3541" s="29">
        <v>0.1</v>
      </c>
      <c r="W3541" s="741">
        <f t="shared" si="133"/>
        <v>2660.1896199609305</v>
      </c>
    </row>
    <row r="3542" spans="1:23" ht="15" customHeight="1">
      <c r="A3542" s="3">
        <v>40864</v>
      </c>
      <c r="B3542" s="4">
        <v>65950</v>
      </c>
      <c r="C3542" s="4">
        <v>131750</v>
      </c>
      <c r="D3542" s="5">
        <v>73925</v>
      </c>
      <c r="E3542" s="5">
        <f t="shared" si="129"/>
        <v>104175</v>
      </c>
      <c r="F3542" s="5">
        <v>375800</v>
      </c>
      <c r="K3542" s="24">
        <v>1975</v>
      </c>
      <c r="L3542" s="6">
        <v>2000</v>
      </c>
      <c r="M3542" s="270">
        <f t="shared" si="132"/>
        <v>25</v>
      </c>
      <c r="N3542" s="19"/>
      <c r="O3542" s="280"/>
      <c r="P3542" s="345">
        <v>15350</v>
      </c>
      <c r="Q3542" s="28">
        <f>178.8/1134.5</f>
        <v>0.15760246804759806</v>
      </c>
      <c r="U3542" s="29">
        <v>0.1</v>
      </c>
      <c r="W3542" s="741">
        <f t="shared" si="133"/>
        <v>2661.1176729836934</v>
      </c>
    </row>
    <row r="3543" spans="1:23" ht="15" customHeight="1">
      <c r="A3543" s="3">
        <v>40865</v>
      </c>
      <c r="B3543" s="4">
        <v>65875</v>
      </c>
      <c r="C3543" s="4">
        <v>131750</v>
      </c>
      <c r="D3543" s="5">
        <v>73325</v>
      </c>
      <c r="E3543" s="5">
        <f t="shared" si="129"/>
        <v>104000</v>
      </c>
      <c r="F3543" s="5">
        <v>374950</v>
      </c>
      <c r="K3543" s="24">
        <v>1996</v>
      </c>
      <c r="L3543" s="6">
        <v>2026</v>
      </c>
      <c r="M3543" s="270">
        <f t="shared" si="132"/>
        <v>30</v>
      </c>
      <c r="N3543" s="19"/>
      <c r="O3543" s="280"/>
      <c r="P3543" s="345">
        <v>15250</v>
      </c>
      <c r="Q3543" s="28">
        <f>178.8/1134.5</f>
        <v>0.15760246804759806</v>
      </c>
      <c r="U3543" s="29">
        <v>0.1</v>
      </c>
      <c r="W3543" s="741">
        <f t="shared" si="133"/>
        <v>2643.7814014984579</v>
      </c>
    </row>
    <row r="3544" spans="1:23" ht="15" customHeight="1">
      <c r="A3544" s="3">
        <v>40868</v>
      </c>
      <c r="B3544" s="4">
        <v>65875</v>
      </c>
      <c r="C3544" s="4">
        <v>131725</v>
      </c>
      <c r="D3544" s="5">
        <v>72175</v>
      </c>
      <c r="E3544" s="5">
        <f t="shared" si="129"/>
        <v>104050</v>
      </c>
      <c r="F3544" s="5">
        <v>373825</v>
      </c>
      <c r="K3544" s="24">
        <v>2001</v>
      </c>
      <c r="L3544" s="6">
        <v>2026</v>
      </c>
      <c r="M3544" s="270">
        <f t="shared" si="132"/>
        <v>25</v>
      </c>
      <c r="N3544" s="19"/>
      <c r="O3544" s="280"/>
      <c r="P3544" s="345">
        <v>15400</v>
      </c>
      <c r="Q3544" s="28">
        <f>178.77/1136.4</f>
        <v>0.15731256599788807</v>
      </c>
      <c r="U3544" s="29">
        <v>0.1</v>
      </c>
      <c r="W3544" s="741">
        <f t="shared" si="133"/>
        <v>2664.874868004224</v>
      </c>
    </row>
    <row r="3545" spans="1:23" ht="15" customHeight="1">
      <c r="A3545" s="3">
        <v>40869</v>
      </c>
      <c r="B3545" s="4">
        <v>65525</v>
      </c>
      <c r="C3545" s="4">
        <v>131925</v>
      </c>
      <c r="D3545" s="5">
        <v>71475</v>
      </c>
      <c r="E3545" s="5">
        <f t="shared" si="129"/>
        <v>103725</v>
      </c>
      <c r="F3545" s="5">
        <v>372650</v>
      </c>
      <c r="K3545" s="24">
        <v>1976</v>
      </c>
      <c r="L3545" s="6">
        <v>1999.5</v>
      </c>
      <c r="M3545" s="270">
        <f t="shared" si="132"/>
        <v>23.5</v>
      </c>
      <c r="N3545" s="19"/>
      <c r="O3545" s="280"/>
      <c r="P3545" s="345">
        <v>15350</v>
      </c>
      <c r="Q3545" s="28">
        <f>179.13/1139.6</f>
        <v>0.15718673218673221</v>
      </c>
      <c r="U3545" s="29">
        <v>0.1</v>
      </c>
      <c r="W3545" s="741">
        <f t="shared" si="133"/>
        <v>2654.0979729729734</v>
      </c>
    </row>
    <row r="3546" spans="1:23" ht="15" customHeight="1">
      <c r="A3546" s="3">
        <v>40870</v>
      </c>
      <c r="B3546" s="4">
        <v>65325</v>
      </c>
      <c r="C3546" s="4">
        <v>131750</v>
      </c>
      <c r="D3546" s="5">
        <v>70400</v>
      </c>
      <c r="E3546" s="5">
        <f t="shared" si="129"/>
        <v>103750</v>
      </c>
      <c r="F3546" s="5">
        <v>371225</v>
      </c>
      <c r="K3546" s="24">
        <v>1957</v>
      </c>
      <c r="L3546" s="6">
        <v>1980</v>
      </c>
      <c r="M3546" s="270">
        <f t="shared" si="132"/>
        <v>23</v>
      </c>
      <c r="N3546" s="19"/>
      <c r="O3546" s="280"/>
      <c r="P3546" s="345">
        <v>15400</v>
      </c>
      <c r="Q3546" s="28">
        <f>180.25/1146.6</f>
        <v>0.15720390720390723</v>
      </c>
      <c r="U3546" s="29">
        <v>0.1</v>
      </c>
      <c r="W3546" s="741">
        <f t="shared" si="133"/>
        <v>2663.0341880341889</v>
      </c>
    </row>
    <row r="3547" spans="1:23" ht="15" customHeight="1">
      <c r="A3547" s="3">
        <v>40871</v>
      </c>
      <c r="B3547" s="4">
        <v>65225</v>
      </c>
      <c r="C3547" s="4">
        <v>131750</v>
      </c>
      <c r="D3547" s="5">
        <v>69475</v>
      </c>
      <c r="E3547" s="5">
        <f t="shared" si="129"/>
        <v>103525</v>
      </c>
      <c r="F3547" s="5">
        <v>369975</v>
      </c>
      <c r="K3547" s="24">
        <v>1982.5</v>
      </c>
      <c r="L3547" s="6">
        <v>2005</v>
      </c>
      <c r="M3547" s="270">
        <f t="shared" si="132"/>
        <v>22.5</v>
      </c>
      <c r="N3547" s="19"/>
      <c r="O3547" s="280"/>
      <c r="P3547" s="345">
        <v>15200</v>
      </c>
      <c r="Q3547" s="28">
        <f>180.74/1149.2</f>
        <v>0.15727462582666202</v>
      </c>
      <c r="U3547" s="29">
        <v>0.1</v>
      </c>
      <c r="W3547" s="741">
        <f t="shared" si="133"/>
        <v>2629.6317438217889</v>
      </c>
    </row>
    <row r="3548" spans="1:23" ht="15" customHeight="1">
      <c r="A3548" s="3">
        <v>40872</v>
      </c>
      <c r="B3548" s="4">
        <v>65225</v>
      </c>
      <c r="C3548" s="4">
        <v>131600</v>
      </c>
      <c r="D3548" s="5">
        <v>68925</v>
      </c>
      <c r="E3548" s="5">
        <f t="shared" si="129"/>
        <v>109300</v>
      </c>
      <c r="F3548" s="5">
        <v>375050</v>
      </c>
      <c r="K3548" s="24">
        <v>1975</v>
      </c>
      <c r="L3548" s="6">
        <v>1995.5</v>
      </c>
      <c r="M3548" s="270">
        <f t="shared" si="132"/>
        <v>20.5</v>
      </c>
      <c r="N3548" s="19"/>
      <c r="O3548" s="280"/>
      <c r="P3548" s="345">
        <v>15250</v>
      </c>
      <c r="Q3548" s="28">
        <f>181.88/1157.1</f>
        <v>0.15718606861982543</v>
      </c>
      <c r="U3548" s="29">
        <v>0.1</v>
      </c>
      <c r="W3548" s="741">
        <f t="shared" si="133"/>
        <v>2636.7963010975718</v>
      </c>
    </row>
    <row r="3549" spans="1:23" ht="15" customHeight="1">
      <c r="A3549" s="3">
        <v>40875</v>
      </c>
      <c r="B3549" s="4">
        <v>65225</v>
      </c>
      <c r="C3549" s="4">
        <v>134400</v>
      </c>
      <c r="D3549" s="5">
        <v>68925</v>
      </c>
      <c r="E3549" s="5">
        <f t="shared" si="129"/>
        <v>103425</v>
      </c>
      <c r="F3549" s="5">
        <v>371975</v>
      </c>
      <c r="K3549" s="24">
        <v>2004</v>
      </c>
      <c r="L3549" s="6">
        <v>2026</v>
      </c>
      <c r="M3549" s="270">
        <f t="shared" si="132"/>
        <v>22</v>
      </c>
      <c r="N3549" s="19"/>
      <c r="O3549" s="280"/>
      <c r="P3549" s="345">
        <v>15450</v>
      </c>
      <c r="Q3549" s="28">
        <f>181.76/1159.9</f>
        <v>0.15670316406586773</v>
      </c>
      <c r="U3549" s="29">
        <v>0.1</v>
      </c>
      <c r="W3549" s="741">
        <f t="shared" si="133"/>
        <v>2663.1702732994222</v>
      </c>
    </row>
    <row r="3550" spans="1:23" ht="15" customHeight="1">
      <c r="A3550" s="3">
        <v>40876</v>
      </c>
      <c r="B3550" s="4">
        <v>65225</v>
      </c>
      <c r="C3550" s="4">
        <v>134400</v>
      </c>
      <c r="D3550" s="5">
        <v>68875</v>
      </c>
      <c r="E3550" s="5">
        <f t="shared" si="129"/>
        <v>103200</v>
      </c>
      <c r="F3550" s="5">
        <v>371700</v>
      </c>
      <c r="K3550" s="24">
        <v>1999</v>
      </c>
      <c r="L3550" s="6">
        <v>2025</v>
      </c>
      <c r="M3550" s="270">
        <f t="shared" si="132"/>
        <v>26</v>
      </c>
      <c r="N3550" s="19"/>
      <c r="O3550" s="280"/>
      <c r="P3550" s="345">
        <v>15450</v>
      </c>
      <c r="Q3550" s="28">
        <f>180.88/1154.9</f>
        <v>0.15661962074638494</v>
      </c>
      <c r="U3550" s="29">
        <v>0.1</v>
      </c>
      <c r="W3550" s="741">
        <f t="shared" si="133"/>
        <v>2661.7504545848119</v>
      </c>
    </row>
    <row r="3551" spans="1:23" ht="15" customHeight="1" thickBot="1">
      <c r="A3551" s="12">
        <v>40877</v>
      </c>
      <c r="B3551" s="13">
        <v>65225</v>
      </c>
      <c r="C3551" s="13">
        <v>134400</v>
      </c>
      <c r="D3551" s="14">
        <v>68350</v>
      </c>
      <c r="E3551" s="14">
        <f t="shared" si="129"/>
        <v>101850</v>
      </c>
      <c r="F3551" s="14">
        <v>369825</v>
      </c>
      <c r="G3551" s="14"/>
      <c r="H3551" s="14"/>
      <c r="I3551" s="14"/>
      <c r="J3551" s="264"/>
      <c r="K3551" s="25">
        <v>1985.5</v>
      </c>
      <c r="L3551" s="15">
        <v>2010</v>
      </c>
      <c r="M3551" s="271">
        <f t="shared" si="132"/>
        <v>24.5</v>
      </c>
      <c r="N3551" s="164">
        <f>AVERAGE(K3530:K3551)</f>
        <v>1982.0454545454545</v>
      </c>
      <c r="O3551" s="288">
        <f>AVERAGE(K3315:K3551)</f>
        <v>2430.6341991341992</v>
      </c>
      <c r="P3551" s="346">
        <v>15350</v>
      </c>
      <c r="Q3551" s="30">
        <f>180.38/1150.3</f>
        <v>0.15681126662609754</v>
      </c>
      <c r="R3551" s="30"/>
      <c r="S3551" s="30"/>
      <c r="T3551" s="30"/>
      <c r="U3551" s="31">
        <v>0.1</v>
      </c>
      <c r="V3551" s="46">
        <f>AVERAGE(P3530:P3551)</f>
        <v>15302.272727272728</v>
      </c>
      <c r="W3551" s="741">
        <f t="shared" si="133"/>
        <v>2647.7582369816569</v>
      </c>
    </row>
    <row r="3552" spans="1:23" ht="15" customHeight="1">
      <c r="A3552" s="36">
        <v>40878</v>
      </c>
      <c r="B3552" s="37">
        <v>65125</v>
      </c>
      <c r="C3552" s="37">
        <v>133650</v>
      </c>
      <c r="D3552" s="38">
        <v>68100</v>
      </c>
      <c r="E3552" s="38">
        <f t="shared" si="129"/>
        <v>102375</v>
      </c>
      <c r="F3552" s="38">
        <v>369250</v>
      </c>
      <c r="G3552" s="38"/>
      <c r="H3552" s="38"/>
      <c r="I3552" s="38"/>
      <c r="J3552" s="268"/>
      <c r="K3552" s="39">
        <v>2062</v>
      </c>
      <c r="L3552" s="40">
        <v>2062</v>
      </c>
      <c r="M3552" s="270">
        <f t="shared" si="132"/>
        <v>0</v>
      </c>
      <c r="N3552" s="21"/>
      <c r="O3552" s="283"/>
      <c r="P3552" s="348">
        <v>15750</v>
      </c>
      <c r="Q3552" s="41">
        <f>178.81/1140.6</f>
        <v>0.15676836752586359</v>
      </c>
      <c r="R3552" s="41"/>
      <c r="S3552" s="41"/>
      <c r="T3552" s="41"/>
      <c r="U3552" s="42">
        <v>0.1</v>
      </c>
      <c r="V3552" s="45"/>
      <c r="W3552" s="741">
        <f t="shared" ref="W3552:W3568" si="134">(P3552*Q3552)*(1+U3552)</f>
        <v>2716.011967385587</v>
      </c>
    </row>
    <row r="3553" spans="1:23" ht="15" customHeight="1">
      <c r="A3553" s="3">
        <v>40879</v>
      </c>
      <c r="B3553" s="4">
        <v>64525</v>
      </c>
      <c r="C3553" s="4">
        <v>133650</v>
      </c>
      <c r="D3553" s="5">
        <v>67975</v>
      </c>
      <c r="E3553" s="5">
        <f t="shared" si="129"/>
        <v>100675</v>
      </c>
      <c r="F3553" s="5">
        <v>366825</v>
      </c>
      <c r="K3553" s="24">
        <v>2102.5</v>
      </c>
      <c r="L3553" s="6">
        <v>2116</v>
      </c>
      <c r="M3553" s="270">
        <f t="shared" si="132"/>
        <v>13.5</v>
      </c>
      <c r="N3553" s="19"/>
      <c r="O3553" s="280"/>
      <c r="P3553" s="345">
        <v>15650</v>
      </c>
      <c r="Q3553" s="28">
        <f>177/1127.2</f>
        <v>0.15702625975869411</v>
      </c>
      <c r="U3553" s="29">
        <v>0.1</v>
      </c>
      <c r="W3553" s="741">
        <f t="shared" si="134"/>
        <v>2703.207061745919</v>
      </c>
    </row>
    <row r="3554" spans="1:23" ht="15" customHeight="1">
      <c r="A3554" s="3">
        <v>40882</v>
      </c>
      <c r="B3554" s="4">
        <v>64025</v>
      </c>
      <c r="C3554" s="4">
        <v>132150</v>
      </c>
      <c r="D3554" s="5">
        <v>67950</v>
      </c>
      <c r="E3554" s="5">
        <f t="shared" si="129"/>
        <v>102250</v>
      </c>
      <c r="F3554" s="5">
        <v>366375</v>
      </c>
      <c r="K3554" s="24">
        <v>2077</v>
      </c>
      <c r="L3554" s="6">
        <v>2095.5</v>
      </c>
      <c r="M3554" s="270">
        <f t="shared" si="132"/>
        <v>18.5</v>
      </c>
      <c r="N3554" s="19"/>
      <c r="O3554" s="280"/>
      <c r="P3554" s="345">
        <v>15600</v>
      </c>
      <c r="Q3554" s="28">
        <f>177.3/1127.7</f>
        <v>0.15722266560255388</v>
      </c>
      <c r="U3554" s="29">
        <v>0.1</v>
      </c>
      <c r="W3554" s="741">
        <f t="shared" si="134"/>
        <v>2697.9409417398247</v>
      </c>
    </row>
    <row r="3555" spans="1:23" ht="15" customHeight="1">
      <c r="A3555" s="3">
        <v>40883</v>
      </c>
      <c r="B3555" s="4">
        <v>63125</v>
      </c>
      <c r="C3555" s="4">
        <v>132450</v>
      </c>
      <c r="D3555" s="5">
        <v>67900</v>
      </c>
      <c r="E3555" s="5">
        <f t="shared" si="129"/>
        <v>101750</v>
      </c>
      <c r="F3555" s="5">
        <v>365225</v>
      </c>
      <c r="K3555" s="24">
        <v>2063.5</v>
      </c>
      <c r="L3555" s="6">
        <v>2084</v>
      </c>
      <c r="M3555" s="270">
        <f t="shared" si="132"/>
        <v>20.5</v>
      </c>
      <c r="N3555" s="19"/>
      <c r="O3555" s="280"/>
      <c r="P3555" s="345">
        <v>15550</v>
      </c>
      <c r="Q3555" s="28">
        <f>177.61/1130.3</f>
        <v>0.15713527382110945</v>
      </c>
      <c r="U3555" s="29">
        <v>0.1</v>
      </c>
      <c r="W3555" s="741">
        <f t="shared" si="134"/>
        <v>2687.7988587100772</v>
      </c>
    </row>
    <row r="3556" spans="1:23" ht="15" customHeight="1">
      <c r="A3556" s="3">
        <v>40884</v>
      </c>
      <c r="B3556" s="4">
        <v>62775</v>
      </c>
      <c r="C3556" s="4">
        <v>132450</v>
      </c>
      <c r="D3556" s="5">
        <v>67250</v>
      </c>
      <c r="E3556" s="5">
        <f t="shared" si="129"/>
        <v>101925</v>
      </c>
      <c r="F3556" s="5">
        <v>364400</v>
      </c>
      <c r="K3556" s="24">
        <v>2100</v>
      </c>
      <c r="L3556" s="6">
        <v>2120</v>
      </c>
      <c r="M3556" s="270">
        <f t="shared" si="132"/>
        <v>20</v>
      </c>
      <c r="N3556" s="19"/>
      <c r="O3556" s="280"/>
      <c r="P3556" s="345">
        <v>15650</v>
      </c>
      <c r="Q3556" s="28">
        <f>177.73/1131.2</f>
        <v>0.15711633663366334</v>
      </c>
      <c r="U3556" s="29">
        <v>0.1</v>
      </c>
      <c r="W3556" s="741">
        <f t="shared" si="134"/>
        <v>2704.7577351485143</v>
      </c>
    </row>
    <row r="3557" spans="1:23" ht="15" customHeight="1">
      <c r="A3557" s="3">
        <v>40885</v>
      </c>
      <c r="B3557" s="4">
        <v>62475</v>
      </c>
      <c r="C3557" s="4">
        <v>132750</v>
      </c>
      <c r="D3557" s="5">
        <v>66750</v>
      </c>
      <c r="E3557" s="5">
        <f t="shared" si="129"/>
        <v>101350</v>
      </c>
      <c r="F3557" s="5">
        <v>363325</v>
      </c>
      <c r="K3557" s="24">
        <v>2119</v>
      </c>
      <c r="L3557" s="6">
        <v>2136</v>
      </c>
      <c r="M3557" s="270">
        <f t="shared" si="132"/>
        <v>17</v>
      </c>
      <c r="N3557" s="19"/>
      <c r="O3557" s="280"/>
      <c r="P3557" s="345">
        <v>15725</v>
      </c>
      <c r="Q3557" s="28">
        <f>177.06/1126.8</f>
        <v>0.1571352502662407</v>
      </c>
      <c r="U3557" s="29">
        <v>0.1</v>
      </c>
      <c r="W3557" s="741">
        <f t="shared" si="134"/>
        <v>2718.0469914802984</v>
      </c>
    </row>
    <row r="3558" spans="1:23" ht="15" customHeight="1">
      <c r="A3558" s="3">
        <v>40886</v>
      </c>
      <c r="B3558" s="4">
        <v>62350</v>
      </c>
      <c r="C3558" s="4">
        <v>132750</v>
      </c>
      <c r="D3558" s="5">
        <v>66225</v>
      </c>
      <c r="E3558" s="5">
        <f t="shared" si="129"/>
        <v>100375</v>
      </c>
      <c r="F3558" s="5">
        <v>361700</v>
      </c>
      <c r="K3558" s="24">
        <v>2092.5</v>
      </c>
      <c r="L3558" s="6">
        <v>2110</v>
      </c>
      <c r="M3558" s="270">
        <f t="shared" si="132"/>
        <v>17.5</v>
      </c>
      <c r="N3558" s="19"/>
      <c r="O3558" s="280"/>
      <c r="P3558" s="345">
        <v>15600</v>
      </c>
      <c r="Q3558" s="28">
        <f>177.74/1130.9</f>
        <v>0.15716685825448756</v>
      </c>
      <c r="U3558" s="29">
        <v>0.1</v>
      </c>
      <c r="W3558" s="741">
        <f t="shared" si="134"/>
        <v>2696.9832876470068</v>
      </c>
    </row>
    <row r="3559" spans="1:23" ht="15" customHeight="1">
      <c r="A3559" s="3">
        <v>40889</v>
      </c>
      <c r="B3559" s="4">
        <v>61625</v>
      </c>
      <c r="C3559" s="4">
        <v>132000</v>
      </c>
      <c r="D3559" s="5">
        <v>65800</v>
      </c>
      <c r="E3559" s="5">
        <f t="shared" si="129"/>
        <v>100875</v>
      </c>
      <c r="F3559" s="5">
        <v>360300</v>
      </c>
      <c r="K3559" s="24">
        <v>2088</v>
      </c>
      <c r="L3559" s="6">
        <v>2109</v>
      </c>
      <c r="M3559" s="270">
        <f t="shared" si="132"/>
        <v>21</v>
      </c>
      <c r="N3559" s="19"/>
      <c r="O3559" s="280"/>
      <c r="P3559" s="345">
        <v>15600</v>
      </c>
      <c r="Q3559" s="28">
        <f>179.48/1142.3</f>
        <v>0.15712159677842949</v>
      </c>
      <c r="U3559" s="29">
        <v>0.1</v>
      </c>
      <c r="W3559" s="741">
        <f t="shared" si="134"/>
        <v>2696.2066007178501</v>
      </c>
    </row>
    <row r="3560" spans="1:23" ht="15" customHeight="1">
      <c r="A3560" s="3">
        <v>40890</v>
      </c>
      <c r="B3560" s="4">
        <v>60550</v>
      </c>
      <c r="C3560" s="4">
        <v>131875</v>
      </c>
      <c r="D3560" s="5">
        <v>65600</v>
      </c>
      <c r="E3560" s="5">
        <f t="shared" si="129"/>
        <v>100875</v>
      </c>
      <c r="F3560" s="5">
        <v>358900</v>
      </c>
      <c r="K3560" s="24">
        <v>2077</v>
      </c>
      <c r="L3560" s="6">
        <v>2095.5</v>
      </c>
      <c r="M3560" s="270">
        <f t="shared" si="132"/>
        <v>18.5</v>
      </c>
      <c r="N3560" s="19"/>
      <c r="O3560" s="280"/>
      <c r="P3560" s="345">
        <v>15500</v>
      </c>
      <c r="Q3560" s="28">
        <f>180.01/1145</f>
        <v>0.15721397379912663</v>
      </c>
      <c r="U3560" s="29">
        <v>0.1</v>
      </c>
      <c r="W3560" s="741">
        <f t="shared" si="134"/>
        <v>2680.4982532751092</v>
      </c>
    </row>
    <row r="3561" spans="1:23" ht="15" customHeight="1">
      <c r="A3561" s="3">
        <v>40891</v>
      </c>
      <c r="B3561" s="4">
        <v>59425</v>
      </c>
      <c r="C3561" s="4">
        <v>132375</v>
      </c>
      <c r="D3561" s="5">
        <v>65500</v>
      </c>
      <c r="E3561" s="5">
        <f t="shared" si="129"/>
        <v>103025</v>
      </c>
      <c r="F3561" s="5">
        <v>360325</v>
      </c>
      <c r="K3561" s="24">
        <v>2017</v>
      </c>
      <c r="L3561" s="6">
        <v>2037</v>
      </c>
      <c r="M3561" s="270">
        <f t="shared" si="132"/>
        <v>20</v>
      </c>
      <c r="N3561" s="19"/>
      <c r="O3561" s="280"/>
      <c r="P3561" s="345">
        <v>15350</v>
      </c>
      <c r="Q3561" s="28">
        <f>181.51/1155.4</f>
        <v>0.15709710922624198</v>
      </c>
      <c r="U3561" s="29">
        <v>0.1</v>
      </c>
      <c r="W3561" s="741">
        <f t="shared" si="134"/>
        <v>2652.5846892850959</v>
      </c>
    </row>
    <row r="3562" spans="1:23" ht="15" customHeight="1">
      <c r="A3562" s="3">
        <v>40892</v>
      </c>
      <c r="B3562" s="4">
        <v>58225</v>
      </c>
      <c r="C3562" s="4">
        <v>134250</v>
      </c>
      <c r="D3562" s="5">
        <v>65450</v>
      </c>
      <c r="E3562" s="5">
        <f t="shared" si="129"/>
        <v>101725</v>
      </c>
      <c r="F3562" s="5">
        <v>359650</v>
      </c>
      <c r="K3562" s="24">
        <v>1980</v>
      </c>
      <c r="L3562" s="6">
        <v>1990.5</v>
      </c>
      <c r="M3562" s="270">
        <f t="shared" si="132"/>
        <v>10.5</v>
      </c>
      <c r="N3562" s="19"/>
      <c r="O3562" s="280"/>
      <c r="P3562" s="345">
        <v>15150</v>
      </c>
      <c r="Q3562" s="28">
        <f>181.83/1158.5</f>
        <v>0.15695295640914977</v>
      </c>
      <c r="U3562" s="29">
        <v>0.1</v>
      </c>
      <c r="W3562" s="741">
        <f t="shared" si="134"/>
        <v>2615.621018558481</v>
      </c>
    </row>
    <row r="3563" spans="1:23" ht="15" customHeight="1">
      <c r="A3563" s="3">
        <v>40893</v>
      </c>
      <c r="B3563" s="4">
        <v>56975</v>
      </c>
      <c r="C3563" s="4">
        <v>135000</v>
      </c>
      <c r="D3563" s="5">
        <v>65275</v>
      </c>
      <c r="E3563" s="5">
        <f t="shared" si="129"/>
        <v>100825</v>
      </c>
      <c r="F3563" s="5">
        <v>358075</v>
      </c>
      <c r="K3563" s="24">
        <v>1980</v>
      </c>
      <c r="L3563" s="6">
        <v>2000</v>
      </c>
      <c r="M3563" s="270">
        <f t="shared" si="132"/>
        <v>20</v>
      </c>
      <c r="N3563" s="19"/>
      <c r="O3563" s="280"/>
      <c r="P3563" s="345">
        <v>15200</v>
      </c>
      <c r="Q3563" s="28">
        <f>182.22/1161.4</f>
        <v>0.15689684863096262</v>
      </c>
      <c r="U3563" s="29">
        <v>0.1</v>
      </c>
      <c r="W3563" s="741">
        <f t="shared" si="134"/>
        <v>2623.3153091096951</v>
      </c>
    </row>
    <row r="3564" spans="1:23" ht="15" customHeight="1">
      <c r="A3564" s="3">
        <v>40896</v>
      </c>
      <c r="B3564" s="4">
        <v>55850</v>
      </c>
      <c r="C3564" s="4">
        <v>135000</v>
      </c>
      <c r="D3564" s="5">
        <v>65075</v>
      </c>
      <c r="E3564" s="5">
        <f t="shared" si="129"/>
        <v>106725</v>
      </c>
      <c r="F3564" s="5">
        <v>362650</v>
      </c>
      <c r="K3564" s="24">
        <v>1937.5</v>
      </c>
      <c r="L3564" s="6">
        <v>1954</v>
      </c>
      <c r="M3564" s="270">
        <f t="shared" si="132"/>
        <v>16.5</v>
      </c>
      <c r="N3564" s="19"/>
      <c r="O3564" s="280"/>
      <c r="P3564" s="345">
        <v>15150</v>
      </c>
      <c r="Q3564" s="28">
        <f>182.11/1156.5</f>
        <v>0.15746649373108518</v>
      </c>
      <c r="U3564" s="29">
        <v>0.1</v>
      </c>
      <c r="W3564" s="741">
        <f t="shared" si="134"/>
        <v>2624.1791180285345</v>
      </c>
    </row>
    <row r="3565" spans="1:23" ht="15" customHeight="1">
      <c r="A3565" s="3">
        <v>40897</v>
      </c>
      <c r="B3565" s="4">
        <v>54475</v>
      </c>
      <c r="C3565" s="4">
        <v>141125</v>
      </c>
      <c r="D3565" s="5">
        <v>64950</v>
      </c>
      <c r="E3565" s="5">
        <f t="shared" si="129"/>
        <v>100525</v>
      </c>
      <c r="F3565" s="5">
        <v>361075</v>
      </c>
      <c r="K3565" s="24">
        <v>1933</v>
      </c>
      <c r="L3565" s="6">
        <v>1952</v>
      </c>
      <c r="M3565" s="270">
        <f t="shared" si="132"/>
        <v>19</v>
      </c>
      <c r="N3565" s="19"/>
      <c r="O3565" s="280"/>
      <c r="P3565" s="345">
        <v>15150</v>
      </c>
      <c r="Q3565" s="28">
        <f>184.53/1169.5</f>
        <v>0.15778537836682344</v>
      </c>
      <c r="U3565" s="29">
        <v>0.1</v>
      </c>
      <c r="W3565" s="741">
        <f t="shared" si="134"/>
        <v>2629.4933304831125</v>
      </c>
    </row>
    <row r="3566" spans="1:23" ht="15" customHeight="1">
      <c r="A3566" s="3">
        <v>40898</v>
      </c>
      <c r="B3566" s="4">
        <v>53450</v>
      </c>
      <c r="C3566" s="4">
        <v>141200</v>
      </c>
      <c r="D3566" s="5">
        <v>64800</v>
      </c>
      <c r="E3566" s="5">
        <f t="shared" si="129"/>
        <v>99000</v>
      </c>
      <c r="F3566" s="5">
        <v>358450</v>
      </c>
      <c r="K3566" s="24">
        <v>1933.5</v>
      </c>
      <c r="L3566" s="6">
        <v>1961</v>
      </c>
      <c r="M3566" s="270">
        <f t="shared" si="132"/>
        <v>27.5</v>
      </c>
      <c r="N3566" s="19"/>
      <c r="O3566" s="280"/>
      <c r="P3566" s="345">
        <v>15250</v>
      </c>
      <c r="Q3566" s="28">
        <f>183.89/1167.1</f>
        <v>0.15756147716562419</v>
      </c>
      <c r="U3566" s="29">
        <v>0.1</v>
      </c>
      <c r="W3566" s="741">
        <f t="shared" si="134"/>
        <v>2643.0937794533456</v>
      </c>
    </row>
    <row r="3567" spans="1:23" ht="15" customHeight="1">
      <c r="A3567" s="3">
        <v>40899</v>
      </c>
      <c r="B3567" s="4">
        <v>52500</v>
      </c>
      <c r="C3567" s="4">
        <v>139800</v>
      </c>
      <c r="D3567" s="5">
        <v>64725</v>
      </c>
      <c r="E3567" s="5">
        <f t="shared" si="129"/>
        <v>100750</v>
      </c>
      <c r="F3567" s="5">
        <v>357775</v>
      </c>
      <c r="K3567" s="24">
        <v>1955.5</v>
      </c>
      <c r="L3567" s="6">
        <v>1976</v>
      </c>
      <c r="M3567" s="270">
        <f t="shared" si="132"/>
        <v>20.5</v>
      </c>
      <c r="N3567" s="19"/>
      <c r="O3567" s="280"/>
      <c r="P3567" s="345">
        <v>15200</v>
      </c>
      <c r="Q3567" s="28">
        <f>181.56/1150.9</f>
        <v>0.15775480059084193</v>
      </c>
      <c r="U3567" s="29">
        <v>0.1</v>
      </c>
      <c r="W3567" s="741">
        <f t="shared" si="134"/>
        <v>2637.6602658788775</v>
      </c>
    </row>
    <row r="3568" spans="1:23" ht="15" customHeight="1">
      <c r="A3568" s="3">
        <v>40900</v>
      </c>
      <c r="B3568" s="4">
        <v>51600</v>
      </c>
      <c r="C3568" s="4">
        <v>139000</v>
      </c>
      <c r="D3568" s="5">
        <v>64625</v>
      </c>
      <c r="E3568" s="5">
        <f>F3568-(B3568+C3568+D3568)</f>
        <v>101000</v>
      </c>
      <c r="F3568" s="5">
        <v>356225</v>
      </c>
      <c r="K3568" s="24">
        <v>1986</v>
      </c>
      <c r="L3568" s="6">
        <v>2010</v>
      </c>
      <c r="M3568" s="270">
        <f t="shared" si="132"/>
        <v>24</v>
      </c>
      <c r="N3568" s="19"/>
      <c r="O3568" s="280"/>
      <c r="P3568" s="345">
        <v>15300</v>
      </c>
      <c r="Q3568" s="28">
        <f>182.38/1156.2</f>
        <v>0.15774087528109323</v>
      </c>
      <c r="U3568" s="29">
        <v>0.1</v>
      </c>
      <c r="W3568" s="741">
        <f t="shared" si="134"/>
        <v>2654.778930980799</v>
      </c>
    </row>
    <row r="3569" spans="1:23" ht="15" customHeight="1">
      <c r="A3569" s="3">
        <v>40903</v>
      </c>
      <c r="C3569" s="26"/>
      <c r="D3569" s="26"/>
      <c r="E3569" s="26"/>
      <c r="F3569" s="26"/>
      <c r="G3569" s="1003" t="s">
        <v>117</v>
      </c>
      <c r="H3569" s="1003"/>
      <c r="I3569" s="1003"/>
      <c r="J3569" s="1003"/>
      <c r="K3569" s="26"/>
      <c r="L3569" s="26"/>
      <c r="M3569" s="26"/>
      <c r="N3569" s="19"/>
      <c r="O3569" s="280"/>
      <c r="P3569" s="383"/>
      <c r="Q3569" s="996" t="s">
        <v>122</v>
      </c>
      <c r="R3569" s="996"/>
      <c r="S3569" s="996"/>
      <c r="T3569" s="996"/>
      <c r="U3569" s="996"/>
      <c r="W3569" s="744"/>
    </row>
    <row r="3570" spans="1:23" ht="15" customHeight="1">
      <c r="A3570" s="3">
        <v>40904</v>
      </c>
      <c r="B3570" s="26"/>
      <c r="C3570" s="26"/>
      <c r="D3570" s="26"/>
      <c r="E3570" s="26"/>
      <c r="F3570" s="26"/>
      <c r="G3570" s="1003"/>
      <c r="H3570" s="1003"/>
      <c r="I3570" s="1003"/>
      <c r="J3570" s="1003"/>
      <c r="K3570" s="26"/>
      <c r="L3570" s="26"/>
      <c r="M3570" s="26"/>
      <c r="N3570" s="19"/>
      <c r="O3570" s="280"/>
      <c r="P3570" s="383"/>
      <c r="Q3570" s="996"/>
      <c r="R3570" s="996"/>
      <c r="S3570" s="996"/>
      <c r="T3570" s="996"/>
      <c r="U3570" s="996"/>
      <c r="W3570" s="744"/>
    </row>
    <row r="3571" spans="1:23" ht="15" customHeight="1">
      <c r="A3571" s="3">
        <v>40905</v>
      </c>
      <c r="B3571" s="4">
        <v>50850</v>
      </c>
      <c r="C3571" s="4">
        <v>138500</v>
      </c>
      <c r="D3571" s="5">
        <v>64725</v>
      </c>
      <c r="E3571" s="5">
        <f>F3571-(B3571+C3571+D3571)</f>
        <v>102100</v>
      </c>
      <c r="F3571" s="5">
        <v>356175</v>
      </c>
      <c r="K3571" s="24">
        <v>1950.5</v>
      </c>
      <c r="L3571" s="6">
        <v>1977</v>
      </c>
      <c r="M3571" s="270">
        <f t="shared" ref="M3571:M3597" si="135">L3571-K3571</f>
        <v>26.5</v>
      </c>
      <c r="N3571" s="19"/>
      <c r="O3571" s="280"/>
      <c r="P3571" s="345">
        <v>15250</v>
      </c>
      <c r="Q3571" s="28">
        <f>182.92/1156.4</f>
        <v>0.1581805603597371</v>
      </c>
      <c r="U3571" s="29">
        <v>0.1</v>
      </c>
      <c r="W3571" s="741">
        <f>(P3571*Q3571)*(1+U3571)</f>
        <v>2653.47890003459</v>
      </c>
    </row>
    <row r="3572" spans="1:23" ht="15" customHeight="1">
      <c r="A3572" s="3">
        <v>40906</v>
      </c>
      <c r="B3572" s="4">
        <v>49325</v>
      </c>
      <c r="C3572" s="4">
        <v>139075</v>
      </c>
      <c r="D3572" s="5">
        <v>64625</v>
      </c>
      <c r="E3572" s="5">
        <f>F3572-(B3572+C3572+D3572)</f>
        <v>100225</v>
      </c>
      <c r="F3572" s="5">
        <v>353250</v>
      </c>
      <c r="K3572" s="24">
        <v>1945</v>
      </c>
      <c r="L3572" s="6">
        <v>1964</v>
      </c>
      <c r="M3572" s="270">
        <f t="shared" si="135"/>
        <v>19</v>
      </c>
      <c r="N3572" s="19"/>
      <c r="O3572" s="280"/>
      <c r="P3572" s="345">
        <v>15100</v>
      </c>
      <c r="Q3572" s="28">
        <f>183.09/1157.4</f>
        <v>0.15819077242094348</v>
      </c>
      <c r="U3572" s="29">
        <v>0.1</v>
      </c>
      <c r="W3572" s="741">
        <f>(P3572*Q3572)*(1+U3572)</f>
        <v>2627.5487299118713</v>
      </c>
    </row>
    <row r="3573" spans="1:23" ht="15" customHeight="1" thickBot="1">
      <c r="A3573" s="12">
        <v>40907</v>
      </c>
      <c r="B3573" s="13">
        <v>48550</v>
      </c>
      <c r="C3573" s="13">
        <v>138375</v>
      </c>
      <c r="D3573" s="14">
        <v>64625</v>
      </c>
      <c r="E3573" s="14">
        <f>F3573-(B3573+C3573+D3573)</f>
        <v>101525</v>
      </c>
      <c r="F3573" s="14">
        <v>353075</v>
      </c>
      <c r="G3573" s="14"/>
      <c r="H3573" s="14"/>
      <c r="I3573" s="14"/>
      <c r="J3573" s="264"/>
      <c r="K3573" s="25">
        <v>1980</v>
      </c>
      <c r="L3573" s="15">
        <v>2003</v>
      </c>
      <c r="M3573" s="270">
        <f t="shared" si="135"/>
        <v>23</v>
      </c>
      <c r="N3573" s="164">
        <f>AVERAGE(K3552:K3573)</f>
        <v>2018.9749999999999</v>
      </c>
      <c r="O3573" s="288">
        <f>AVERAGE(K3315:K3573)</f>
        <v>2397.8326693227091</v>
      </c>
      <c r="P3573" s="346">
        <v>15200</v>
      </c>
      <c r="Q3573" s="30">
        <f>182.51/1153.3</f>
        <v>0.15825023844619787</v>
      </c>
      <c r="R3573" s="30"/>
      <c r="S3573" s="30"/>
      <c r="T3573" s="30"/>
      <c r="U3573" s="31">
        <v>0.1</v>
      </c>
      <c r="V3573" s="46">
        <f>AVERAGE(P3552:P3573)</f>
        <v>15396.25</v>
      </c>
      <c r="W3573" s="741">
        <f>(P3573*Q3573)*(1+U3573)</f>
        <v>2645.9439868204286</v>
      </c>
    </row>
    <row r="3574" spans="1:23" ht="15" customHeight="1">
      <c r="A3574" s="36">
        <v>40910</v>
      </c>
      <c r="C3574" s="386"/>
      <c r="D3574" s="386"/>
      <c r="E3574" s="386"/>
      <c r="F3574" s="386"/>
      <c r="G3574" s="1033" t="s">
        <v>70</v>
      </c>
      <c r="H3574" s="1033"/>
      <c r="I3574" s="1033"/>
      <c r="J3574" s="1033"/>
      <c r="K3574" s="386"/>
      <c r="L3574" s="386"/>
      <c r="M3574" s="386"/>
      <c r="N3574" s="21"/>
      <c r="P3574" s="384"/>
      <c r="Q3574" s="1010" t="s">
        <v>122</v>
      </c>
      <c r="R3574" s="1010"/>
      <c r="S3574" s="1010"/>
      <c r="T3574" s="1010"/>
      <c r="U3574" s="1010"/>
      <c r="V3574" s="45"/>
      <c r="W3574" s="743"/>
    </row>
    <row r="3575" spans="1:23" ht="15" customHeight="1">
      <c r="A3575" s="3">
        <v>40911</v>
      </c>
      <c r="B3575" s="4">
        <v>47525</v>
      </c>
      <c r="C3575" s="4">
        <v>139075</v>
      </c>
      <c r="D3575" s="5">
        <v>64725</v>
      </c>
      <c r="E3575" s="5">
        <f t="shared" ref="E3575:E3645" si="136">F3575-(B3575+C3575+D3575)</f>
        <v>100400</v>
      </c>
      <c r="F3575" s="5">
        <v>351725</v>
      </c>
      <c r="G3575" s="5">
        <v>150</v>
      </c>
      <c r="H3575" s="5">
        <v>1500</v>
      </c>
      <c r="I3575" s="5">
        <v>28750</v>
      </c>
      <c r="J3575" s="263">
        <f>I3575/F3575</f>
        <v>8.1739995735304577E-2</v>
      </c>
      <c r="K3575" s="24">
        <v>1994.5</v>
      </c>
      <c r="L3575" s="6">
        <v>2016</v>
      </c>
      <c r="M3575" s="270">
        <f t="shared" si="135"/>
        <v>21.5</v>
      </c>
      <c r="N3575" s="19"/>
      <c r="O3575" s="280" t="s">
        <v>116</v>
      </c>
      <c r="P3575" s="383"/>
      <c r="Q3575" s="996"/>
      <c r="R3575" s="996"/>
      <c r="S3575" s="996"/>
      <c r="T3575" s="996"/>
      <c r="U3575" s="996"/>
      <c r="W3575" s="744"/>
    </row>
    <row r="3576" spans="1:23" ht="15" customHeight="1">
      <c r="A3576" s="3">
        <v>40912</v>
      </c>
      <c r="B3576" s="4">
        <v>46400</v>
      </c>
      <c r="C3576" s="4">
        <v>138950</v>
      </c>
      <c r="D3576" s="5">
        <v>64725</v>
      </c>
      <c r="E3576" s="5">
        <f t="shared" si="136"/>
        <v>103000</v>
      </c>
      <c r="F3576" s="5">
        <v>353075</v>
      </c>
      <c r="G3576" s="5">
        <v>2725</v>
      </c>
      <c r="H3576" s="5">
        <v>1375</v>
      </c>
      <c r="I3576" s="5">
        <v>27775</v>
      </c>
      <c r="J3576" s="263">
        <f t="shared" ref="J3576:J3595" si="137">I3576/F3576</f>
        <v>7.8666005806131839E-2</v>
      </c>
      <c r="K3576" s="24">
        <v>2043</v>
      </c>
      <c r="L3576" s="6">
        <v>2067</v>
      </c>
      <c r="M3576" s="270">
        <f t="shared" si="135"/>
        <v>24</v>
      </c>
      <c r="N3576" s="19"/>
      <c r="O3576" s="280"/>
      <c r="P3576" s="345">
        <v>15300</v>
      </c>
      <c r="Q3576" s="28">
        <f>182.86/1150.9</f>
        <v>0.15888435137718307</v>
      </c>
      <c r="U3576" s="29">
        <v>0.1</v>
      </c>
      <c r="W3576" s="741">
        <f t="shared" ref="W3576:W3588" si="138">(P3576*Q3576)*(1+U3576)</f>
        <v>2674.0236336779913</v>
      </c>
    </row>
    <row r="3577" spans="1:23" ht="15" customHeight="1">
      <c r="A3577" s="3">
        <v>40913</v>
      </c>
      <c r="B3577" s="4">
        <v>45275</v>
      </c>
      <c r="C3577" s="4">
        <v>141575</v>
      </c>
      <c r="D3577" s="5">
        <v>64725</v>
      </c>
      <c r="E3577" s="5">
        <f t="shared" si="136"/>
        <v>100275</v>
      </c>
      <c r="F3577" s="5">
        <v>351850</v>
      </c>
      <c r="G3577" s="5">
        <v>0</v>
      </c>
      <c r="H3577" s="5">
        <v>1225</v>
      </c>
      <c r="I3577" s="5">
        <v>26550</v>
      </c>
      <c r="J3577" s="263">
        <f t="shared" si="137"/>
        <v>7.5458291885746764E-2</v>
      </c>
      <c r="K3577" s="24">
        <v>2015.5</v>
      </c>
      <c r="L3577" s="6">
        <v>2038</v>
      </c>
      <c r="M3577" s="270">
        <f t="shared" si="135"/>
        <v>22.5</v>
      </c>
      <c r="N3577" s="19"/>
      <c r="O3577" s="280"/>
      <c r="P3577" s="345">
        <v>15300</v>
      </c>
      <c r="Q3577" s="28">
        <f>182.29/1147.4</f>
        <v>0.15887223287432453</v>
      </c>
      <c r="U3577" s="29">
        <v>0.1</v>
      </c>
      <c r="W3577" s="741">
        <f t="shared" si="138"/>
        <v>2673.8196792748822</v>
      </c>
    </row>
    <row r="3578" spans="1:23" ht="15" customHeight="1">
      <c r="A3578" s="3">
        <v>40914</v>
      </c>
      <c r="B3578" s="4">
        <v>43950</v>
      </c>
      <c r="C3578" s="4">
        <v>141475</v>
      </c>
      <c r="D3578" s="5">
        <v>64925</v>
      </c>
      <c r="E3578" s="5">
        <f t="shared" si="136"/>
        <v>99425</v>
      </c>
      <c r="F3578" s="5">
        <v>349775</v>
      </c>
      <c r="G3578" s="5">
        <v>0</v>
      </c>
      <c r="H3578" s="5">
        <v>6700</v>
      </c>
      <c r="I3578" s="5">
        <v>24325</v>
      </c>
      <c r="J3578" s="263">
        <f t="shared" si="137"/>
        <v>6.9544707311843326E-2</v>
      </c>
      <c r="K3578" s="24">
        <v>1975.5</v>
      </c>
      <c r="L3578" s="6">
        <v>1995.5</v>
      </c>
      <c r="M3578" s="270">
        <f t="shared" si="135"/>
        <v>20</v>
      </c>
      <c r="N3578" s="19"/>
      <c r="O3578" s="280"/>
      <c r="P3578" s="345">
        <v>15200</v>
      </c>
      <c r="Q3578" s="28">
        <f>182.54/1150.3</f>
        <v>0.15868903764235417</v>
      </c>
      <c r="U3578" s="29">
        <v>0.1</v>
      </c>
      <c r="W3578" s="741">
        <f t="shared" si="138"/>
        <v>2653.2807093801621</v>
      </c>
    </row>
    <row r="3579" spans="1:23" ht="15" customHeight="1">
      <c r="A3579" s="3">
        <v>40917</v>
      </c>
      <c r="B3579" s="4">
        <v>43950</v>
      </c>
      <c r="C3579" s="4">
        <v>140575</v>
      </c>
      <c r="D3579" s="5">
        <v>64925</v>
      </c>
      <c r="E3579" s="5">
        <f t="shared" si="136"/>
        <v>101425</v>
      </c>
      <c r="F3579" s="5">
        <v>350875</v>
      </c>
      <c r="G3579" s="5">
        <v>0</v>
      </c>
      <c r="H3579" s="5">
        <v>0</v>
      </c>
      <c r="I3579" s="5">
        <v>23350</v>
      </c>
      <c r="J3579" s="263">
        <f t="shared" si="137"/>
        <v>6.6547915924474524E-2</v>
      </c>
      <c r="K3579" s="24">
        <v>1942.5</v>
      </c>
      <c r="L3579" s="6">
        <v>1963.5</v>
      </c>
      <c r="M3579" s="270">
        <f t="shared" si="135"/>
        <v>21</v>
      </c>
      <c r="N3579" s="19"/>
      <c r="O3579" s="280"/>
      <c r="P3579" s="345">
        <v>15200</v>
      </c>
      <c r="Q3579" s="28">
        <f>183.6/1158.4</f>
        <v>0.15849447513812154</v>
      </c>
      <c r="U3579" s="29">
        <v>0.1</v>
      </c>
      <c r="W3579" s="741">
        <f t="shared" si="138"/>
        <v>2650.0276243093926</v>
      </c>
    </row>
    <row r="3580" spans="1:23" ht="15" customHeight="1">
      <c r="A3580" s="3">
        <v>40918</v>
      </c>
      <c r="B3580" s="4">
        <v>43950</v>
      </c>
      <c r="C3580" s="4">
        <v>141675</v>
      </c>
      <c r="D3580" s="5">
        <v>64925</v>
      </c>
      <c r="E3580" s="5">
        <f t="shared" si="136"/>
        <v>103425</v>
      </c>
      <c r="F3580" s="5">
        <v>353975</v>
      </c>
      <c r="G3580" s="5">
        <v>3200</v>
      </c>
      <c r="H3580" s="5">
        <v>100</v>
      </c>
      <c r="I3580" s="5">
        <v>23250</v>
      </c>
      <c r="J3580" s="263">
        <f t="shared" si="137"/>
        <v>6.5682604703722017E-2</v>
      </c>
      <c r="K3580" s="24">
        <v>1999</v>
      </c>
      <c r="L3580" s="6">
        <v>2027</v>
      </c>
      <c r="M3580" s="270">
        <f t="shared" si="135"/>
        <v>28</v>
      </c>
      <c r="N3580" s="19"/>
      <c r="O3580" s="280"/>
      <c r="P3580" s="345">
        <v>15200</v>
      </c>
      <c r="Q3580" s="28">
        <f>184.38/1164.3</f>
        <v>0.15836124710126256</v>
      </c>
      <c r="U3580" s="29">
        <v>0.1</v>
      </c>
      <c r="W3580" s="741">
        <f t="shared" si="138"/>
        <v>2647.8000515331105</v>
      </c>
    </row>
    <row r="3581" spans="1:23" ht="15" customHeight="1">
      <c r="A3581" s="3">
        <v>40919</v>
      </c>
      <c r="B3581" s="4">
        <v>43950</v>
      </c>
      <c r="C3581" s="4">
        <v>144875</v>
      </c>
      <c r="D3581" s="5">
        <v>64925</v>
      </c>
      <c r="E3581" s="5">
        <f t="shared" si="136"/>
        <v>99875</v>
      </c>
      <c r="F3581" s="5">
        <v>353625</v>
      </c>
      <c r="G3581" s="5">
        <v>0</v>
      </c>
      <c r="H3581" s="5">
        <v>350</v>
      </c>
      <c r="I3581" s="5">
        <v>32250</v>
      </c>
      <c r="J3581" s="263">
        <f t="shared" si="137"/>
        <v>9.1198303287380697E-2</v>
      </c>
      <c r="K3581" s="24">
        <v>1968.5</v>
      </c>
      <c r="L3581" s="6">
        <v>1997</v>
      </c>
      <c r="M3581" s="270">
        <f t="shared" si="135"/>
        <v>28.5</v>
      </c>
      <c r="N3581" s="19"/>
      <c r="O3581" s="280"/>
      <c r="P3581" s="345">
        <v>15330</v>
      </c>
      <c r="Q3581" s="28">
        <f>183.09/1156.2</f>
        <v>0.15835495588998444</v>
      </c>
      <c r="U3581" s="29">
        <v>0.1</v>
      </c>
      <c r="W3581" s="741">
        <f t="shared" si="138"/>
        <v>2670.3396211728077</v>
      </c>
    </row>
    <row r="3582" spans="1:23" ht="15" customHeight="1">
      <c r="A3582" s="3">
        <v>40920</v>
      </c>
      <c r="B3582" s="4">
        <v>43950</v>
      </c>
      <c r="C3582" s="4">
        <v>144875</v>
      </c>
      <c r="D3582" s="5">
        <v>64925</v>
      </c>
      <c r="E3582" s="5">
        <f t="shared" si="136"/>
        <v>98900</v>
      </c>
      <c r="F3582" s="5">
        <v>352650</v>
      </c>
      <c r="G3582" s="5">
        <v>0</v>
      </c>
      <c r="H3582" s="5">
        <v>975</v>
      </c>
      <c r="I3582" s="5">
        <v>31525</v>
      </c>
      <c r="J3582" s="263">
        <f t="shared" si="137"/>
        <v>8.939458386502197E-2</v>
      </c>
      <c r="K3582" s="24">
        <v>2000</v>
      </c>
      <c r="L3582" s="6">
        <v>2022</v>
      </c>
      <c r="M3582" s="270">
        <f t="shared" si="135"/>
        <v>22</v>
      </c>
      <c r="N3582" s="19"/>
      <c r="O3582" s="280"/>
      <c r="P3582" s="345">
        <v>15300</v>
      </c>
      <c r="Q3582" s="28">
        <f>183.59/1159.4</f>
        <v>0.1583491461100569</v>
      </c>
      <c r="U3582" s="29">
        <v>0.1</v>
      </c>
      <c r="W3582" s="741">
        <f t="shared" si="138"/>
        <v>2665.016129032258</v>
      </c>
    </row>
    <row r="3583" spans="1:23" ht="15" customHeight="1">
      <c r="A3583" s="3">
        <v>40921</v>
      </c>
      <c r="B3583" s="4">
        <v>43950</v>
      </c>
      <c r="C3583" s="4">
        <v>144375</v>
      </c>
      <c r="D3583" s="5">
        <v>64925</v>
      </c>
      <c r="E3583" s="5">
        <f t="shared" si="136"/>
        <v>99250</v>
      </c>
      <c r="F3583" s="5">
        <v>352500</v>
      </c>
      <c r="G3583" s="5">
        <v>0</v>
      </c>
      <c r="H3583" s="5">
        <v>150</v>
      </c>
      <c r="I3583" s="5">
        <v>31375</v>
      </c>
      <c r="J3583" s="263">
        <f t="shared" si="137"/>
        <v>8.9007092198581564E-2</v>
      </c>
      <c r="K3583" s="24">
        <v>2004</v>
      </c>
      <c r="L3583" s="6">
        <v>2022.5</v>
      </c>
      <c r="M3583" s="270">
        <f t="shared" si="135"/>
        <v>18.5</v>
      </c>
      <c r="N3583" s="19"/>
      <c r="O3583" s="280"/>
      <c r="P3583" s="345">
        <v>15350</v>
      </c>
      <c r="Q3583" s="28">
        <f>183.41/1158.8</f>
        <v>0.1582758025543666</v>
      </c>
      <c r="U3583" s="29">
        <v>0.1</v>
      </c>
      <c r="W3583" s="741">
        <f t="shared" si="138"/>
        <v>2672.4869261304802</v>
      </c>
    </row>
    <row r="3584" spans="1:23" ht="15" customHeight="1">
      <c r="A3584" s="3">
        <v>40924</v>
      </c>
      <c r="B3584" s="4">
        <v>43950</v>
      </c>
      <c r="C3584" s="4">
        <v>144325</v>
      </c>
      <c r="D3584" s="5">
        <v>64925</v>
      </c>
      <c r="E3584" s="5">
        <f t="shared" si="136"/>
        <v>99000</v>
      </c>
      <c r="F3584" s="5">
        <v>352200</v>
      </c>
      <c r="G3584" s="5">
        <v>300</v>
      </c>
      <c r="H3584" s="5">
        <v>600</v>
      </c>
      <c r="I3584" s="5">
        <v>30775</v>
      </c>
      <c r="J3584" s="263">
        <f t="shared" si="137"/>
        <v>8.7379329926178306E-2</v>
      </c>
      <c r="K3584" s="24">
        <v>1989</v>
      </c>
      <c r="L3584" s="6">
        <v>2020</v>
      </c>
      <c r="M3584" s="270">
        <f t="shared" si="135"/>
        <v>31</v>
      </c>
      <c r="N3584" s="19"/>
      <c r="O3584" s="280"/>
      <c r="P3584" s="345">
        <v>15350</v>
      </c>
      <c r="Q3584" s="28">
        <f>182.44/1150.6</f>
        <v>0.15856075091256736</v>
      </c>
      <c r="U3584" s="29">
        <v>0.1</v>
      </c>
      <c r="W3584" s="741">
        <f t="shared" si="138"/>
        <v>2677.2982791587001</v>
      </c>
    </row>
    <row r="3585" spans="1:23" ht="15" customHeight="1">
      <c r="A3585" s="3">
        <v>40925</v>
      </c>
      <c r="B3585" s="4">
        <v>43950</v>
      </c>
      <c r="C3585" s="4">
        <v>143825</v>
      </c>
      <c r="D3585" s="5">
        <v>64925</v>
      </c>
      <c r="E3585" s="5">
        <f t="shared" si="136"/>
        <v>98375</v>
      </c>
      <c r="F3585" s="5">
        <v>351075</v>
      </c>
      <c r="G3585" s="5">
        <v>0</v>
      </c>
      <c r="H3585" s="5">
        <v>1125</v>
      </c>
      <c r="I3585" s="5">
        <v>30075</v>
      </c>
      <c r="J3585" s="263">
        <f t="shared" si="137"/>
        <v>8.5665456099124113E-2</v>
      </c>
      <c r="K3585" s="24">
        <v>2046</v>
      </c>
      <c r="L3585" s="6">
        <v>2074</v>
      </c>
      <c r="M3585" s="270">
        <f t="shared" si="135"/>
        <v>28</v>
      </c>
      <c r="N3585" s="19"/>
      <c r="O3585" s="280"/>
      <c r="P3585" s="345">
        <v>15500</v>
      </c>
      <c r="Q3585" s="28">
        <f>182.7/1154</f>
        <v>0.15831889081455805</v>
      </c>
      <c r="U3585" s="29">
        <v>0.1</v>
      </c>
      <c r="W3585" s="741">
        <f t="shared" si="138"/>
        <v>2699.3370883882153</v>
      </c>
    </row>
    <row r="3586" spans="1:23" ht="15" customHeight="1">
      <c r="A3586" s="3">
        <v>40926</v>
      </c>
      <c r="B3586" s="4">
        <v>43950</v>
      </c>
      <c r="C3586" s="4">
        <v>142875</v>
      </c>
      <c r="D3586" s="5">
        <v>64925</v>
      </c>
      <c r="E3586" s="5">
        <f t="shared" si="136"/>
        <v>97550</v>
      </c>
      <c r="F3586" s="5">
        <v>349300</v>
      </c>
      <c r="G3586" s="5">
        <v>0</v>
      </c>
      <c r="H3586" s="5">
        <v>1775</v>
      </c>
      <c r="I3586" s="5">
        <v>28300</v>
      </c>
      <c r="J3586" s="263">
        <f t="shared" si="137"/>
        <v>8.1019181219582015E-2</v>
      </c>
      <c r="K3586" s="24">
        <v>2092</v>
      </c>
      <c r="L3586" s="6">
        <v>2116</v>
      </c>
      <c r="M3586" s="270">
        <f t="shared" si="135"/>
        <v>24</v>
      </c>
      <c r="N3586" s="19"/>
      <c r="O3586" s="280"/>
      <c r="P3586" s="345">
        <v>15600</v>
      </c>
      <c r="Q3586" s="28">
        <f>181.66/1147</f>
        <v>0.15837837837837837</v>
      </c>
      <c r="U3586" s="29">
        <v>0.1</v>
      </c>
      <c r="W3586" s="741">
        <f t="shared" si="138"/>
        <v>2717.7729729729731</v>
      </c>
    </row>
    <row r="3587" spans="1:23" ht="15" customHeight="1">
      <c r="A3587" s="3">
        <v>40927</v>
      </c>
      <c r="B3587" s="4">
        <v>43950</v>
      </c>
      <c r="C3587" s="4">
        <v>141475</v>
      </c>
      <c r="D3587" s="5">
        <v>64925</v>
      </c>
      <c r="E3587" s="5">
        <f t="shared" si="136"/>
        <v>98950</v>
      </c>
      <c r="F3587" s="5">
        <v>349300</v>
      </c>
      <c r="G3587" s="5">
        <v>500</v>
      </c>
      <c r="H3587" s="5">
        <v>1075</v>
      </c>
      <c r="I3587" s="5">
        <v>44350</v>
      </c>
      <c r="J3587" s="263">
        <f t="shared" si="137"/>
        <v>0.12696822215860293</v>
      </c>
      <c r="K3587" s="24">
        <v>2131.5</v>
      </c>
      <c r="L3587" s="6">
        <v>2162</v>
      </c>
      <c r="M3587" s="270">
        <f t="shared" si="135"/>
        <v>30.5</v>
      </c>
      <c r="N3587" s="19"/>
      <c r="O3587" s="280"/>
      <c r="P3587" s="345">
        <v>15700</v>
      </c>
      <c r="Q3587" s="28">
        <f>181.1/1143.1</f>
        <v>0.15842883387280204</v>
      </c>
      <c r="U3587" s="29">
        <v>0.1</v>
      </c>
      <c r="W3587" s="741">
        <f t="shared" si="138"/>
        <v>2736.0659609832915</v>
      </c>
    </row>
    <row r="3588" spans="1:23" ht="15" customHeight="1">
      <c r="A3588" s="3">
        <v>40928</v>
      </c>
      <c r="B3588" s="4">
        <v>43950</v>
      </c>
      <c r="C3588" s="4">
        <v>141225</v>
      </c>
      <c r="D3588" s="5">
        <v>64925</v>
      </c>
      <c r="E3588" s="5">
        <f t="shared" si="136"/>
        <v>97425</v>
      </c>
      <c r="F3588" s="5">
        <v>347525</v>
      </c>
      <c r="G3588" s="5">
        <v>0</v>
      </c>
      <c r="H3588" s="5">
        <v>1200</v>
      </c>
      <c r="I3588" s="5">
        <v>43150</v>
      </c>
      <c r="J3588" s="263">
        <f t="shared" si="137"/>
        <v>0.12416372922811308</v>
      </c>
      <c r="K3588" s="24">
        <v>2130.5</v>
      </c>
      <c r="L3588" s="6">
        <v>2160</v>
      </c>
      <c r="M3588" s="270">
        <f t="shared" si="135"/>
        <v>29.5</v>
      </c>
      <c r="N3588" s="19"/>
      <c r="O3588" s="280"/>
      <c r="P3588" s="345">
        <v>15850</v>
      </c>
      <c r="Q3588" s="28">
        <f>179.9/1136.4</f>
        <v>0.15830693417810629</v>
      </c>
      <c r="U3588" s="29">
        <v>0.1</v>
      </c>
      <c r="W3588" s="741">
        <f t="shared" si="138"/>
        <v>2760.0813973952831</v>
      </c>
    </row>
    <row r="3589" spans="1:23" ht="15" customHeight="1">
      <c r="A3589" s="3">
        <v>40931</v>
      </c>
      <c r="B3589" s="4">
        <v>43950</v>
      </c>
      <c r="C3589" s="4">
        <v>140075</v>
      </c>
      <c r="D3589" s="5">
        <v>64925</v>
      </c>
      <c r="E3589" s="5">
        <f t="shared" si="136"/>
        <v>97075</v>
      </c>
      <c r="F3589" s="5">
        <v>346025</v>
      </c>
      <c r="G3589" s="5">
        <v>0</v>
      </c>
      <c r="H3589" s="5">
        <v>1500</v>
      </c>
      <c r="I3589" s="5">
        <v>46250</v>
      </c>
      <c r="J3589" s="263">
        <f t="shared" si="137"/>
        <v>0.13366086265443247</v>
      </c>
      <c r="K3589" s="24">
        <v>2178</v>
      </c>
      <c r="L3589" s="6">
        <v>2206</v>
      </c>
      <c r="M3589" s="270">
        <f t="shared" si="135"/>
        <v>28</v>
      </c>
      <c r="N3589" s="19"/>
      <c r="O3589" s="280"/>
      <c r="P3589" s="383"/>
      <c r="Q3589" s="996" t="s">
        <v>122</v>
      </c>
      <c r="R3589" s="996"/>
      <c r="S3589" s="996"/>
      <c r="T3589" s="996"/>
      <c r="U3589" s="996"/>
      <c r="W3589" s="744"/>
    </row>
    <row r="3590" spans="1:23" ht="15" customHeight="1">
      <c r="A3590" s="3">
        <v>40932</v>
      </c>
      <c r="B3590" s="4">
        <v>43950</v>
      </c>
      <c r="C3590" s="4">
        <v>138725</v>
      </c>
      <c r="D3590" s="5">
        <v>64875</v>
      </c>
      <c r="E3590" s="5">
        <f t="shared" si="136"/>
        <v>98375</v>
      </c>
      <c r="F3590" s="5">
        <v>345925</v>
      </c>
      <c r="G3590" s="5">
        <v>0</v>
      </c>
      <c r="H3590" s="5">
        <v>100</v>
      </c>
      <c r="I3590" s="5">
        <v>47675</v>
      </c>
      <c r="J3590" s="263">
        <f t="shared" si="137"/>
        <v>0.13781889137818892</v>
      </c>
      <c r="K3590" s="24">
        <v>2216</v>
      </c>
      <c r="L3590" s="6">
        <v>2242</v>
      </c>
      <c r="M3590" s="270">
        <f t="shared" si="135"/>
        <v>26</v>
      </c>
      <c r="N3590" s="19"/>
      <c r="O3590" s="280"/>
      <c r="P3590" s="383"/>
      <c r="Q3590" s="996"/>
      <c r="R3590" s="996"/>
      <c r="S3590" s="996"/>
      <c r="T3590" s="996"/>
      <c r="U3590" s="996"/>
      <c r="W3590" s="744"/>
    </row>
    <row r="3591" spans="1:23" ht="15" customHeight="1">
      <c r="A3591" s="3">
        <v>40933</v>
      </c>
      <c r="B3591" s="4">
        <v>43950</v>
      </c>
      <c r="C3591" s="4">
        <v>138725</v>
      </c>
      <c r="D3591" s="5">
        <v>64875</v>
      </c>
      <c r="E3591" s="5">
        <f t="shared" si="136"/>
        <v>98300</v>
      </c>
      <c r="F3591" s="5">
        <v>345850</v>
      </c>
      <c r="G3591" s="5">
        <v>0</v>
      </c>
      <c r="H3591" s="5">
        <v>75</v>
      </c>
      <c r="I3591" s="5">
        <v>47600</v>
      </c>
      <c r="J3591" s="263">
        <f t="shared" si="137"/>
        <v>0.1376319213531878</v>
      </c>
      <c r="K3591" s="24">
        <v>2196</v>
      </c>
      <c r="L3591" s="6">
        <v>2223</v>
      </c>
      <c r="M3591" s="270">
        <f t="shared" si="135"/>
        <v>27</v>
      </c>
      <c r="N3591" s="19"/>
      <c r="O3591" s="280"/>
      <c r="P3591" s="383"/>
      <c r="Q3591" s="996"/>
      <c r="R3591" s="996"/>
      <c r="S3591" s="996"/>
      <c r="T3591" s="996"/>
      <c r="U3591" s="996"/>
      <c r="W3591" s="744"/>
    </row>
    <row r="3592" spans="1:23" ht="15" customHeight="1">
      <c r="A3592" s="3">
        <v>40934</v>
      </c>
      <c r="B3592" s="4">
        <v>43950</v>
      </c>
      <c r="C3592" s="4">
        <v>138725</v>
      </c>
      <c r="D3592" s="5">
        <v>64875</v>
      </c>
      <c r="E3592" s="5">
        <f t="shared" si="136"/>
        <v>96975</v>
      </c>
      <c r="F3592" s="5">
        <v>344525</v>
      </c>
      <c r="G3592" s="5">
        <v>0</v>
      </c>
      <c r="H3592" s="5">
        <v>1325</v>
      </c>
      <c r="I3592" s="5">
        <v>46775</v>
      </c>
      <c r="J3592" s="263">
        <f t="shared" si="137"/>
        <v>0.13576663522240767</v>
      </c>
      <c r="K3592" s="24">
        <v>2277</v>
      </c>
      <c r="L3592" s="6">
        <v>2300</v>
      </c>
      <c r="M3592" s="270">
        <f t="shared" si="135"/>
        <v>23</v>
      </c>
      <c r="N3592" s="19"/>
      <c r="O3592" s="280"/>
      <c r="P3592" s="383"/>
      <c r="Q3592" s="996"/>
      <c r="R3592" s="996"/>
      <c r="S3592" s="996"/>
      <c r="T3592" s="996"/>
      <c r="U3592" s="996"/>
      <c r="W3592" s="744"/>
    </row>
    <row r="3593" spans="1:23" ht="15" customHeight="1">
      <c r="A3593" s="3">
        <v>40935</v>
      </c>
      <c r="B3593" s="4">
        <v>43950</v>
      </c>
      <c r="C3593" s="4">
        <v>137825</v>
      </c>
      <c r="D3593" s="5">
        <v>65075</v>
      </c>
      <c r="E3593" s="5">
        <f t="shared" si="136"/>
        <v>96200</v>
      </c>
      <c r="F3593" s="5">
        <v>343050</v>
      </c>
      <c r="G3593" s="5">
        <v>200</v>
      </c>
      <c r="H3593" s="5">
        <v>1675</v>
      </c>
      <c r="I3593" s="5">
        <v>47975</v>
      </c>
      <c r="J3593" s="263">
        <f t="shared" si="137"/>
        <v>0.13984841859787203</v>
      </c>
      <c r="K3593" s="24">
        <v>2288</v>
      </c>
      <c r="L3593" s="6">
        <v>2318</v>
      </c>
      <c r="M3593" s="270">
        <f t="shared" si="135"/>
        <v>30</v>
      </c>
      <c r="N3593" s="19"/>
      <c r="O3593" s="280"/>
      <c r="P3593" s="383"/>
      <c r="Q3593" s="996"/>
      <c r="R3593" s="996"/>
      <c r="S3593" s="996"/>
      <c r="T3593" s="996"/>
      <c r="U3593" s="996"/>
      <c r="W3593" s="744"/>
    </row>
    <row r="3594" spans="1:23" ht="15" customHeight="1">
      <c r="A3594" s="3">
        <v>40938</v>
      </c>
      <c r="B3594" s="4">
        <v>43950</v>
      </c>
      <c r="C3594" s="4">
        <v>136425</v>
      </c>
      <c r="D3594" s="5">
        <v>68200</v>
      </c>
      <c r="E3594" s="5">
        <f t="shared" si="136"/>
        <v>96525</v>
      </c>
      <c r="F3594" s="5">
        <v>345100</v>
      </c>
      <c r="G3594" s="5">
        <v>3125</v>
      </c>
      <c r="H3594" s="5">
        <v>1075</v>
      </c>
      <c r="I3594" s="5">
        <v>46925</v>
      </c>
      <c r="J3594" s="263">
        <f t="shared" si="137"/>
        <v>0.13597507968704722</v>
      </c>
      <c r="K3594" s="24">
        <v>2238</v>
      </c>
      <c r="L3594" s="6">
        <v>2267</v>
      </c>
      <c r="M3594" s="270">
        <f t="shared" si="135"/>
        <v>29</v>
      </c>
      <c r="N3594" s="19"/>
      <c r="O3594" s="280"/>
      <c r="P3594" s="345">
        <v>16050</v>
      </c>
      <c r="Q3594" s="28">
        <f>177.42/1123.8</f>
        <v>0.1578750667378537</v>
      </c>
      <c r="U3594" s="29">
        <v>0.1</v>
      </c>
      <c r="W3594" s="741">
        <f>(P3594*Q3594)*(1+U3594)</f>
        <v>2787.2843032568071</v>
      </c>
    </row>
    <row r="3595" spans="1:23" ht="15" customHeight="1">
      <c r="A3595" s="3">
        <v>40939</v>
      </c>
      <c r="B3595" s="4">
        <v>57775</v>
      </c>
      <c r="C3595" s="4">
        <v>135625</v>
      </c>
      <c r="D3595" s="5">
        <v>68200</v>
      </c>
      <c r="E3595" s="5">
        <f t="shared" si="136"/>
        <v>101550</v>
      </c>
      <c r="F3595" s="5">
        <v>363150</v>
      </c>
      <c r="G3595" s="5">
        <v>18550</v>
      </c>
      <c r="H3595" s="5">
        <v>500</v>
      </c>
      <c r="I3595" s="5">
        <v>46425</v>
      </c>
      <c r="J3595" s="263">
        <f t="shared" si="137"/>
        <v>0.12783973564642709</v>
      </c>
      <c r="K3595" s="24">
        <v>2251</v>
      </c>
      <c r="L3595" s="6">
        <v>2282</v>
      </c>
      <c r="M3595" s="270">
        <f t="shared" si="135"/>
        <v>31</v>
      </c>
      <c r="N3595" s="255">
        <f>AVERAGE(K3575:K3595)</f>
        <v>2094.0714285714284</v>
      </c>
      <c r="O3595" s="290">
        <f>AVERAGE(K3575:K3595)</f>
        <v>2094.0714285714284</v>
      </c>
      <c r="P3595" s="345">
        <v>16000</v>
      </c>
      <c r="Q3595" s="28">
        <f>177.62/1125</f>
        <v>0.15788444444444444</v>
      </c>
      <c r="U3595" s="29">
        <v>0.1</v>
      </c>
      <c r="W3595" s="741">
        <f t="shared" ref="W3595:W3617" si="139">(P3595*Q3595)*(1+U3595)</f>
        <v>2778.766222222222</v>
      </c>
    </row>
    <row r="3596" spans="1:23" ht="15" customHeight="1" thickBot="1">
      <c r="A3596" s="390"/>
      <c r="B3596" s="1021" t="s">
        <v>102</v>
      </c>
      <c r="C3596" s="1021"/>
      <c r="D3596" s="1021"/>
      <c r="E3596" s="1021"/>
      <c r="F3596" s="390"/>
      <c r="G3596" s="254">
        <f>SUM(G3575:G3595)</f>
        <v>28750</v>
      </c>
      <c r="H3596" s="254">
        <f>SUM(H3575:H3595)</f>
        <v>24400</v>
      </c>
      <c r="I3596" s="254"/>
      <c r="J3596" s="269"/>
      <c r="K3596" s="251"/>
      <c r="L3596" s="252"/>
      <c r="M3596" s="273"/>
      <c r="N3596" s="253"/>
      <c r="O3596" s="291"/>
      <c r="P3596" s="349"/>
      <c r="Q3596" s="301"/>
      <c r="R3596" s="301"/>
      <c r="S3596" s="301"/>
      <c r="T3596" s="301"/>
      <c r="U3596" s="302"/>
      <c r="V3596" s="298">
        <f>AVERAGE(P3574:P3595)</f>
        <v>15482</v>
      </c>
      <c r="W3596" s="745"/>
    </row>
    <row r="3597" spans="1:23" ht="15" customHeight="1">
      <c r="A3597" s="3">
        <v>40940</v>
      </c>
      <c r="B3597" s="4">
        <v>57775</v>
      </c>
      <c r="C3597" s="4">
        <v>139800</v>
      </c>
      <c r="D3597" s="5">
        <v>68200</v>
      </c>
      <c r="E3597" s="5">
        <f t="shared" si="136"/>
        <v>100450</v>
      </c>
      <c r="F3597" s="5">
        <v>366225</v>
      </c>
      <c r="G3597" s="5">
        <v>3100</v>
      </c>
      <c r="H3597" s="5">
        <v>25</v>
      </c>
      <c r="I3597" s="5">
        <v>46425</v>
      </c>
      <c r="J3597" s="263">
        <f>I3597/F3597</f>
        <v>0.12676633217284455</v>
      </c>
      <c r="K3597" s="24">
        <v>2210</v>
      </c>
      <c r="L3597" s="6">
        <v>2242</v>
      </c>
      <c r="M3597" s="270">
        <f t="shared" si="135"/>
        <v>32</v>
      </c>
      <c r="N3597" s="19"/>
      <c r="O3597"/>
      <c r="P3597" s="345">
        <v>15900</v>
      </c>
      <c r="Q3597" s="28">
        <f>178.44/1125.8</f>
        <v>0.15850062178006752</v>
      </c>
      <c r="U3597" s="29">
        <v>0.1</v>
      </c>
      <c r="W3597" s="741">
        <f t="shared" si="139"/>
        <v>2772.1758749333812</v>
      </c>
    </row>
    <row r="3598" spans="1:23" ht="15" customHeight="1">
      <c r="A3598" s="3">
        <v>40941</v>
      </c>
      <c r="B3598" s="4">
        <v>57775</v>
      </c>
      <c r="C3598" s="4">
        <v>142900</v>
      </c>
      <c r="D3598" s="5">
        <v>71325</v>
      </c>
      <c r="E3598" s="5">
        <f t="shared" si="136"/>
        <v>98000</v>
      </c>
      <c r="F3598" s="5">
        <v>370000</v>
      </c>
      <c r="G3598" s="5">
        <v>3800</v>
      </c>
      <c r="H3598" s="5">
        <v>25</v>
      </c>
      <c r="I3598" s="5">
        <v>46400</v>
      </c>
      <c r="J3598" s="263">
        <f t="shared" ref="J3598:J3617" si="140">I3598/F3598</f>
        <v>0.1254054054054054</v>
      </c>
      <c r="K3598" s="24">
        <v>2184</v>
      </c>
      <c r="L3598" s="6">
        <v>2215</v>
      </c>
      <c r="M3598" s="270">
        <f>L3598-K3598</f>
        <v>31</v>
      </c>
      <c r="N3598" s="19"/>
      <c r="O3598" s="280"/>
      <c r="P3598" s="345">
        <v>15850</v>
      </c>
      <c r="Q3598" s="28">
        <f>178.58/1126.4</f>
        <v>0.15854048295454545</v>
      </c>
      <c r="U3598" s="29">
        <v>0.1</v>
      </c>
      <c r="W3598" s="741">
        <f t="shared" si="139"/>
        <v>2764.1533203125005</v>
      </c>
    </row>
    <row r="3599" spans="1:23" ht="15" customHeight="1">
      <c r="A3599" s="3">
        <v>40942</v>
      </c>
      <c r="B3599" s="4">
        <v>57775</v>
      </c>
      <c r="C3599" s="4">
        <v>143300</v>
      </c>
      <c r="D3599" s="5">
        <v>71425</v>
      </c>
      <c r="E3599" s="5">
        <f t="shared" si="136"/>
        <v>102800</v>
      </c>
      <c r="F3599" s="5">
        <v>375300</v>
      </c>
      <c r="G3599" s="5">
        <v>6475</v>
      </c>
      <c r="H3599" s="5">
        <v>1175</v>
      </c>
      <c r="I3599" s="5">
        <v>43025</v>
      </c>
      <c r="J3599" s="263">
        <f t="shared" si="140"/>
        <v>0.11464162003730349</v>
      </c>
      <c r="K3599" s="24">
        <v>2147</v>
      </c>
      <c r="L3599" s="6">
        <v>2177.5</v>
      </c>
      <c r="M3599" s="270">
        <f t="shared" ref="M3599:M3645" si="141">L3599-K3599</f>
        <v>30.5</v>
      </c>
      <c r="N3599" s="19"/>
      <c r="O3599" s="280"/>
      <c r="P3599" s="345">
        <v>15900</v>
      </c>
      <c r="Q3599" s="28">
        <f>177.48/1118.5</f>
        <v>0.15867679928475636</v>
      </c>
      <c r="U3599" s="29">
        <v>0.1</v>
      </c>
      <c r="W3599" s="741">
        <f t="shared" si="139"/>
        <v>2775.2572194903892</v>
      </c>
    </row>
    <row r="3600" spans="1:23" ht="15" customHeight="1">
      <c r="A3600" s="3">
        <v>40945</v>
      </c>
      <c r="B3600" s="4">
        <v>57775</v>
      </c>
      <c r="C3600" s="4">
        <v>148275</v>
      </c>
      <c r="D3600" s="5">
        <v>71525</v>
      </c>
      <c r="E3600" s="5">
        <f t="shared" si="136"/>
        <v>97225</v>
      </c>
      <c r="F3600" s="5">
        <v>374800</v>
      </c>
      <c r="G3600" s="5">
        <v>100</v>
      </c>
      <c r="H3600" s="5">
        <v>600</v>
      </c>
      <c r="I3600" s="5">
        <v>42525</v>
      </c>
      <c r="J3600" s="263">
        <f t="shared" si="140"/>
        <v>0.11346051227321238</v>
      </c>
      <c r="K3600" s="24">
        <v>2165.5</v>
      </c>
      <c r="L3600" s="6">
        <v>2202</v>
      </c>
      <c r="M3600" s="270">
        <f t="shared" si="141"/>
        <v>36.5</v>
      </c>
      <c r="N3600" s="19"/>
      <c r="O3600" s="280"/>
      <c r="P3600" s="345">
        <v>16000</v>
      </c>
      <c r="Q3600" s="28">
        <f>177.52/1118.9</f>
        <v>0.15865582268299222</v>
      </c>
      <c r="U3600" s="29">
        <v>0.1</v>
      </c>
      <c r="W3600" s="741">
        <f t="shared" si="139"/>
        <v>2792.3424792206629</v>
      </c>
    </row>
    <row r="3601" spans="1:23" ht="15" customHeight="1">
      <c r="A3601" s="3">
        <v>40946</v>
      </c>
      <c r="B3601" s="4">
        <v>57775</v>
      </c>
      <c r="C3601" s="4">
        <v>147775</v>
      </c>
      <c r="D3601" s="5">
        <v>71525</v>
      </c>
      <c r="E3601" s="5">
        <f t="shared" si="136"/>
        <v>98975</v>
      </c>
      <c r="F3601" s="5">
        <v>376050</v>
      </c>
      <c r="G3601" s="5">
        <v>1250</v>
      </c>
      <c r="H3601" s="5">
        <v>0</v>
      </c>
      <c r="I3601" s="5">
        <v>42525</v>
      </c>
      <c r="J3601" s="263">
        <f t="shared" si="140"/>
        <v>0.11308336657359394</v>
      </c>
      <c r="K3601" s="24">
        <v>2126</v>
      </c>
      <c r="L3601" s="6">
        <v>2160</v>
      </c>
      <c r="M3601" s="270">
        <f t="shared" si="141"/>
        <v>34</v>
      </c>
      <c r="N3601" s="19"/>
      <c r="O3601" s="280"/>
      <c r="P3601" s="345">
        <v>15900</v>
      </c>
      <c r="Q3601" s="28">
        <f>177.42/1119.9</f>
        <v>0.15842485936244305</v>
      </c>
      <c r="U3601" s="29">
        <v>0.1</v>
      </c>
      <c r="W3601" s="741">
        <f t="shared" si="139"/>
        <v>2770.8507902491287</v>
      </c>
    </row>
    <row r="3602" spans="1:23" ht="15" customHeight="1">
      <c r="A3602" s="3">
        <v>40947</v>
      </c>
      <c r="B3602" s="4">
        <v>57775</v>
      </c>
      <c r="C3602" s="4">
        <v>149025</v>
      </c>
      <c r="D3602" s="5">
        <v>71525</v>
      </c>
      <c r="E3602" s="5">
        <f t="shared" si="136"/>
        <v>97700</v>
      </c>
      <c r="F3602" s="5">
        <v>376025</v>
      </c>
      <c r="G3602" s="5">
        <v>0</v>
      </c>
      <c r="H3602" s="5">
        <v>25</v>
      </c>
      <c r="I3602" s="5">
        <v>42500</v>
      </c>
      <c r="J3602" s="263">
        <f t="shared" si="140"/>
        <v>0.11302439997340602</v>
      </c>
      <c r="K3602" s="24">
        <v>2190.5</v>
      </c>
      <c r="L3602" s="6">
        <v>2223</v>
      </c>
      <c r="M3602" s="270">
        <f t="shared" si="141"/>
        <v>32.5</v>
      </c>
      <c r="N3602" s="19"/>
      <c r="O3602" s="280"/>
      <c r="P3602" s="345">
        <v>15950</v>
      </c>
      <c r="Q3602" s="28">
        <f>177.88/1121.5</f>
        <v>0.15860900579580919</v>
      </c>
      <c r="U3602" s="29">
        <v>0.1</v>
      </c>
      <c r="W3602" s="741">
        <f t="shared" si="139"/>
        <v>2782.7950066874728</v>
      </c>
    </row>
    <row r="3603" spans="1:23" ht="15" customHeight="1">
      <c r="A3603" s="3">
        <v>40948</v>
      </c>
      <c r="B3603" s="4">
        <v>57775</v>
      </c>
      <c r="C3603" s="4">
        <v>149025</v>
      </c>
      <c r="D3603" s="5">
        <v>71525</v>
      </c>
      <c r="E3603" s="5">
        <f t="shared" si="136"/>
        <v>104150</v>
      </c>
      <c r="F3603" s="5">
        <v>382475</v>
      </c>
      <c r="G3603" s="5">
        <v>6775</v>
      </c>
      <c r="H3603" s="5">
        <v>325</v>
      </c>
      <c r="I3603" s="5">
        <v>42175</v>
      </c>
      <c r="J3603" s="263">
        <f t="shared" si="140"/>
        <v>0.11026864500947775</v>
      </c>
      <c r="K3603" s="24">
        <v>2141.5</v>
      </c>
      <c r="L3603" s="6">
        <v>2175.5</v>
      </c>
      <c r="M3603" s="270">
        <f t="shared" si="141"/>
        <v>34</v>
      </c>
      <c r="N3603" s="19"/>
      <c r="O3603" s="280"/>
      <c r="P3603" s="345">
        <v>15950</v>
      </c>
      <c r="Q3603" s="28">
        <f>177.4/1116.7</f>
        <v>0.1588609295244918</v>
      </c>
      <c r="U3603" s="29">
        <v>0.1</v>
      </c>
      <c r="W3603" s="741">
        <f t="shared" si="139"/>
        <v>2787.2150085072085</v>
      </c>
    </row>
    <row r="3604" spans="1:23" ht="15" customHeight="1">
      <c r="A3604" s="3">
        <v>40949</v>
      </c>
      <c r="B3604" s="4">
        <v>57775</v>
      </c>
      <c r="C3604" s="4">
        <v>155675</v>
      </c>
      <c r="D3604" s="5">
        <v>71525</v>
      </c>
      <c r="E3604" s="5">
        <f t="shared" si="136"/>
        <v>97625</v>
      </c>
      <c r="F3604" s="5">
        <v>382600</v>
      </c>
      <c r="G3604" s="5">
        <v>225</v>
      </c>
      <c r="H3604" s="5">
        <v>100</v>
      </c>
      <c r="I3604" s="5">
        <v>42625</v>
      </c>
      <c r="J3604" s="263">
        <f t="shared" si="140"/>
        <v>0.11140878201777313</v>
      </c>
      <c r="K3604" s="24">
        <v>2169</v>
      </c>
      <c r="L3604" s="6">
        <v>2195</v>
      </c>
      <c r="M3604" s="270">
        <f t="shared" si="141"/>
        <v>26</v>
      </c>
      <c r="N3604" s="19"/>
      <c r="O3604" s="280"/>
      <c r="P3604" s="345">
        <v>15950</v>
      </c>
      <c r="Q3604" s="28">
        <f>177.62/1118.1</f>
        <v>0.15885877828458994</v>
      </c>
      <c r="U3604" s="29">
        <v>0.1</v>
      </c>
      <c r="W3604" s="741">
        <f t="shared" si="139"/>
        <v>2787.1772650031307</v>
      </c>
    </row>
    <row r="3605" spans="1:23" ht="15" customHeight="1">
      <c r="A3605" s="3">
        <v>40952</v>
      </c>
      <c r="B3605" s="4">
        <v>57775</v>
      </c>
      <c r="C3605" s="4">
        <v>155900</v>
      </c>
      <c r="D3605" s="5">
        <v>71525</v>
      </c>
      <c r="E3605" s="5">
        <f t="shared" si="136"/>
        <v>96550</v>
      </c>
      <c r="F3605" s="5">
        <v>381750</v>
      </c>
      <c r="G3605" s="5">
        <v>250</v>
      </c>
      <c r="H3605" s="5">
        <v>1100</v>
      </c>
      <c r="I3605" s="5">
        <v>43525</v>
      </c>
      <c r="J3605" s="263">
        <f t="shared" si="140"/>
        <v>0.11401440733464309</v>
      </c>
      <c r="K3605" s="24">
        <v>2127.5</v>
      </c>
      <c r="L3605" s="6">
        <v>2165</v>
      </c>
      <c r="M3605" s="270">
        <f t="shared" si="141"/>
        <v>37.5</v>
      </c>
      <c r="N3605" s="19"/>
      <c r="O3605" s="280"/>
      <c r="P3605" s="345">
        <v>15800</v>
      </c>
      <c r="Q3605" s="28">
        <f>177.98/1121.2</f>
        <v>0.15874063503389224</v>
      </c>
      <c r="U3605" s="29">
        <v>0.1</v>
      </c>
      <c r="W3605" s="741">
        <f t="shared" si="139"/>
        <v>2758.9122368890476</v>
      </c>
    </row>
    <row r="3606" spans="1:23" ht="15" customHeight="1">
      <c r="A3606" s="3">
        <v>40953</v>
      </c>
      <c r="B3606" s="4">
        <v>57775</v>
      </c>
      <c r="C3606" s="4">
        <v>155150</v>
      </c>
      <c r="D3606" s="5">
        <v>71525</v>
      </c>
      <c r="E3606" s="5">
        <f t="shared" si="136"/>
        <v>99250</v>
      </c>
      <c r="F3606" s="5">
        <v>383700</v>
      </c>
      <c r="G3606" s="5">
        <v>2025</v>
      </c>
      <c r="H3606" s="5">
        <v>75</v>
      </c>
      <c r="I3606" s="5">
        <v>45200</v>
      </c>
      <c r="J3606" s="263">
        <f t="shared" si="140"/>
        <v>0.11780036486838676</v>
      </c>
      <c r="K3606" s="24">
        <v>2076</v>
      </c>
      <c r="L3606" s="6">
        <v>2108</v>
      </c>
      <c r="M3606" s="270">
        <f t="shared" si="141"/>
        <v>32</v>
      </c>
      <c r="N3606" s="19"/>
      <c r="O3606" s="280"/>
      <c r="P3606" s="345">
        <v>15800</v>
      </c>
      <c r="Q3606" s="28">
        <f>178.35/1123.2</f>
        <v>0.15878739316239315</v>
      </c>
      <c r="U3606" s="29">
        <v>0.1</v>
      </c>
      <c r="W3606" s="741">
        <f t="shared" si="139"/>
        <v>2759.7248931623935</v>
      </c>
    </row>
    <row r="3607" spans="1:23" ht="15" customHeight="1">
      <c r="A3607" s="3">
        <v>40954</v>
      </c>
      <c r="B3607" s="4">
        <v>57775</v>
      </c>
      <c r="C3607" s="4">
        <v>157175</v>
      </c>
      <c r="D3607" s="5">
        <v>71525</v>
      </c>
      <c r="E3607" s="5">
        <f t="shared" si="136"/>
        <v>96825</v>
      </c>
      <c r="F3607" s="5">
        <v>383300</v>
      </c>
      <c r="G3607" s="5">
        <v>0</v>
      </c>
      <c r="H3607" s="5">
        <v>400</v>
      </c>
      <c r="I3607" s="5">
        <v>44850</v>
      </c>
      <c r="J3607" s="263">
        <f t="shared" si="140"/>
        <v>0.11701017479780851</v>
      </c>
      <c r="K3607" s="24">
        <v>2048.5</v>
      </c>
      <c r="L3607" s="6">
        <v>2088</v>
      </c>
      <c r="M3607" s="270">
        <f t="shared" si="141"/>
        <v>39.5</v>
      </c>
      <c r="N3607" s="19"/>
      <c r="O3607" s="280"/>
      <c r="P3607" s="345">
        <v>15750</v>
      </c>
      <c r="Q3607" s="28">
        <f>178.36/1123.6</f>
        <v>0.15873976504093987</v>
      </c>
      <c r="U3607" s="29">
        <v>0.1</v>
      </c>
      <c r="W3607" s="741">
        <f t="shared" si="139"/>
        <v>2750.1664293342837</v>
      </c>
    </row>
    <row r="3608" spans="1:23" ht="15" customHeight="1">
      <c r="A3608" s="3">
        <v>40955</v>
      </c>
      <c r="B3608" s="4">
        <v>57775</v>
      </c>
      <c r="C3608" s="4">
        <v>156825</v>
      </c>
      <c r="D3608" s="5">
        <v>71525</v>
      </c>
      <c r="E3608" s="5">
        <f t="shared" si="136"/>
        <v>95900</v>
      </c>
      <c r="F3608" s="5">
        <v>382025</v>
      </c>
      <c r="G3608" s="5">
        <v>1325</v>
      </c>
      <c r="H3608" s="5">
        <v>2600</v>
      </c>
      <c r="I3608" s="5">
        <v>42275</v>
      </c>
      <c r="J3608" s="263">
        <f t="shared" si="140"/>
        <v>0.11066029710097507</v>
      </c>
      <c r="K3608" s="24">
        <v>1985</v>
      </c>
      <c r="L3608" s="6">
        <v>2008</v>
      </c>
      <c r="M3608" s="270">
        <f t="shared" si="141"/>
        <v>23</v>
      </c>
      <c r="N3608" s="19"/>
      <c r="O3608" s="280"/>
      <c r="P3608" s="345">
        <v>15500</v>
      </c>
      <c r="Q3608" s="28">
        <f>178.26/1123.1</f>
        <v>0.15872139613569586</v>
      </c>
      <c r="U3608" s="29">
        <v>0.1</v>
      </c>
      <c r="W3608" s="741">
        <f t="shared" si="139"/>
        <v>2706.1998041136144</v>
      </c>
    </row>
    <row r="3609" spans="1:23" ht="15" customHeight="1">
      <c r="A3609" s="3">
        <v>40956</v>
      </c>
      <c r="B3609" s="4">
        <v>57775</v>
      </c>
      <c r="C3609" s="4">
        <v>154425</v>
      </c>
      <c r="D3609" s="5">
        <v>71525</v>
      </c>
      <c r="E3609" s="5">
        <f t="shared" si="136"/>
        <v>96075</v>
      </c>
      <c r="F3609" s="5">
        <v>379800</v>
      </c>
      <c r="G3609" s="5">
        <v>150</v>
      </c>
      <c r="H3609" s="5">
        <v>2375</v>
      </c>
      <c r="I3609" s="5">
        <v>44325</v>
      </c>
      <c r="J3609" s="263">
        <f t="shared" si="140"/>
        <v>0.11670616113744076</v>
      </c>
      <c r="K3609" s="24">
        <v>2029</v>
      </c>
      <c r="L3609" s="6">
        <v>2055</v>
      </c>
      <c r="M3609" s="270">
        <f t="shared" si="141"/>
        <v>26</v>
      </c>
      <c r="N3609" s="19"/>
      <c r="P3609" s="345">
        <v>15600</v>
      </c>
      <c r="Q3609" s="28">
        <f>178.97/1127.8</f>
        <v>0.15868948395105514</v>
      </c>
      <c r="U3609" s="29">
        <v>0.1</v>
      </c>
      <c r="W3609" s="741">
        <f t="shared" si="139"/>
        <v>2723.1115446001068</v>
      </c>
    </row>
    <row r="3610" spans="1:23" ht="15" customHeight="1">
      <c r="A3610" s="3">
        <v>40959</v>
      </c>
      <c r="B3610" s="4">
        <v>57775</v>
      </c>
      <c r="C3610" s="4">
        <v>152250</v>
      </c>
      <c r="D3610" s="5">
        <v>71525</v>
      </c>
      <c r="E3610" s="5">
        <f t="shared" si="136"/>
        <v>96275</v>
      </c>
      <c r="F3610" s="5">
        <v>377825</v>
      </c>
      <c r="G3610" s="5">
        <v>0</v>
      </c>
      <c r="H3610" s="5">
        <v>1975</v>
      </c>
      <c r="I3610" s="5">
        <v>42350</v>
      </c>
      <c r="J3610" s="263">
        <f t="shared" si="140"/>
        <v>0.11208893006021306</v>
      </c>
      <c r="K3610" s="24">
        <v>2028</v>
      </c>
      <c r="L3610" s="6">
        <v>2060</v>
      </c>
      <c r="M3610" s="270">
        <f t="shared" si="141"/>
        <v>32</v>
      </c>
      <c r="N3610" s="19"/>
      <c r="O3610" s="280"/>
      <c r="P3610" s="345">
        <v>15650</v>
      </c>
      <c r="Q3610" s="28">
        <f>178.51/1124.4</f>
        <v>0.15876022767698325</v>
      </c>
      <c r="U3610" s="29">
        <v>0.1</v>
      </c>
      <c r="W3610" s="741">
        <f t="shared" si="139"/>
        <v>2733.0573194592666</v>
      </c>
    </row>
    <row r="3611" spans="1:23" ht="15" customHeight="1">
      <c r="A3611" s="3">
        <v>40960</v>
      </c>
      <c r="B3611" s="4">
        <v>57775</v>
      </c>
      <c r="C3611" s="4">
        <v>150275</v>
      </c>
      <c r="D3611" s="5">
        <v>71525</v>
      </c>
      <c r="E3611" s="5">
        <f t="shared" si="136"/>
        <v>96400</v>
      </c>
      <c r="F3611" s="5">
        <v>375975</v>
      </c>
      <c r="G3611" s="5">
        <v>200</v>
      </c>
      <c r="H3611" s="5">
        <v>2050</v>
      </c>
      <c r="I3611" s="5">
        <v>40300</v>
      </c>
      <c r="J3611" s="263">
        <f t="shared" si="140"/>
        <v>0.10718797792406411</v>
      </c>
      <c r="K3611" s="24">
        <v>2057</v>
      </c>
      <c r="L3611" s="6">
        <v>2087</v>
      </c>
      <c r="M3611" s="270">
        <f t="shared" si="141"/>
        <v>30</v>
      </c>
      <c r="N3611" s="19"/>
      <c r="O3611" s="280"/>
      <c r="P3611" s="345">
        <v>15675</v>
      </c>
      <c r="Q3611" s="28">
        <f>178.16/1122.7</f>
        <v>0.15868887503340162</v>
      </c>
      <c r="U3611" s="29">
        <v>0.1</v>
      </c>
      <c r="W3611" s="741">
        <f t="shared" si="139"/>
        <v>2736.1929277634276</v>
      </c>
    </row>
    <row r="3612" spans="1:23" ht="15" customHeight="1">
      <c r="A3612" s="3">
        <v>40961</v>
      </c>
      <c r="B3612" s="4">
        <v>57775</v>
      </c>
      <c r="C3612" s="4">
        <v>148850</v>
      </c>
      <c r="D3612" s="5">
        <v>71525</v>
      </c>
      <c r="E3612" s="5">
        <f t="shared" si="136"/>
        <v>96075</v>
      </c>
      <c r="F3612" s="5">
        <v>374225</v>
      </c>
      <c r="G3612" s="5">
        <v>200</v>
      </c>
      <c r="H3612" s="5">
        <v>1950</v>
      </c>
      <c r="I3612" s="5">
        <v>39400</v>
      </c>
      <c r="J3612" s="263">
        <f t="shared" si="140"/>
        <v>0.10528425412519206</v>
      </c>
      <c r="K3612" s="24">
        <v>2070</v>
      </c>
      <c r="L3612" s="6">
        <v>2102</v>
      </c>
      <c r="M3612" s="270">
        <f t="shared" si="141"/>
        <v>32</v>
      </c>
      <c r="N3612" s="19"/>
      <c r="O3612" s="280"/>
      <c r="P3612" s="345">
        <v>15750</v>
      </c>
      <c r="Q3612" s="28">
        <f>178.56/1124.3</f>
        <v>0.15881882059948413</v>
      </c>
      <c r="U3612" s="29">
        <v>0.1</v>
      </c>
      <c r="W3612" s="741">
        <f t="shared" si="139"/>
        <v>2751.5360668860626</v>
      </c>
    </row>
    <row r="3613" spans="1:23" ht="15" customHeight="1">
      <c r="A3613" s="3">
        <v>40962</v>
      </c>
      <c r="B3613" s="4">
        <v>57775</v>
      </c>
      <c r="C3613" s="4">
        <v>147425</v>
      </c>
      <c r="D3613" s="5">
        <v>71525</v>
      </c>
      <c r="E3613" s="5">
        <f t="shared" si="136"/>
        <v>95225</v>
      </c>
      <c r="F3613" s="5">
        <v>371950</v>
      </c>
      <c r="G3613" s="5">
        <v>0</v>
      </c>
      <c r="H3613" s="5">
        <v>2275</v>
      </c>
      <c r="I3613" s="5">
        <v>38200</v>
      </c>
      <c r="J3613" s="263">
        <f t="shared" si="140"/>
        <v>0.1027019760720527</v>
      </c>
      <c r="K3613" s="24">
        <v>2114</v>
      </c>
      <c r="L3613" s="6">
        <v>2145</v>
      </c>
      <c r="M3613" s="270">
        <f t="shared" si="141"/>
        <v>31</v>
      </c>
      <c r="N3613" s="19"/>
      <c r="O3613" s="280"/>
      <c r="P3613" s="345">
        <v>15800</v>
      </c>
      <c r="Q3613" s="28">
        <f>178.91/1126.3</f>
        <v>0.15884755393767203</v>
      </c>
      <c r="U3613" s="29">
        <v>0.1</v>
      </c>
      <c r="W3613" s="741">
        <f t="shared" si="139"/>
        <v>2760.77048743674</v>
      </c>
    </row>
    <row r="3614" spans="1:23" ht="15" customHeight="1">
      <c r="A3614" s="3">
        <v>40963</v>
      </c>
      <c r="B3614" s="4">
        <v>57775</v>
      </c>
      <c r="C3614" s="4">
        <v>145825</v>
      </c>
      <c r="D3614" s="5">
        <v>71875</v>
      </c>
      <c r="E3614" s="5">
        <f t="shared" si="136"/>
        <v>95025</v>
      </c>
      <c r="F3614" s="5">
        <v>370500</v>
      </c>
      <c r="G3614" s="5">
        <v>775</v>
      </c>
      <c r="H3614" s="5">
        <v>2225</v>
      </c>
      <c r="I3614" s="5">
        <v>36375</v>
      </c>
      <c r="J3614" s="263">
        <f t="shared" si="140"/>
        <v>9.8178137651821859E-2</v>
      </c>
      <c r="K3614" s="24">
        <v>2153.5</v>
      </c>
      <c r="L3614" s="6">
        <v>2183</v>
      </c>
      <c r="M3614" s="270">
        <f t="shared" si="141"/>
        <v>29.5</v>
      </c>
      <c r="N3614" s="19"/>
      <c r="O3614" s="280"/>
      <c r="P3614" s="345">
        <v>15850</v>
      </c>
      <c r="Q3614" s="28">
        <f>179.12/1128.3</f>
        <v>0.15875210493663033</v>
      </c>
      <c r="U3614" s="29">
        <v>0.1</v>
      </c>
      <c r="W3614" s="741">
        <f t="shared" si="139"/>
        <v>2767.8429495701503</v>
      </c>
    </row>
    <row r="3615" spans="1:23" ht="15" customHeight="1">
      <c r="A3615" s="3">
        <v>40966</v>
      </c>
      <c r="B3615" s="4">
        <v>57775</v>
      </c>
      <c r="C3615" s="4">
        <v>144275</v>
      </c>
      <c r="D3615" s="5">
        <v>71875</v>
      </c>
      <c r="E3615" s="5">
        <f t="shared" si="136"/>
        <v>94250</v>
      </c>
      <c r="F3615" s="5">
        <v>368175</v>
      </c>
      <c r="G3615" s="5">
        <v>0</v>
      </c>
      <c r="H3615" s="5">
        <v>2325</v>
      </c>
      <c r="I3615" s="5">
        <v>35050</v>
      </c>
      <c r="J3615" s="263">
        <f t="shared" si="140"/>
        <v>9.5199293814082972E-2</v>
      </c>
      <c r="K3615" s="24">
        <v>2156</v>
      </c>
      <c r="L3615" s="6">
        <v>2187</v>
      </c>
      <c r="M3615" s="270">
        <f t="shared" si="141"/>
        <v>31</v>
      </c>
      <c r="N3615" s="19"/>
      <c r="O3615" s="280"/>
      <c r="P3615" s="345">
        <v>15950</v>
      </c>
      <c r="Q3615" s="28">
        <f>178.59/1124.7</f>
        <v>0.15878901040277407</v>
      </c>
      <c r="U3615" s="29">
        <v>0.1</v>
      </c>
      <c r="W3615" s="741">
        <f t="shared" si="139"/>
        <v>2785.9531875166713</v>
      </c>
    </row>
    <row r="3616" spans="1:23" ht="15" customHeight="1">
      <c r="A3616" s="3">
        <v>40967</v>
      </c>
      <c r="B3616" s="4">
        <v>57350</v>
      </c>
      <c r="C3616" s="4">
        <v>142150</v>
      </c>
      <c r="D3616" s="5">
        <v>71875</v>
      </c>
      <c r="E3616" s="5">
        <f t="shared" si="136"/>
        <v>93975</v>
      </c>
      <c r="F3616" s="5">
        <v>365350</v>
      </c>
      <c r="G3616" s="5">
        <v>0</v>
      </c>
      <c r="H3616" s="5">
        <v>2825</v>
      </c>
      <c r="I3616" s="5">
        <v>32225</v>
      </c>
      <c r="J3616" s="263">
        <f t="shared" si="140"/>
        <v>8.8203092924592857E-2</v>
      </c>
      <c r="K3616" s="24">
        <v>2238</v>
      </c>
      <c r="L3616" s="6">
        <v>2268</v>
      </c>
      <c r="M3616" s="270">
        <f t="shared" si="141"/>
        <v>30</v>
      </c>
      <c r="N3616" s="19"/>
      <c r="O3616" s="280"/>
      <c r="P3616" s="345">
        <v>16000</v>
      </c>
      <c r="Q3616" s="28">
        <f>179.05/1128.4</f>
        <v>0.15867600141793689</v>
      </c>
      <c r="U3616" s="29">
        <v>0.1</v>
      </c>
      <c r="W3616" s="741">
        <f t="shared" si="139"/>
        <v>2792.6976249556897</v>
      </c>
    </row>
    <row r="3617" spans="1:23" ht="15" customHeight="1">
      <c r="A3617" s="3">
        <v>40968</v>
      </c>
      <c r="B3617" s="4">
        <v>57275</v>
      </c>
      <c r="C3617" s="4">
        <v>139800</v>
      </c>
      <c r="D3617" s="5">
        <v>71875</v>
      </c>
      <c r="E3617" s="5">
        <f t="shared" si="136"/>
        <v>101500</v>
      </c>
      <c r="F3617" s="5">
        <v>370450</v>
      </c>
      <c r="G3617" s="5">
        <v>6850</v>
      </c>
      <c r="H3617" s="5">
        <v>1750</v>
      </c>
      <c r="I3617" s="5">
        <v>30475</v>
      </c>
      <c r="J3617" s="263">
        <f t="shared" si="140"/>
        <v>8.2264813065190984E-2</v>
      </c>
      <c r="K3617" s="24">
        <v>2232.5</v>
      </c>
      <c r="L3617" s="6">
        <v>2261</v>
      </c>
      <c r="M3617" s="270">
        <f t="shared" si="141"/>
        <v>28.5</v>
      </c>
      <c r="N3617" s="255">
        <f>AVERAGE(K3597:K3617)</f>
        <v>2126.1190476190477</v>
      </c>
      <c r="O3617" s="290">
        <f>AVERAGE(K3575:K3617)</f>
        <v>2110.0952380952381</v>
      </c>
      <c r="P3617" s="345">
        <v>16170</v>
      </c>
      <c r="Q3617" s="28">
        <f>179.05/1128.4</f>
        <v>0.15867600141793689</v>
      </c>
      <c r="U3617" s="29">
        <v>0.1</v>
      </c>
      <c r="W3617" s="741">
        <f t="shared" si="139"/>
        <v>2822.3700372208436</v>
      </c>
    </row>
    <row r="3618" spans="1:23" s="258" customFormat="1" ht="15" customHeight="1" thickBot="1">
      <c r="A3618" s="391"/>
      <c r="B3618" s="1002" t="s">
        <v>102</v>
      </c>
      <c r="C3618" s="1002"/>
      <c r="D3618" s="1002"/>
      <c r="E3618" s="1002"/>
      <c r="F3618" s="391"/>
      <c r="G3618" s="254">
        <f>SUM(G3597:G3617)</f>
        <v>33500</v>
      </c>
      <c r="H3618" s="254">
        <f>SUM(H3597:H3617)</f>
        <v>26200</v>
      </c>
      <c r="I3618" s="254"/>
      <c r="J3618" s="269"/>
      <c r="K3618" s="251"/>
      <c r="L3618" s="256"/>
      <c r="M3618" s="274"/>
      <c r="N3618" s="257"/>
      <c r="O3618" s="292"/>
      <c r="P3618" s="350"/>
      <c r="Q3618" s="299"/>
      <c r="R3618" s="299"/>
      <c r="S3618" s="299"/>
      <c r="T3618" s="299"/>
      <c r="U3618" s="300"/>
      <c r="V3618" s="298">
        <f>AVERAGE(P3597:P3617)</f>
        <v>15842.619047619048</v>
      </c>
      <c r="W3618" s="746"/>
    </row>
    <row r="3619" spans="1:23" ht="15" customHeight="1">
      <c r="A3619" s="36">
        <v>40969</v>
      </c>
      <c r="B3619" s="37">
        <v>57275</v>
      </c>
      <c r="C3619" s="37">
        <v>145075</v>
      </c>
      <c r="D3619" s="38">
        <v>71875</v>
      </c>
      <c r="E3619" s="38">
        <f t="shared" si="136"/>
        <v>95725</v>
      </c>
      <c r="F3619" s="38">
        <v>369950</v>
      </c>
      <c r="G3619" s="38">
        <v>2025</v>
      </c>
      <c r="H3619" s="38">
        <v>2525</v>
      </c>
      <c r="I3619" s="38">
        <v>27950</v>
      </c>
      <c r="J3619" s="263">
        <f>I3619/F3619</f>
        <v>7.5550750101365055E-2</v>
      </c>
      <c r="K3619" s="39">
        <v>2155.5</v>
      </c>
      <c r="L3619" s="40">
        <v>2190</v>
      </c>
      <c r="M3619" s="272">
        <f t="shared" si="141"/>
        <v>34.5</v>
      </c>
      <c r="N3619" s="21"/>
      <c r="O3619" s="283"/>
      <c r="P3619" s="348">
        <v>15900</v>
      </c>
      <c r="Q3619" s="41">
        <f>177.78/1120.1</f>
        <v>0.15871797160967771</v>
      </c>
      <c r="R3619" s="41"/>
      <c r="S3619" s="41"/>
      <c r="T3619" s="41"/>
      <c r="U3619" s="42">
        <v>0.1</v>
      </c>
      <c r="V3619" s="45"/>
      <c r="W3619" s="741">
        <f t="shared" ref="W3619:W3640" si="142">(P3619*Q3619)*(1+U3619)</f>
        <v>2775.9773234532636</v>
      </c>
    </row>
    <row r="3620" spans="1:23" ht="15" customHeight="1">
      <c r="A3620" s="3">
        <v>40970</v>
      </c>
      <c r="B3620" s="4">
        <v>57275</v>
      </c>
      <c r="C3620" s="4">
        <v>144750</v>
      </c>
      <c r="D3620" s="5">
        <v>72050</v>
      </c>
      <c r="E3620" s="5">
        <f t="shared" si="136"/>
        <v>92600</v>
      </c>
      <c r="F3620" s="5">
        <v>366675</v>
      </c>
      <c r="G3620" s="5">
        <v>175</v>
      </c>
      <c r="H3620" s="5">
        <v>3450</v>
      </c>
      <c r="I3620" s="5">
        <v>24875</v>
      </c>
      <c r="J3620" s="263">
        <f t="shared" ref="J3620:J3645" si="143">I3620/F3620</f>
        <v>6.7839367287107114E-2</v>
      </c>
      <c r="K3620" s="24">
        <v>2135</v>
      </c>
      <c r="L3620" s="6">
        <v>2164</v>
      </c>
      <c r="M3620" s="270">
        <f t="shared" si="141"/>
        <v>29</v>
      </c>
      <c r="N3620" s="19"/>
      <c r="O3620" s="280"/>
      <c r="P3620" s="345">
        <v>15900</v>
      </c>
      <c r="Q3620" s="28">
        <f>177.78/1120.1</f>
        <v>0.15871797160967771</v>
      </c>
      <c r="U3620" s="29">
        <v>0.1</v>
      </c>
      <c r="W3620" s="741">
        <f t="shared" si="142"/>
        <v>2775.9773234532636</v>
      </c>
    </row>
    <row r="3621" spans="1:23" ht="15" customHeight="1">
      <c r="A3621" s="3">
        <v>40973</v>
      </c>
      <c r="B3621" s="4">
        <v>57275</v>
      </c>
      <c r="C3621" s="4">
        <v>141400</v>
      </c>
      <c r="D3621" s="5">
        <v>72050</v>
      </c>
      <c r="E3621" s="5">
        <f t="shared" si="136"/>
        <v>94075</v>
      </c>
      <c r="F3621" s="5">
        <v>364800</v>
      </c>
      <c r="G3621" s="5">
        <v>300</v>
      </c>
      <c r="H3621" s="5">
        <v>2175</v>
      </c>
      <c r="I3621" s="5">
        <v>23325</v>
      </c>
      <c r="J3621" s="263">
        <f t="shared" si="143"/>
        <v>6.3939144736842105E-2</v>
      </c>
      <c r="K3621" s="24">
        <v>2122.5</v>
      </c>
      <c r="L3621" s="6">
        <v>2154.5</v>
      </c>
      <c r="M3621" s="270">
        <f t="shared" si="141"/>
        <v>32</v>
      </c>
      <c r="N3621" s="19"/>
      <c r="O3621" s="280"/>
      <c r="P3621" s="345">
        <v>15900</v>
      </c>
      <c r="Q3621" s="28">
        <f>176.93/1114.5</f>
        <v>0.15875280394795874</v>
      </c>
      <c r="U3621" s="29">
        <v>0.1</v>
      </c>
      <c r="W3621" s="741">
        <f t="shared" si="142"/>
        <v>2776.5865410497986</v>
      </c>
    </row>
    <row r="3622" spans="1:23" ht="15" customHeight="1">
      <c r="A3622" s="3">
        <v>40974</v>
      </c>
      <c r="B3622" s="4">
        <v>57275</v>
      </c>
      <c r="C3622" s="4">
        <v>139250</v>
      </c>
      <c r="D3622" s="5">
        <v>72050</v>
      </c>
      <c r="E3622" s="5">
        <f t="shared" si="136"/>
        <v>95375</v>
      </c>
      <c r="F3622" s="5">
        <v>363950</v>
      </c>
      <c r="G3622" s="5">
        <v>0</v>
      </c>
      <c r="H3622" s="5">
        <v>850</v>
      </c>
      <c r="I3622" s="5">
        <v>22475</v>
      </c>
      <c r="J3622" s="263">
        <f t="shared" si="143"/>
        <v>6.1752988047808766E-2</v>
      </c>
      <c r="K3622" s="24">
        <v>2068.5</v>
      </c>
      <c r="L3622" s="6">
        <v>2095</v>
      </c>
      <c r="M3622" s="270">
        <f t="shared" si="141"/>
        <v>26.5</v>
      </c>
      <c r="N3622" s="19"/>
      <c r="O3622" s="280"/>
      <c r="P3622" s="345">
        <v>15850</v>
      </c>
      <c r="Q3622" s="28">
        <f>177.31/1118.4</f>
        <v>0.15853898426323318</v>
      </c>
      <c r="U3622" s="29">
        <v>0.1</v>
      </c>
      <c r="W3622" s="741">
        <f t="shared" si="142"/>
        <v>2764.127190629471</v>
      </c>
    </row>
    <row r="3623" spans="1:23" ht="15" customHeight="1">
      <c r="A3623" s="3">
        <v>40975</v>
      </c>
      <c r="B3623" s="4">
        <v>57275</v>
      </c>
      <c r="C3623" s="4">
        <v>138400</v>
      </c>
      <c r="D3623" s="5">
        <v>72050</v>
      </c>
      <c r="E3623" s="5">
        <f t="shared" si="136"/>
        <v>96225</v>
      </c>
      <c r="F3623" s="5">
        <v>363950</v>
      </c>
      <c r="G3623" s="5">
        <v>0</v>
      </c>
      <c r="H3623" s="5">
        <v>0</v>
      </c>
      <c r="I3623" s="5">
        <v>22475</v>
      </c>
      <c r="J3623" s="263">
        <f t="shared" si="143"/>
        <v>6.1752988047808766E-2</v>
      </c>
      <c r="K3623" s="24">
        <v>2040</v>
      </c>
      <c r="L3623" s="6">
        <v>2074</v>
      </c>
      <c r="M3623" s="270">
        <f t="shared" si="141"/>
        <v>34</v>
      </c>
      <c r="N3623" s="19"/>
      <c r="O3623" s="280"/>
      <c r="P3623" s="345">
        <v>15650</v>
      </c>
      <c r="Q3623" s="28">
        <f>177.6/1120.3</f>
        <v>0.15852896545568151</v>
      </c>
      <c r="U3623" s="29">
        <v>0.1</v>
      </c>
      <c r="W3623" s="741">
        <f t="shared" si="142"/>
        <v>2729.0761403195575</v>
      </c>
    </row>
    <row r="3624" spans="1:23" ht="15" customHeight="1">
      <c r="A3624" s="3">
        <v>40976</v>
      </c>
      <c r="B3624" s="4">
        <v>57275</v>
      </c>
      <c r="C3624" s="4">
        <v>138400</v>
      </c>
      <c r="D3624" s="5">
        <v>72050</v>
      </c>
      <c r="E3624" s="5">
        <f t="shared" si="136"/>
        <v>95700</v>
      </c>
      <c r="F3624" s="5">
        <v>363425</v>
      </c>
      <c r="G3624" s="5">
        <v>0</v>
      </c>
      <c r="H3624" s="5">
        <v>525</v>
      </c>
      <c r="I3624" s="5">
        <v>22125</v>
      </c>
      <c r="J3624" s="263">
        <f t="shared" si="143"/>
        <v>6.087913599779872E-2</v>
      </c>
      <c r="K3624" s="24">
        <v>2087</v>
      </c>
      <c r="L3624" s="6">
        <v>2115.5</v>
      </c>
      <c r="M3624" s="270">
        <f t="shared" si="141"/>
        <v>28.5</v>
      </c>
      <c r="N3624" s="19"/>
      <c r="O3624" s="280"/>
      <c r="P3624" s="345">
        <v>15650</v>
      </c>
      <c r="Q3624" s="28">
        <f>178.51/1126.4</f>
        <v>0.15847833806818179</v>
      </c>
      <c r="U3624" s="29">
        <v>0.1</v>
      </c>
      <c r="W3624" s="741">
        <f t="shared" si="142"/>
        <v>2728.2045898437495</v>
      </c>
    </row>
    <row r="3625" spans="1:23" ht="15" customHeight="1">
      <c r="A3625" s="3">
        <v>40977</v>
      </c>
      <c r="B3625" s="4">
        <v>57275</v>
      </c>
      <c r="C3625" s="4">
        <v>137875</v>
      </c>
      <c r="D3625" s="5">
        <v>72050</v>
      </c>
      <c r="E3625" s="5">
        <f t="shared" si="136"/>
        <v>95800</v>
      </c>
      <c r="F3625" s="5">
        <v>363000</v>
      </c>
      <c r="G3625" s="5">
        <v>0</v>
      </c>
      <c r="H3625" s="5">
        <v>425</v>
      </c>
      <c r="I3625" s="5">
        <v>21700</v>
      </c>
      <c r="J3625" s="263">
        <f t="shared" si="143"/>
        <v>5.9779614325068869E-2</v>
      </c>
      <c r="K3625" s="24">
        <v>2090.5</v>
      </c>
      <c r="L3625" s="6">
        <v>2117</v>
      </c>
      <c r="M3625" s="270">
        <f t="shared" si="141"/>
        <v>26.5</v>
      </c>
      <c r="N3625" s="19"/>
      <c r="O3625" s="280"/>
      <c r="P3625" s="345">
        <v>15800</v>
      </c>
      <c r="Q3625" s="28">
        <f>177.28/1119.8</f>
        <v>0.15831398464011431</v>
      </c>
      <c r="U3625" s="29">
        <v>0.1</v>
      </c>
      <c r="V3625" s="29"/>
      <c r="W3625" s="741">
        <f t="shared" si="142"/>
        <v>2751.4970530451869</v>
      </c>
    </row>
    <row r="3626" spans="1:23" ht="15" customHeight="1">
      <c r="A3626" s="3">
        <v>40980</v>
      </c>
      <c r="B3626" s="4">
        <v>57275</v>
      </c>
      <c r="C3626" s="4">
        <v>137475</v>
      </c>
      <c r="D3626" s="5">
        <v>72050</v>
      </c>
      <c r="E3626" s="5">
        <f t="shared" si="136"/>
        <v>96825</v>
      </c>
      <c r="F3626" s="5">
        <v>363625</v>
      </c>
      <c r="G3626" s="5">
        <v>1825</v>
      </c>
      <c r="H3626" s="5">
        <v>1200</v>
      </c>
      <c r="I3626" s="5">
        <v>21500</v>
      </c>
      <c r="J3626" s="263">
        <f t="shared" si="143"/>
        <v>5.9126847713991064E-2</v>
      </c>
      <c r="K3626" s="24">
        <v>2085.5</v>
      </c>
      <c r="L3626" s="6">
        <v>2108.5</v>
      </c>
      <c r="M3626" s="270">
        <f t="shared" si="141"/>
        <v>23</v>
      </c>
      <c r="N3626" s="19"/>
      <c r="O3626" s="280"/>
      <c r="P3626" s="345">
        <v>15850</v>
      </c>
      <c r="Q3626" s="28">
        <f>176.86/1116.1</f>
        <v>0.15846250335991402</v>
      </c>
      <c r="U3626" s="29">
        <v>0.1</v>
      </c>
      <c r="W3626" s="741">
        <f t="shared" si="142"/>
        <v>2762.7937460801008</v>
      </c>
    </row>
    <row r="3627" spans="1:23" ht="15" customHeight="1">
      <c r="A3627" s="3">
        <v>40981</v>
      </c>
      <c r="B3627" s="4">
        <v>57275</v>
      </c>
      <c r="C3627" s="4">
        <v>137825</v>
      </c>
      <c r="D3627" s="5">
        <v>72050</v>
      </c>
      <c r="E3627" s="5">
        <f t="shared" si="136"/>
        <v>98175</v>
      </c>
      <c r="F3627" s="5">
        <v>365325</v>
      </c>
      <c r="G3627" s="5">
        <v>1750</v>
      </c>
      <c r="H3627" s="5">
        <v>50</v>
      </c>
      <c r="I3627" s="5">
        <v>21675</v>
      </c>
      <c r="J3627" s="263">
        <f t="shared" si="143"/>
        <v>5.933073290905358E-2</v>
      </c>
      <c r="K3627" s="24">
        <v>2122</v>
      </c>
      <c r="L3627" s="6">
        <v>2155</v>
      </c>
      <c r="M3627" s="270">
        <f t="shared" si="141"/>
        <v>33</v>
      </c>
      <c r="N3627" s="19"/>
      <c r="O3627" s="280"/>
      <c r="P3627" s="345">
        <v>15900</v>
      </c>
      <c r="Q3627" s="28">
        <f>177.37/1122.1</f>
        <v>0.15806969075839944</v>
      </c>
      <c r="U3627" s="29">
        <v>0.1</v>
      </c>
      <c r="W3627" s="741">
        <f t="shared" si="142"/>
        <v>2764.6388913644064</v>
      </c>
    </row>
    <row r="3628" spans="1:23" ht="15" customHeight="1">
      <c r="A3628" s="3">
        <v>40982</v>
      </c>
      <c r="B3628" s="4">
        <v>57175</v>
      </c>
      <c r="C3628" s="4">
        <v>138825</v>
      </c>
      <c r="D3628" s="5">
        <v>72050</v>
      </c>
      <c r="E3628" s="5">
        <f t="shared" si="136"/>
        <v>97175</v>
      </c>
      <c r="F3628" s="5">
        <v>365225</v>
      </c>
      <c r="G3628" s="5">
        <v>0</v>
      </c>
      <c r="H3628" s="5">
        <v>100</v>
      </c>
      <c r="I3628" s="5">
        <v>23575</v>
      </c>
      <c r="J3628" s="263">
        <f t="shared" si="143"/>
        <v>6.4549250462043947E-2</v>
      </c>
      <c r="K3628" s="24">
        <v>2108</v>
      </c>
      <c r="L3628" s="6">
        <v>2138</v>
      </c>
      <c r="M3628" s="270">
        <f t="shared" si="141"/>
        <v>30</v>
      </c>
      <c r="N3628" s="19"/>
      <c r="O3628" s="280"/>
      <c r="P3628" s="345">
        <v>15950</v>
      </c>
      <c r="Q3628" s="28">
        <f>177.24/1121.5</f>
        <v>0.1580383415069104</v>
      </c>
      <c r="U3628" s="29">
        <v>0.1</v>
      </c>
      <c r="W3628" s="741">
        <f t="shared" si="142"/>
        <v>2772.7827017387431</v>
      </c>
    </row>
    <row r="3629" spans="1:23" ht="15" customHeight="1">
      <c r="A3629" s="3">
        <v>40983</v>
      </c>
      <c r="B3629" s="4">
        <v>57175</v>
      </c>
      <c r="C3629" s="4">
        <v>138825</v>
      </c>
      <c r="D3629" s="5">
        <v>72050</v>
      </c>
      <c r="E3629" s="5">
        <f t="shared" si="136"/>
        <v>97050</v>
      </c>
      <c r="F3629" s="5">
        <v>365100</v>
      </c>
      <c r="G3629" s="5">
        <v>0</v>
      </c>
      <c r="H3629" s="5">
        <v>125</v>
      </c>
      <c r="I3629" s="5">
        <v>23450</v>
      </c>
      <c r="J3629" s="263">
        <f t="shared" si="143"/>
        <v>6.4228978362092584E-2</v>
      </c>
      <c r="K3629" s="24">
        <v>2095.5</v>
      </c>
      <c r="L3629" s="6">
        <v>2126</v>
      </c>
      <c r="M3629" s="270">
        <f t="shared" si="141"/>
        <v>30.5</v>
      </c>
      <c r="N3629" s="19"/>
      <c r="O3629" s="280"/>
      <c r="P3629" s="345">
        <v>15850</v>
      </c>
      <c r="Q3629" s="28">
        <f>177.48/1123.8</f>
        <v>0.1579284570208222</v>
      </c>
      <c r="U3629" s="29">
        <v>0.1</v>
      </c>
      <c r="W3629" s="741">
        <f t="shared" si="142"/>
        <v>2753.4826481580353</v>
      </c>
    </row>
    <row r="3630" spans="1:23" ht="15" customHeight="1">
      <c r="A3630" s="3">
        <v>40984</v>
      </c>
      <c r="B3630" s="4">
        <v>57175</v>
      </c>
      <c r="C3630" s="4">
        <v>138775</v>
      </c>
      <c r="D3630" s="5">
        <v>72050</v>
      </c>
      <c r="E3630" s="5">
        <f t="shared" si="136"/>
        <v>98875</v>
      </c>
      <c r="F3630" s="5">
        <v>366875</v>
      </c>
      <c r="G3630" s="5">
        <v>200</v>
      </c>
      <c r="H3630" s="5">
        <v>225</v>
      </c>
      <c r="I3630" s="5">
        <v>23250</v>
      </c>
      <c r="J3630" s="263">
        <f t="shared" si="143"/>
        <v>6.3373083475298131E-2</v>
      </c>
      <c r="K3630" s="24">
        <v>2107</v>
      </c>
      <c r="L3630" s="6">
        <v>2132</v>
      </c>
      <c r="M3630" s="270">
        <f t="shared" si="141"/>
        <v>25</v>
      </c>
      <c r="N3630" s="19"/>
      <c r="O3630" s="280"/>
      <c r="P3630" s="345">
        <v>15900</v>
      </c>
      <c r="Q3630" s="28">
        <f>178.4/1129.1</f>
        <v>0.15800194845452131</v>
      </c>
      <c r="U3630" s="29">
        <v>0.1</v>
      </c>
      <c r="W3630" s="741">
        <f t="shared" si="142"/>
        <v>2763.4540784695778</v>
      </c>
    </row>
    <row r="3631" spans="1:23" ht="15" customHeight="1">
      <c r="A3631" s="3">
        <v>40987</v>
      </c>
      <c r="B3631" s="4">
        <v>57175</v>
      </c>
      <c r="C3631" s="4">
        <v>140600</v>
      </c>
      <c r="D3631" s="5">
        <v>72050</v>
      </c>
      <c r="E3631" s="5">
        <f t="shared" si="136"/>
        <v>98825</v>
      </c>
      <c r="F3631" s="5">
        <v>368650</v>
      </c>
      <c r="G3631" s="5">
        <v>2000</v>
      </c>
      <c r="H3631" s="5">
        <v>225</v>
      </c>
      <c r="I3631" s="5">
        <v>23025</v>
      </c>
      <c r="J3631" s="263">
        <f t="shared" si="143"/>
        <v>6.2457615624576156E-2</v>
      </c>
      <c r="K3631" s="24">
        <v>2095</v>
      </c>
      <c r="L3631" s="6">
        <v>2101.5</v>
      </c>
      <c r="M3631" s="270">
        <f t="shared" si="141"/>
        <v>6.5</v>
      </c>
      <c r="N3631" s="19"/>
      <c r="O3631" s="280"/>
      <c r="P3631" s="345">
        <v>15850</v>
      </c>
      <c r="Q3631" s="28">
        <f>177.84/1124.4</f>
        <v>0.15816435432230522</v>
      </c>
      <c r="U3631" s="29">
        <v>0.1</v>
      </c>
      <c r="W3631" s="741">
        <f t="shared" si="142"/>
        <v>2757.5955176093917</v>
      </c>
    </row>
    <row r="3632" spans="1:23" ht="15" customHeight="1">
      <c r="A3632" s="3">
        <v>40988</v>
      </c>
      <c r="B3632" s="4">
        <v>56825</v>
      </c>
      <c r="C3632" s="4">
        <v>141450</v>
      </c>
      <c r="D3632" s="5">
        <v>72050</v>
      </c>
      <c r="E3632" s="5">
        <f t="shared" si="136"/>
        <v>99800</v>
      </c>
      <c r="F3632" s="5">
        <v>370125</v>
      </c>
      <c r="G3632" s="5">
        <v>1925</v>
      </c>
      <c r="H3632" s="5">
        <v>450</v>
      </c>
      <c r="I3632" s="5">
        <v>22575</v>
      </c>
      <c r="J3632" s="263">
        <f t="shared" si="143"/>
        <v>6.0992907801418438E-2</v>
      </c>
      <c r="K3632" s="24">
        <v>2042.5</v>
      </c>
      <c r="L3632" s="6">
        <v>2064</v>
      </c>
      <c r="M3632" s="270">
        <f t="shared" si="141"/>
        <v>21.5</v>
      </c>
      <c r="N3632" s="19"/>
      <c r="O3632" s="280"/>
      <c r="P3632" s="345">
        <v>15850</v>
      </c>
      <c r="Q3632" s="28">
        <f>177.62/1123</f>
        <v>0.15816562778272486</v>
      </c>
      <c r="U3632" s="29">
        <v>0.1</v>
      </c>
      <c r="W3632" s="741">
        <f t="shared" si="142"/>
        <v>2757.6177203918082</v>
      </c>
    </row>
    <row r="3633" spans="1:23" ht="15" customHeight="1">
      <c r="A3633" s="3">
        <v>40989</v>
      </c>
      <c r="B3633" s="4">
        <v>56325</v>
      </c>
      <c r="C3633" s="4">
        <v>142625</v>
      </c>
      <c r="D3633" s="5">
        <v>72300</v>
      </c>
      <c r="E3633" s="5">
        <f t="shared" si="136"/>
        <v>98600</v>
      </c>
      <c r="F3633" s="5">
        <v>369850</v>
      </c>
      <c r="G3633" s="5">
        <v>250</v>
      </c>
      <c r="H3633" s="5">
        <v>525</v>
      </c>
      <c r="I3633" s="5">
        <v>22075</v>
      </c>
      <c r="J3633" s="263">
        <f t="shared" si="143"/>
        <v>5.9686359334865484E-2</v>
      </c>
      <c r="K3633" s="24">
        <v>2026</v>
      </c>
      <c r="L3633" s="6">
        <v>2036</v>
      </c>
      <c r="M3633" s="270">
        <f t="shared" si="141"/>
        <v>10</v>
      </c>
      <c r="N3633" s="19"/>
      <c r="O3633" s="280"/>
      <c r="P3633" s="345">
        <v>15750</v>
      </c>
      <c r="Q3633" s="28">
        <f>177.59/1123.1</f>
        <v>0.15812483305137567</v>
      </c>
      <c r="U3633" s="29">
        <v>0.1</v>
      </c>
      <c r="W3633" s="741">
        <f t="shared" si="142"/>
        <v>2739.5127326150837</v>
      </c>
    </row>
    <row r="3634" spans="1:23" ht="15" customHeight="1">
      <c r="A3634" s="3">
        <v>40990</v>
      </c>
      <c r="B3634" s="4">
        <v>55975</v>
      </c>
      <c r="C3634" s="4">
        <v>142600</v>
      </c>
      <c r="D3634" s="5">
        <v>72300</v>
      </c>
      <c r="E3634" s="5">
        <f t="shared" si="136"/>
        <v>102975</v>
      </c>
      <c r="F3634" s="5">
        <v>373850</v>
      </c>
      <c r="G3634" s="5">
        <v>4375</v>
      </c>
      <c r="H3634" s="5">
        <v>375</v>
      </c>
      <c r="I3634" s="5">
        <v>21725</v>
      </c>
      <c r="J3634" s="263">
        <f t="shared" si="143"/>
        <v>5.811154206232446E-2</v>
      </c>
      <c r="K3634" s="24">
        <v>2000</v>
      </c>
      <c r="L3634" s="6">
        <v>2005</v>
      </c>
      <c r="M3634" s="270">
        <f t="shared" si="141"/>
        <v>5</v>
      </c>
      <c r="N3634" s="19"/>
      <c r="O3634" s="280"/>
      <c r="P3634" s="345">
        <v>15650</v>
      </c>
      <c r="Q3634" s="28">
        <f>178.31/1127.4</f>
        <v>0.15816036899059782</v>
      </c>
      <c r="U3634" s="29">
        <v>0.1</v>
      </c>
      <c r="W3634" s="741">
        <f t="shared" si="142"/>
        <v>2722.7307521731418</v>
      </c>
    </row>
    <row r="3635" spans="1:23" ht="15" customHeight="1">
      <c r="A3635" s="3">
        <v>40991</v>
      </c>
      <c r="B3635" s="4">
        <v>55675</v>
      </c>
      <c r="C3635" s="4">
        <v>146975</v>
      </c>
      <c r="D3635" s="5">
        <v>72300</v>
      </c>
      <c r="E3635" s="5">
        <f t="shared" si="136"/>
        <v>97925</v>
      </c>
      <c r="F3635" s="5">
        <v>372875</v>
      </c>
      <c r="G3635" s="5">
        <v>0</v>
      </c>
      <c r="H3635" s="5">
        <v>975</v>
      </c>
      <c r="I3635" s="5">
        <v>21000</v>
      </c>
      <c r="J3635" s="263">
        <f t="shared" si="143"/>
        <v>5.631914180355347E-2</v>
      </c>
      <c r="K3635" s="24">
        <v>1995</v>
      </c>
      <c r="L3635" s="6">
        <v>1995</v>
      </c>
      <c r="M3635" s="270">
        <f t="shared" si="141"/>
        <v>0</v>
      </c>
      <c r="N3635" s="19"/>
      <c r="O3635" s="280"/>
      <c r="P3635" s="345">
        <v>15650</v>
      </c>
      <c r="Q3635" s="28">
        <f>179.42/1130.3</f>
        <v>0.15873661859683269</v>
      </c>
      <c r="U3635" s="29">
        <v>0.1</v>
      </c>
      <c r="W3635" s="741">
        <f t="shared" si="142"/>
        <v>2732.6508891444751</v>
      </c>
    </row>
    <row r="3636" spans="1:23" ht="15" customHeight="1">
      <c r="A3636" s="3">
        <v>40994</v>
      </c>
      <c r="B3636" s="4">
        <v>55350</v>
      </c>
      <c r="C3636" s="4">
        <v>146350</v>
      </c>
      <c r="D3636" s="5">
        <v>74250</v>
      </c>
      <c r="E3636" s="5">
        <f t="shared" si="136"/>
        <v>100225</v>
      </c>
      <c r="F3636" s="5">
        <v>376175</v>
      </c>
      <c r="G3636" s="5">
        <v>3725</v>
      </c>
      <c r="H3636" s="5">
        <v>425</v>
      </c>
      <c r="I3636" s="5">
        <v>20675</v>
      </c>
      <c r="J3636" s="263">
        <f t="shared" si="143"/>
        <v>5.496112181830265E-2</v>
      </c>
      <c r="K3636" s="24">
        <v>1982</v>
      </c>
      <c r="L3636" s="6">
        <v>1990</v>
      </c>
      <c r="M3636" s="270">
        <f t="shared" si="141"/>
        <v>8</v>
      </c>
      <c r="N3636" s="19"/>
      <c r="O3636" s="280"/>
      <c r="P3636" s="345">
        <v>15700</v>
      </c>
      <c r="Q3636" s="28">
        <f>179.85/1133.8</f>
        <v>0.1586258599400247</v>
      </c>
      <c r="U3636" s="29">
        <v>0.1</v>
      </c>
      <c r="W3636" s="741">
        <f t="shared" si="142"/>
        <v>2739.468601164227</v>
      </c>
    </row>
    <row r="3637" spans="1:23" ht="15" customHeight="1">
      <c r="A3637" s="3">
        <v>40995</v>
      </c>
      <c r="B3637" s="4">
        <v>55350</v>
      </c>
      <c r="C3637" s="4">
        <v>148100</v>
      </c>
      <c r="D3637" s="5">
        <v>75100</v>
      </c>
      <c r="E3637" s="5">
        <f t="shared" si="136"/>
        <v>98675</v>
      </c>
      <c r="F3637" s="5">
        <v>377225</v>
      </c>
      <c r="G3637" s="5">
        <v>1050</v>
      </c>
      <c r="H3637" s="5">
        <v>0</v>
      </c>
      <c r="I3637" s="5">
        <v>20700</v>
      </c>
      <c r="J3637" s="263">
        <f t="shared" si="143"/>
        <v>5.4874411823182451E-2</v>
      </c>
      <c r="K3637" s="24">
        <v>1998</v>
      </c>
      <c r="L3637" s="6">
        <v>1997.5</v>
      </c>
      <c r="M3637" s="270">
        <f t="shared" si="141"/>
        <v>-0.5</v>
      </c>
      <c r="N3637" s="19"/>
      <c r="O3637" s="280"/>
      <c r="P3637" s="345">
        <v>15700</v>
      </c>
      <c r="Q3637" s="28">
        <f>180.22/1138.1</f>
        <v>0.15835163869607241</v>
      </c>
      <c r="U3637" s="29">
        <v>0.1</v>
      </c>
      <c r="W3637" s="741">
        <f t="shared" si="142"/>
        <v>2734.7328002811705</v>
      </c>
    </row>
    <row r="3638" spans="1:23" ht="15" customHeight="1">
      <c r="A3638" s="3">
        <v>40996</v>
      </c>
      <c r="B3638" s="4">
        <v>55025</v>
      </c>
      <c r="C3638" s="4">
        <v>148100</v>
      </c>
      <c r="D3638" s="5">
        <v>75100</v>
      </c>
      <c r="E3638" s="5">
        <f t="shared" si="136"/>
        <v>98625</v>
      </c>
      <c r="F3638" s="5">
        <v>376850</v>
      </c>
      <c r="G3638" s="5">
        <v>0</v>
      </c>
      <c r="H3638" s="5">
        <v>375</v>
      </c>
      <c r="I3638" s="5">
        <v>21225</v>
      </c>
      <c r="J3638" s="263">
        <f t="shared" si="143"/>
        <v>5.6322144089160142E-2</v>
      </c>
      <c r="K3638" s="24">
        <v>1987</v>
      </c>
      <c r="L3638" s="6">
        <v>1995</v>
      </c>
      <c r="M3638" s="270">
        <f t="shared" si="141"/>
        <v>8</v>
      </c>
      <c r="N3638" s="19"/>
      <c r="O3638" s="280"/>
      <c r="P3638" s="345">
        <v>15700</v>
      </c>
      <c r="Q3638" s="28">
        <f>180.26/1136.8</f>
        <v>0.15856790992258973</v>
      </c>
      <c r="U3638" s="29">
        <v>0.1</v>
      </c>
      <c r="W3638" s="741">
        <f t="shared" si="142"/>
        <v>2738.4678043631247</v>
      </c>
    </row>
    <row r="3639" spans="1:23" ht="15" customHeight="1">
      <c r="A3639" s="3">
        <v>40997</v>
      </c>
      <c r="B3639" s="4">
        <v>54575</v>
      </c>
      <c r="C3639" s="4">
        <v>148100</v>
      </c>
      <c r="D3639" s="5">
        <v>75100</v>
      </c>
      <c r="E3639" s="5">
        <f t="shared" si="136"/>
        <v>98950</v>
      </c>
      <c r="F3639" s="5">
        <v>376725</v>
      </c>
      <c r="G3639" s="5">
        <v>550</v>
      </c>
      <c r="H3639" s="5">
        <v>675</v>
      </c>
      <c r="I3639" s="5">
        <v>22450</v>
      </c>
      <c r="J3639" s="263">
        <f t="shared" si="143"/>
        <v>5.9592540978167095E-2</v>
      </c>
      <c r="K3639" s="24">
        <v>1989</v>
      </c>
      <c r="L3639" s="6">
        <v>1978</v>
      </c>
      <c r="M3639" s="270">
        <f t="shared" si="141"/>
        <v>-11</v>
      </c>
      <c r="N3639" s="19"/>
      <c r="O3639" s="280"/>
      <c r="P3639" s="345">
        <v>15650</v>
      </c>
      <c r="Q3639" s="28">
        <f>180.36/1137.2</f>
        <v>0.15860007034822371</v>
      </c>
      <c r="U3639" s="29">
        <v>0.1</v>
      </c>
      <c r="W3639" s="741">
        <f t="shared" si="142"/>
        <v>2730.300211044671</v>
      </c>
    </row>
    <row r="3640" spans="1:23" ht="15" customHeight="1">
      <c r="A3640" s="3">
        <v>40998</v>
      </c>
      <c r="B3640" s="4">
        <v>54575</v>
      </c>
      <c r="C3640" s="4">
        <v>148225</v>
      </c>
      <c r="D3640" s="5">
        <v>75100</v>
      </c>
      <c r="E3640" s="5">
        <f t="shared" si="136"/>
        <v>98675</v>
      </c>
      <c r="F3640" s="5">
        <v>376575</v>
      </c>
      <c r="G3640" s="5">
        <v>0</v>
      </c>
      <c r="H3640" s="5">
        <v>150</v>
      </c>
      <c r="I3640" s="5">
        <v>22300</v>
      </c>
      <c r="J3640" s="263">
        <f t="shared" si="143"/>
        <v>5.9217951271327091E-2</v>
      </c>
      <c r="K3640" s="24">
        <v>2020.5</v>
      </c>
      <c r="L3640" s="6">
        <v>2021</v>
      </c>
      <c r="M3640" s="270">
        <f t="shared" si="141"/>
        <v>0.5</v>
      </c>
      <c r="N3640" s="255">
        <f>AVERAGE(K3619:K3640)</f>
        <v>2061.4545454545455</v>
      </c>
      <c r="O3640" s="290">
        <f>AVERAGE(K3575:K3640)</f>
        <v>2093.375</v>
      </c>
      <c r="P3640" s="345">
        <v>15650</v>
      </c>
      <c r="Q3640" s="28">
        <f>180.44/1134.8</f>
        <v>0.15900599224532957</v>
      </c>
      <c r="U3640" s="29">
        <v>0.1</v>
      </c>
      <c r="W3640" s="741">
        <f t="shared" si="142"/>
        <v>2737.288156503349</v>
      </c>
    </row>
    <row r="3641" spans="1:23" s="258" customFormat="1" ht="15" customHeight="1" thickBot="1">
      <c r="A3641" s="391"/>
      <c r="B3641" s="1002" t="s">
        <v>102</v>
      </c>
      <c r="C3641" s="1002"/>
      <c r="D3641" s="1002"/>
      <c r="E3641" s="1002"/>
      <c r="F3641" s="391"/>
      <c r="G3641" s="254">
        <f>SUM(G3619:G3640)</f>
        <v>20150</v>
      </c>
      <c r="H3641" s="254">
        <f>SUM(H3619:H3640)</f>
        <v>15825</v>
      </c>
      <c r="I3641" s="254"/>
      <c r="J3641" s="269"/>
      <c r="K3641" s="251"/>
      <c r="L3641" s="256"/>
      <c r="M3641" s="274"/>
      <c r="N3641" s="257"/>
      <c r="O3641" s="292"/>
      <c r="P3641" s="350"/>
      <c r="Q3641" s="299"/>
      <c r="R3641" s="299"/>
      <c r="S3641" s="299"/>
      <c r="T3641" s="299"/>
      <c r="U3641" s="300"/>
      <c r="V3641" s="298">
        <f>AVERAGE(P3619:P3640)</f>
        <v>15784.09090909091</v>
      </c>
      <c r="W3641" s="746"/>
    </row>
    <row r="3642" spans="1:23" ht="15" customHeight="1">
      <c r="A3642" s="36">
        <v>41001</v>
      </c>
      <c r="B3642" s="37">
        <v>53950</v>
      </c>
      <c r="C3642" s="37">
        <v>148200</v>
      </c>
      <c r="D3642" s="38">
        <v>75100</v>
      </c>
      <c r="E3642" s="38">
        <f t="shared" si="136"/>
        <v>99550</v>
      </c>
      <c r="F3642" s="38">
        <v>376800</v>
      </c>
      <c r="G3642" s="38">
        <v>1150</v>
      </c>
      <c r="H3642" s="38">
        <v>925</v>
      </c>
      <c r="I3642" s="38">
        <v>21575</v>
      </c>
      <c r="J3642" s="263">
        <f t="shared" si="143"/>
        <v>5.7258492569002124E-2</v>
      </c>
      <c r="K3642" s="39">
        <v>2007</v>
      </c>
      <c r="L3642" s="40">
        <v>2010</v>
      </c>
      <c r="M3642" s="272">
        <f t="shared" si="141"/>
        <v>3</v>
      </c>
      <c r="N3642" s="21"/>
      <c r="O3642" s="283"/>
      <c r="P3642" s="384"/>
      <c r="Q3642" s="1010" t="s">
        <v>122</v>
      </c>
      <c r="R3642" s="1010"/>
      <c r="S3642" s="1010"/>
      <c r="T3642" s="1010"/>
      <c r="U3642" s="1010"/>
      <c r="V3642" s="45"/>
      <c r="W3642" s="743"/>
    </row>
    <row r="3643" spans="1:23" ht="15" customHeight="1">
      <c r="A3643" s="3">
        <v>41002</v>
      </c>
      <c r="B3643" s="4">
        <v>53500</v>
      </c>
      <c r="C3643" s="4">
        <v>148850</v>
      </c>
      <c r="D3643" s="5">
        <v>75100</v>
      </c>
      <c r="E3643" s="5">
        <f t="shared" si="136"/>
        <v>98850</v>
      </c>
      <c r="F3643" s="5">
        <v>376300</v>
      </c>
      <c r="G3643" s="5">
        <v>900</v>
      </c>
      <c r="H3643" s="5">
        <v>1400</v>
      </c>
      <c r="I3643" s="5">
        <v>20275</v>
      </c>
      <c r="J3643" s="263">
        <f t="shared" si="143"/>
        <v>5.3879883072017007E-2</v>
      </c>
      <c r="K3643" s="24">
        <v>2045</v>
      </c>
      <c r="L3643" s="6">
        <v>2046.5</v>
      </c>
      <c r="M3643" s="270">
        <f t="shared" si="141"/>
        <v>1.5</v>
      </c>
      <c r="N3643" s="19"/>
      <c r="O3643" s="280"/>
      <c r="P3643" s="383"/>
      <c r="Q3643" s="996"/>
      <c r="R3643" s="996"/>
      <c r="S3643" s="996"/>
      <c r="T3643" s="996"/>
      <c r="U3643" s="996"/>
      <c r="W3643" s="744"/>
    </row>
    <row r="3644" spans="1:23" ht="15" customHeight="1">
      <c r="A3644" s="3">
        <v>41003</v>
      </c>
      <c r="B3644" s="4">
        <v>52500</v>
      </c>
      <c r="C3644" s="4">
        <v>148850</v>
      </c>
      <c r="D3644" s="5">
        <v>74100</v>
      </c>
      <c r="E3644" s="5">
        <f t="shared" si="136"/>
        <v>98850</v>
      </c>
      <c r="F3644" s="5">
        <v>374300</v>
      </c>
      <c r="G3644" s="5">
        <v>0</v>
      </c>
      <c r="H3644" s="5">
        <v>2000</v>
      </c>
      <c r="I3644" s="5">
        <v>18400</v>
      </c>
      <c r="J3644" s="263">
        <f t="shared" si="143"/>
        <v>4.9158429067592838E-2</v>
      </c>
      <c r="K3644" s="24">
        <v>2014</v>
      </c>
      <c r="L3644" s="6">
        <v>2017.5</v>
      </c>
      <c r="M3644" s="270">
        <f t="shared" si="141"/>
        <v>3.5</v>
      </c>
      <c r="N3644" s="19"/>
      <c r="O3644" s="280"/>
      <c r="P3644" s="383"/>
      <c r="Q3644" s="996"/>
      <c r="R3644" s="996"/>
      <c r="S3644" s="996"/>
      <c r="T3644" s="996"/>
      <c r="U3644" s="996"/>
      <c r="W3644" s="744"/>
    </row>
    <row r="3645" spans="1:23" ht="15" customHeight="1">
      <c r="A3645" s="3">
        <v>41004</v>
      </c>
      <c r="B3645" s="4">
        <v>51925</v>
      </c>
      <c r="C3645" s="4">
        <v>148850</v>
      </c>
      <c r="D3645" s="5">
        <v>73600</v>
      </c>
      <c r="E3645" s="5">
        <f t="shared" si="136"/>
        <v>100200</v>
      </c>
      <c r="F3645" s="5">
        <v>374575</v>
      </c>
      <c r="G3645" s="5">
        <v>1875</v>
      </c>
      <c r="H3645" s="5">
        <v>1600</v>
      </c>
      <c r="I3645" s="5">
        <v>16800</v>
      </c>
      <c r="J3645" s="263">
        <f t="shared" si="143"/>
        <v>4.4850830941733963E-2</v>
      </c>
      <c r="K3645" s="24">
        <v>1994</v>
      </c>
      <c r="L3645" s="6">
        <v>1990</v>
      </c>
      <c r="M3645" s="270">
        <f t="shared" si="141"/>
        <v>-4</v>
      </c>
      <c r="N3645" s="19"/>
      <c r="O3645" s="280"/>
      <c r="P3645" s="345">
        <v>15550</v>
      </c>
      <c r="Q3645" s="28">
        <f>179.07/1127.8</f>
        <v>0.15877815215463734</v>
      </c>
      <c r="U3645" s="29">
        <v>0.1</v>
      </c>
      <c r="W3645" s="741">
        <f t="shared" ref="W3645:W3661" si="144">(P3645*Q3645)*(1+U3645)</f>
        <v>2715.9002926050721</v>
      </c>
    </row>
    <row r="3646" spans="1:23" ht="15" customHeight="1">
      <c r="A3646" s="3">
        <v>41005</v>
      </c>
      <c r="C3646" s="26"/>
      <c r="D3646" s="26"/>
      <c r="E3646" s="26"/>
      <c r="F3646" s="26"/>
      <c r="G3646" s="1003" t="s">
        <v>70</v>
      </c>
      <c r="H3646" s="1003"/>
      <c r="I3646" s="1003"/>
      <c r="J3646" s="1003"/>
      <c r="K3646" s="26"/>
      <c r="L3646" s="26"/>
      <c r="M3646" s="26"/>
      <c r="N3646" s="19"/>
      <c r="O3646" s="280"/>
      <c r="P3646" s="345">
        <v>15550</v>
      </c>
      <c r="Q3646" s="28">
        <f>178.9/1129.5</f>
        <v>0.15838866755201417</v>
      </c>
      <c r="U3646" s="29">
        <v>0.1</v>
      </c>
      <c r="W3646" s="741">
        <f t="shared" si="144"/>
        <v>2709.2381584772024</v>
      </c>
    </row>
    <row r="3647" spans="1:23" ht="15" customHeight="1">
      <c r="A3647" s="3">
        <v>41008</v>
      </c>
      <c r="B3647" s="26"/>
      <c r="C3647" s="26"/>
      <c r="D3647" s="26"/>
      <c r="E3647" s="26"/>
      <c r="F3647" s="26"/>
      <c r="G3647" s="1003"/>
      <c r="H3647" s="1003"/>
      <c r="I3647" s="1003"/>
      <c r="J3647" s="1003"/>
      <c r="K3647" s="26"/>
      <c r="L3647" s="26"/>
      <c r="M3647" s="26"/>
      <c r="N3647" s="19"/>
      <c r="O3647" s="280"/>
      <c r="P3647" s="345">
        <v>15700</v>
      </c>
      <c r="Q3647" s="28">
        <f>179.27/1130.7</f>
        <v>0.15854780224639603</v>
      </c>
      <c r="U3647" s="29">
        <v>0.1</v>
      </c>
      <c r="W3647" s="741">
        <f t="shared" si="144"/>
        <v>2738.1205447952598</v>
      </c>
    </row>
    <row r="3648" spans="1:23" ht="15" customHeight="1">
      <c r="A3648" s="3">
        <v>41009</v>
      </c>
      <c r="B3648" s="4">
        <v>51200</v>
      </c>
      <c r="C3648" s="4">
        <v>149950</v>
      </c>
      <c r="D3648" s="5">
        <v>72700</v>
      </c>
      <c r="E3648" s="5">
        <f t="shared" ref="E3648:E3688" si="145">F3648-(B3648+C3648+D3648)</f>
        <v>99525</v>
      </c>
      <c r="F3648" s="5">
        <v>373375</v>
      </c>
      <c r="G3648" s="5">
        <v>675</v>
      </c>
      <c r="H3648" s="5">
        <v>1875</v>
      </c>
      <c r="I3648" s="5">
        <v>14925</v>
      </c>
      <c r="J3648" s="263">
        <f t="shared" ref="J3648:J3688" si="146">I3648/F3648</f>
        <v>3.9973217274857718E-2</v>
      </c>
      <c r="K3648" s="24">
        <v>2038</v>
      </c>
      <c r="L3648" s="6">
        <v>2039</v>
      </c>
      <c r="M3648" s="270">
        <f t="shared" ref="M3648:M3688" si="147">L3648-K3648</f>
        <v>1</v>
      </c>
      <c r="N3648" s="19"/>
      <c r="O3648" s="280"/>
      <c r="P3648" s="345">
        <v>15700</v>
      </c>
      <c r="Q3648" s="28">
        <f>180.32/1137.6</f>
        <v>0.15850914205344585</v>
      </c>
      <c r="U3648" s="29">
        <v>0.1</v>
      </c>
      <c r="W3648" s="741">
        <f t="shared" si="144"/>
        <v>2737.4528832630099</v>
      </c>
    </row>
    <row r="3649" spans="1:26" ht="15" customHeight="1">
      <c r="A3649" s="3">
        <v>41010</v>
      </c>
      <c r="B3649" s="4">
        <v>50600</v>
      </c>
      <c r="C3649" s="4">
        <v>150375</v>
      </c>
      <c r="D3649" s="5">
        <v>70975</v>
      </c>
      <c r="E3649" s="5">
        <f t="shared" si="145"/>
        <v>101425</v>
      </c>
      <c r="F3649" s="5">
        <v>373375</v>
      </c>
      <c r="G3649" s="5">
        <v>3650</v>
      </c>
      <c r="H3649" s="5">
        <v>2500</v>
      </c>
      <c r="I3649" s="5">
        <v>12425</v>
      </c>
      <c r="J3649" s="263">
        <f t="shared" si="146"/>
        <v>3.3277535989286913E-2</v>
      </c>
      <c r="K3649" s="24">
        <v>2019</v>
      </c>
      <c r="L3649" s="6">
        <v>2018</v>
      </c>
      <c r="M3649" s="270">
        <f t="shared" si="147"/>
        <v>-1</v>
      </c>
      <c r="N3649" s="19"/>
      <c r="O3649" s="280"/>
      <c r="P3649" s="345">
        <v>15600</v>
      </c>
      <c r="Q3649" s="28">
        <f>180.32/1137.6</f>
        <v>0.15850914205344585</v>
      </c>
      <c r="U3649" s="29">
        <v>0.1</v>
      </c>
      <c r="W3649" s="741">
        <f t="shared" si="144"/>
        <v>2720.0168776371311</v>
      </c>
      <c r="Z3649" s="19"/>
    </row>
    <row r="3650" spans="1:26" ht="15" customHeight="1">
      <c r="A3650" s="3">
        <v>41011</v>
      </c>
      <c r="B3650" s="4">
        <v>50600</v>
      </c>
      <c r="C3650" s="4">
        <v>151425</v>
      </c>
      <c r="D3650" s="5">
        <v>70200</v>
      </c>
      <c r="E3650" s="5">
        <f t="shared" si="145"/>
        <v>101325</v>
      </c>
      <c r="F3650" s="5">
        <v>373550</v>
      </c>
      <c r="G3650" s="5">
        <v>0</v>
      </c>
      <c r="H3650" s="5">
        <v>975</v>
      </c>
      <c r="I3650" s="5">
        <v>11450</v>
      </c>
      <c r="J3650" s="263">
        <f t="shared" si="146"/>
        <v>3.0651853834828002E-2</v>
      </c>
      <c r="K3650" s="24">
        <v>2081</v>
      </c>
      <c r="L3650" s="6">
        <v>2072</v>
      </c>
      <c r="M3650" s="270">
        <f t="shared" si="147"/>
        <v>-9</v>
      </c>
      <c r="N3650" s="19"/>
      <c r="O3650" s="280"/>
      <c r="P3650" s="345">
        <v>15650</v>
      </c>
      <c r="Q3650" s="28">
        <f>180.39/1137.9</f>
        <v>0.15852886896915369</v>
      </c>
      <c r="U3650" s="29">
        <v>0.1</v>
      </c>
      <c r="W3650" s="741">
        <f t="shared" si="144"/>
        <v>2729.0744793039812</v>
      </c>
      <c r="Z3650" s="19"/>
    </row>
    <row r="3651" spans="1:26" ht="15" customHeight="1">
      <c r="A3651" s="3">
        <v>41012</v>
      </c>
      <c r="B3651" s="4">
        <v>50600</v>
      </c>
      <c r="C3651" s="4">
        <v>151275</v>
      </c>
      <c r="D3651" s="5">
        <v>69375</v>
      </c>
      <c r="E3651" s="5">
        <f t="shared" si="145"/>
        <v>101350</v>
      </c>
      <c r="F3651" s="5">
        <v>372600</v>
      </c>
      <c r="G3651" s="5">
        <v>0</v>
      </c>
      <c r="H3651" s="5">
        <v>950</v>
      </c>
      <c r="I3651" s="5">
        <v>23700</v>
      </c>
      <c r="J3651" s="263">
        <f t="shared" si="146"/>
        <v>6.3607085346215786E-2</v>
      </c>
      <c r="K3651" s="24">
        <v>2073</v>
      </c>
      <c r="L3651" s="6">
        <v>2081</v>
      </c>
      <c r="M3651" s="270">
        <f t="shared" si="147"/>
        <v>8</v>
      </c>
      <c r="N3651" s="19"/>
      <c r="O3651" s="280"/>
      <c r="P3651" s="345">
        <v>15700</v>
      </c>
      <c r="Q3651" s="28">
        <f>181.12/1142.3</f>
        <v>0.15855729668213256</v>
      </c>
      <c r="U3651" s="29">
        <v>0.1</v>
      </c>
      <c r="W3651" s="741">
        <f t="shared" si="144"/>
        <v>2738.2845137004292</v>
      </c>
      <c r="Z3651" s="19"/>
    </row>
    <row r="3652" spans="1:26" ht="15" customHeight="1">
      <c r="A3652" s="3">
        <v>41015</v>
      </c>
      <c r="B3652" s="4">
        <v>50600</v>
      </c>
      <c r="C3652" s="4">
        <v>151275</v>
      </c>
      <c r="D3652" s="5">
        <v>68725</v>
      </c>
      <c r="E3652" s="5">
        <f t="shared" si="145"/>
        <v>101275</v>
      </c>
      <c r="F3652" s="5">
        <v>371875</v>
      </c>
      <c r="G3652" s="5">
        <v>150</v>
      </c>
      <c r="H3652" s="5">
        <v>875</v>
      </c>
      <c r="I3652" s="5">
        <v>23675</v>
      </c>
      <c r="J3652" s="263">
        <f t="shared" si="146"/>
        <v>6.3663865546218487E-2</v>
      </c>
      <c r="K3652" s="24">
        <v>2033.5</v>
      </c>
      <c r="L3652" s="6">
        <v>2046</v>
      </c>
      <c r="M3652" s="270">
        <f t="shared" si="147"/>
        <v>12.5</v>
      </c>
      <c r="N3652" s="19"/>
      <c r="O3652" s="280"/>
      <c r="P3652" s="345">
        <v>15550</v>
      </c>
      <c r="Q3652" s="28">
        <f>179.94/1134.1</f>
        <v>0.15866325720835905</v>
      </c>
      <c r="U3652" s="29">
        <v>0.1</v>
      </c>
      <c r="W3652" s="741">
        <f t="shared" si="144"/>
        <v>2713.9350145489816</v>
      </c>
      <c r="Z3652" s="19"/>
    </row>
    <row r="3653" spans="1:26" ht="15" customHeight="1">
      <c r="A3653" s="3">
        <v>41016</v>
      </c>
      <c r="B3653" s="4">
        <v>50600</v>
      </c>
      <c r="C3653" s="4">
        <v>151275</v>
      </c>
      <c r="D3653" s="5">
        <v>67950</v>
      </c>
      <c r="E3653" s="5">
        <f t="shared" si="145"/>
        <v>101625</v>
      </c>
      <c r="F3653" s="5">
        <v>371450</v>
      </c>
      <c r="G3653" s="5">
        <v>500</v>
      </c>
      <c r="H3653" s="5">
        <v>925</v>
      </c>
      <c r="I3653" s="5">
        <v>23575</v>
      </c>
      <c r="J3653" s="263">
        <f t="shared" si="146"/>
        <v>6.3467492260061917E-2</v>
      </c>
      <c r="K3653" s="24">
        <v>2066</v>
      </c>
      <c r="L3653" s="6">
        <v>2083</v>
      </c>
      <c r="M3653" s="270">
        <f t="shared" si="147"/>
        <v>17</v>
      </c>
      <c r="N3653" s="19"/>
      <c r="O3653" s="280"/>
      <c r="P3653" s="345">
        <v>15550</v>
      </c>
      <c r="Q3653" s="28">
        <f>180.14/1137.7</f>
        <v>0.15833699569306495</v>
      </c>
      <c r="U3653" s="29">
        <v>0.1</v>
      </c>
      <c r="W3653" s="741">
        <f t="shared" si="144"/>
        <v>2708.3543113298761</v>
      </c>
      <c r="Z3653" s="19"/>
    </row>
    <row r="3654" spans="1:26" ht="15" customHeight="1">
      <c r="A3654" s="3">
        <v>41017</v>
      </c>
      <c r="B3654" s="4">
        <v>50050</v>
      </c>
      <c r="C3654" s="4">
        <v>151675</v>
      </c>
      <c r="D3654" s="5">
        <v>68100</v>
      </c>
      <c r="E3654" s="5">
        <f t="shared" si="145"/>
        <v>101625</v>
      </c>
      <c r="F3654" s="5">
        <v>371450</v>
      </c>
      <c r="G3654" s="5">
        <v>1350</v>
      </c>
      <c r="H3654" s="5">
        <v>1350</v>
      </c>
      <c r="I3654" s="5">
        <v>22225</v>
      </c>
      <c r="J3654" s="263">
        <f t="shared" si="146"/>
        <v>5.983308655269888E-2</v>
      </c>
      <c r="K3654" s="24">
        <v>2042</v>
      </c>
      <c r="L3654" s="6">
        <v>2060</v>
      </c>
      <c r="M3654" s="270">
        <f t="shared" si="147"/>
        <v>18</v>
      </c>
      <c r="N3654" s="19"/>
      <c r="O3654" s="280"/>
      <c r="P3654" s="345">
        <v>15600</v>
      </c>
      <c r="Q3654" s="28">
        <f>180.72/1138.9</f>
        <v>0.1586794275177803</v>
      </c>
      <c r="U3654" s="29">
        <v>0.1</v>
      </c>
      <c r="W3654" s="741">
        <f t="shared" si="144"/>
        <v>2722.9389762051101</v>
      </c>
      <c r="Z3654" s="19"/>
    </row>
    <row r="3655" spans="1:26" ht="15" customHeight="1">
      <c r="A3655" s="3">
        <v>41018</v>
      </c>
      <c r="B3655" s="4">
        <v>49675</v>
      </c>
      <c r="C3655" s="4">
        <v>152100</v>
      </c>
      <c r="D3655" s="5">
        <v>67300</v>
      </c>
      <c r="E3655" s="5">
        <f t="shared" si="145"/>
        <v>101125</v>
      </c>
      <c r="F3655" s="5">
        <v>370200</v>
      </c>
      <c r="G3655" s="5">
        <v>0</v>
      </c>
      <c r="H3655" s="5">
        <v>1250</v>
      </c>
      <c r="I3655" s="5">
        <v>26975</v>
      </c>
      <c r="J3655" s="263">
        <f t="shared" si="146"/>
        <v>7.2866018368449484E-2</v>
      </c>
      <c r="K3655" s="24">
        <v>2039.5</v>
      </c>
      <c r="L3655" s="6">
        <v>2048</v>
      </c>
      <c r="M3655" s="270">
        <f t="shared" si="147"/>
        <v>8.5</v>
      </c>
      <c r="N3655" s="19"/>
      <c r="O3655" s="280"/>
      <c r="P3655" s="345">
        <v>15600</v>
      </c>
      <c r="Q3655" s="28">
        <f>180.33/1136.6</f>
        <v>0.15865739926095374</v>
      </c>
      <c r="U3655" s="29">
        <v>0.1</v>
      </c>
      <c r="W3655" s="741">
        <f t="shared" si="144"/>
        <v>2722.5609713179665</v>
      </c>
      <c r="Z3655" s="19"/>
    </row>
    <row r="3656" spans="1:26" ht="15" customHeight="1">
      <c r="A3656" s="3">
        <v>41019</v>
      </c>
      <c r="B3656" s="4">
        <v>49475</v>
      </c>
      <c r="C3656" s="4">
        <v>152100</v>
      </c>
      <c r="D3656" s="5">
        <v>66500</v>
      </c>
      <c r="E3656" s="5">
        <f t="shared" si="145"/>
        <v>101075</v>
      </c>
      <c r="F3656" s="5">
        <v>369150</v>
      </c>
      <c r="G3656" s="5">
        <v>0</v>
      </c>
      <c r="H3656" s="5">
        <v>1050</v>
      </c>
      <c r="I3656" s="5">
        <v>32575</v>
      </c>
      <c r="J3656" s="263">
        <f t="shared" si="146"/>
        <v>8.8243261546796695E-2</v>
      </c>
      <c r="K3656" s="24">
        <v>2100</v>
      </c>
      <c r="L3656" s="6">
        <v>2105</v>
      </c>
      <c r="M3656" s="270">
        <f t="shared" si="147"/>
        <v>5</v>
      </c>
      <c r="N3656" s="19"/>
      <c r="O3656" s="280"/>
      <c r="P3656" s="345">
        <v>15650</v>
      </c>
      <c r="Q3656" s="28">
        <f>180.92/1140.5</f>
        <v>0.15863217886891712</v>
      </c>
      <c r="U3656" s="29">
        <v>0.1</v>
      </c>
      <c r="W3656" s="741">
        <f t="shared" si="144"/>
        <v>2730.8529592284085</v>
      </c>
      <c r="Z3656" s="19"/>
    </row>
    <row r="3657" spans="1:26" ht="15" customHeight="1">
      <c r="A3657" s="3">
        <v>41022</v>
      </c>
      <c r="B3657" s="4">
        <v>49100</v>
      </c>
      <c r="C3657" s="4">
        <v>152100</v>
      </c>
      <c r="D3657" s="5">
        <v>65950</v>
      </c>
      <c r="E3657" s="5">
        <f t="shared" si="145"/>
        <v>101250</v>
      </c>
      <c r="F3657" s="5">
        <v>368400</v>
      </c>
      <c r="G3657" s="5">
        <v>300</v>
      </c>
      <c r="H3657" s="5">
        <v>1050</v>
      </c>
      <c r="I3657" s="5">
        <v>37150</v>
      </c>
      <c r="J3657" s="263">
        <f t="shared" si="146"/>
        <v>0.10084147665580891</v>
      </c>
      <c r="K3657" s="24">
        <v>2087</v>
      </c>
      <c r="L3657" s="6">
        <v>2088</v>
      </c>
      <c r="M3657" s="270">
        <f t="shared" si="147"/>
        <v>1</v>
      </c>
      <c r="N3657" s="19"/>
      <c r="O3657" s="280"/>
      <c r="P3657" s="345">
        <v>15700</v>
      </c>
      <c r="Q3657" s="28">
        <f>180.74/1140.2</f>
        <v>0.15851604981582179</v>
      </c>
      <c r="U3657" s="29">
        <v>0.1</v>
      </c>
      <c r="W3657" s="741">
        <f t="shared" si="144"/>
        <v>2737.5721803192428</v>
      </c>
      <c r="Z3657" s="19"/>
    </row>
    <row r="3658" spans="1:26" ht="15" customHeight="1">
      <c r="A3658" s="3">
        <v>41023</v>
      </c>
      <c r="B3658" s="4">
        <v>49100</v>
      </c>
      <c r="C3658" s="4">
        <v>152100</v>
      </c>
      <c r="D3658" s="5">
        <v>65150</v>
      </c>
      <c r="E3658" s="5">
        <f t="shared" si="145"/>
        <v>101025</v>
      </c>
      <c r="F3658" s="5">
        <v>367375</v>
      </c>
      <c r="G3658" s="5">
        <v>0</v>
      </c>
      <c r="H3658" s="5">
        <v>1025</v>
      </c>
      <c r="I3658" s="5">
        <v>46125</v>
      </c>
      <c r="J3658" s="263">
        <f t="shared" si="146"/>
        <v>0.12555290915277306</v>
      </c>
      <c r="K3658" s="24">
        <v>2080</v>
      </c>
      <c r="L3658" s="6">
        <v>2085</v>
      </c>
      <c r="M3658" s="270">
        <f t="shared" si="147"/>
        <v>5</v>
      </c>
      <c r="N3658" s="19"/>
      <c r="O3658" s="280"/>
      <c r="P3658" s="345">
        <v>15600</v>
      </c>
      <c r="Q3658" s="28">
        <f>180.53/1138.9</f>
        <v>0.15851259987707436</v>
      </c>
      <c r="U3658" s="29">
        <v>0.1</v>
      </c>
      <c r="W3658" s="741">
        <f t="shared" si="144"/>
        <v>2720.0762138905966</v>
      </c>
      <c r="Z3658" s="19"/>
    </row>
    <row r="3659" spans="1:26" ht="15" customHeight="1">
      <c r="A3659" s="3">
        <v>41024</v>
      </c>
      <c r="B3659" s="4">
        <v>49100</v>
      </c>
      <c r="C3659" s="4">
        <v>152000</v>
      </c>
      <c r="D3659" s="5">
        <v>64375</v>
      </c>
      <c r="E3659" s="5">
        <f t="shared" si="145"/>
        <v>101250</v>
      </c>
      <c r="F3659" s="5">
        <v>366725</v>
      </c>
      <c r="G3659" s="5">
        <v>300</v>
      </c>
      <c r="H3659" s="5">
        <v>950</v>
      </c>
      <c r="I3659" s="5">
        <v>55525</v>
      </c>
      <c r="J3659" s="263">
        <f t="shared" si="146"/>
        <v>0.1514077305883155</v>
      </c>
      <c r="K3659" s="24">
        <v>2083</v>
      </c>
      <c r="L3659" s="6">
        <v>2090.5</v>
      </c>
      <c r="M3659" s="270">
        <f t="shared" si="147"/>
        <v>7.5</v>
      </c>
      <c r="N3659" s="19"/>
      <c r="O3659" s="280"/>
      <c r="P3659" s="345">
        <v>15625</v>
      </c>
      <c r="Q3659" s="28">
        <f>180.93/1141.2</f>
        <v>0.15854363827549947</v>
      </c>
      <c r="U3659" s="29">
        <v>0.1</v>
      </c>
      <c r="W3659" s="741">
        <f t="shared" si="144"/>
        <v>2724.9687828601477</v>
      </c>
      <c r="Z3659" s="19"/>
    </row>
    <row r="3660" spans="1:26" ht="15" customHeight="1">
      <c r="A3660" s="3">
        <v>41025</v>
      </c>
      <c r="B3660" s="4">
        <v>49100</v>
      </c>
      <c r="C3660" s="4">
        <v>151975</v>
      </c>
      <c r="D3660" s="5">
        <v>63575</v>
      </c>
      <c r="E3660" s="5">
        <f t="shared" si="145"/>
        <v>100825</v>
      </c>
      <c r="F3660" s="5">
        <v>365475</v>
      </c>
      <c r="G3660" s="5">
        <v>850</v>
      </c>
      <c r="H3660" s="5">
        <v>2100</v>
      </c>
      <c r="I3660" s="5">
        <v>55975</v>
      </c>
      <c r="J3660" s="263">
        <f t="shared" si="146"/>
        <v>0.15315685067378071</v>
      </c>
      <c r="K3660" s="24">
        <v>2113</v>
      </c>
      <c r="L3660" s="6">
        <v>2115</v>
      </c>
      <c r="M3660" s="270">
        <f t="shared" si="147"/>
        <v>2</v>
      </c>
      <c r="N3660" s="19"/>
      <c r="O3660" s="280"/>
      <c r="P3660" s="345">
        <v>15625</v>
      </c>
      <c r="Q3660" s="28">
        <f>180.74/1139.4</f>
        <v>0.15862734772687379</v>
      </c>
      <c r="U3660" s="29">
        <v>0.1</v>
      </c>
      <c r="W3660" s="741">
        <f t="shared" si="144"/>
        <v>2726.4075390556436</v>
      </c>
      <c r="Z3660" s="19"/>
    </row>
    <row r="3661" spans="1:26" ht="15" customHeight="1">
      <c r="A3661" s="3">
        <v>41026</v>
      </c>
      <c r="B3661" s="4">
        <v>49100</v>
      </c>
      <c r="C3661" s="4">
        <v>151625</v>
      </c>
      <c r="D3661" s="5">
        <v>62775</v>
      </c>
      <c r="E3661" s="5">
        <f t="shared" si="145"/>
        <v>99875</v>
      </c>
      <c r="F3661" s="5">
        <v>363375</v>
      </c>
      <c r="G3661" s="5">
        <v>625</v>
      </c>
      <c r="H3661" s="5">
        <v>2725</v>
      </c>
      <c r="I3661" s="5">
        <v>68650</v>
      </c>
      <c r="J3661" s="263">
        <f t="shared" si="146"/>
        <v>0.18892328861369109</v>
      </c>
      <c r="K3661" s="24">
        <v>2127</v>
      </c>
      <c r="L3661" s="6">
        <v>2137</v>
      </c>
      <c r="M3661" s="270">
        <f t="shared" si="147"/>
        <v>10</v>
      </c>
      <c r="N3661" s="19"/>
      <c r="O3661" s="280"/>
      <c r="P3661" s="345">
        <v>15700</v>
      </c>
      <c r="Q3661" s="28">
        <f>180.44/1137.8</f>
        <v>0.1585867463526103</v>
      </c>
      <c r="U3661" s="29">
        <v>0.1</v>
      </c>
      <c r="W3661" s="741">
        <f t="shared" si="144"/>
        <v>2738.7931095095801</v>
      </c>
      <c r="Z3661" s="19"/>
    </row>
    <row r="3662" spans="1:26" ht="15" customHeight="1">
      <c r="A3662" s="3">
        <v>41029</v>
      </c>
      <c r="B3662" s="4">
        <v>49100</v>
      </c>
      <c r="C3662" s="4">
        <v>148850</v>
      </c>
      <c r="D3662" s="5">
        <v>61525</v>
      </c>
      <c r="E3662" s="5">
        <f t="shared" si="145"/>
        <v>100025</v>
      </c>
      <c r="F3662" s="5">
        <v>359500</v>
      </c>
      <c r="G3662" s="5">
        <v>500</v>
      </c>
      <c r="H3662" s="5">
        <v>2100</v>
      </c>
      <c r="I3662" s="5">
        <v>86850</v>
      </c>
      <c r="J3662" s="263">
        <f t="shared" si="146"/>
        <v>0.2415855354659249</v>
      </c>
      <c r="K3662" s="24">
        <v>2156</v>
      </c>
      <c r="L3662" s="6">
        <v>2155</v>
      </c>
      <c r="M3662" s="270">
        <f t="shared" si="147"/>
        <v>-1</v>
      </c>
      <c r="N3662" s="255">
        <f>AVERAGE(K3642:K3662)</f>
        <v>2063.0526315789475</v>
      </c>
      <c r="O3662" s="290">
        <f>AVERAGE(K3575:K3662)</f>
        <v>2086.4337349397592</v>
      </c>
      <c r="P3662" s="383"/>
      <c r="Q3662" s="996" t="s">
        <v>122</v>
      </c>
      <c r="R3662" s="996"/>
      <c r="S3662" s="996"/>
      <c r="T3662" s="996"/>
      <c r="U3662" s="996"/>
      <c r="W3662" s="744"/>
      <c r="Z3662" s="19"/>
    </row>
    <row r="3663" spans="1:26" s="258" customFormat="1" ht="15" customHeight="1" thickBot="1">
      <c r="A3663" s="391"/>
      <c r="B3663" s="1002" t="s">
        <v>103</v>
      </c>
      <c r="C3663" s="1002"/>
      <c r="D3663" s="1002"/>
      <c r="E3663" s="1002"/>
      <c r="F3663" s="391"/>
      <c r="G3663" s="254">
        <f>SUM(G3642:G3662)</f>
        <v>12825</v>
      </c>
      <c r="H3663" s="254">
        <f>SUM(H3642:H3662)</f>
        <v>27625</v>
      </c>
      <c r="I3663" s="254"/>
      <c r="J3663" s="269"/>
      <c r="K3663" s="251"/>
      <c r="L3663" s="256"/>
      <c r="M3663" s="274"/>
      <c r="N3663" s="257"/>
      <c r="O3663" s="292"/>
      <c r="P3663" s="350"/>
      <c r="Q3663" s="299"/>
      <c r="R3663" s="299"/>
      <c r="S3663" s="299"/>
      <c r="T3663" s="299"/>
      <c r="U3663" s="300"/>
      <c r="V3663" s="298">
        <f>AVERAGE(P3642:P3662)</f>
        <v>15626.470588235294</v>
      </c>
      <c r="W3663" s="746"/>
    </row>
    <row r="3664" spans="1:26" ht="15" customHeight="1">
      <c r="A3664" s="36">
        <v>41030</v>
      </c>
      <c r="B3664" s="37">
        <v>49100</v>
      </c>
      <c r="C3664" s="38">
        <v>148850</v>
      </c>
      <c r="D3664" s="38">
        <v>61525</v>
      </c>
      <c r="E3664" s="38">
        <f t="shared" si="145"/>
        <v>100025</v>
      </c>
      <c r="F3664" s="38">
        <v>359500</v>
      </c>
      <c r="G3664" s="38">
        <v>500</v>
      </c>
      <c r="H3664" s="38">
        <v>2100</v>
      </c>
      <c r="I3664" s="38">
        <v>86850</v>
      </c>
      <c r="J3664" s="263">
        <f t="shared" si="146"/>
        <v>0.2415855354659249</v>
      </c>
      <c r="K3664" s="39">
        <v>2150.5</v>
      </c>
      <c r="L3664" s="40">
        <v>2155</v>
      </c>
      <c r="M3664" s="272">
        <f t="shared" si="147"/>
        <v>4.5</v>
      </c>
      <c r="N3664" s="21"/>
      <c r="O3664" s="283"/>
      <c r="P3664" s="384"/>
      <c r="Q3664" s="1010" t="s">
        <v>122</v>
      </c>
      <c r="R3664" s="1010"/>
      <c r="S3664" s="1010"/>
      <c r="T3664" s="1010"/>
      <c r="U3664" s="1010"/>
      <c r="V3664" s="45"/>
      <c r="W3664" s="743"/>
      <c r="Z3664" s="19"/>
    </row>
    <row r="3665" spans="1:26" ht="15" customHeight="1">
      <c r="A3665" s="3">
        <v>41031</v>
      </c>
      <c r="B3665" s="4">
        <v>49100</v>
      </c>
      <c r="C3665" s="5">
        <v>147850</v>
      </c>
      <c r="D3665" s="5">
        <v>61525</v>
      </c>
      <c r="E3665" s="5">
        <f t="shared" si="145"/>
        <v>102525</v>
      </c>
      <c r="F3665" s="5">
        <v>361000</v>
      </c>
      <c r="G3665" s="5">
        <v>1500</v>
      </c>
      <c r="H3665" s="5">
        <v>0</v>
      </c>
      <c r="I3665" s="5">
        <v>86875</v>
      </c>
      <c r="J3665" s="263">
        <f t="shared" si="146"/>
        <v>0.24065096952908588</v>
      </c>
      <c r="K3665" s="24">
        <v>2143.5</v>
      </c>
      <c r="L3665" s="6">
        <v>2150</v>
      </c>
      <c r="M3665" s="270">
        <f t="shared" si="147"/>
        <v>6.5</v>
      </c>
      <c r="N3665" s="19"/>
      <c r="O3665" s="280"/>
      <c r="P3665" s="345">
        <v>15750</v>
      </c>
      <c r="Q3665" s="28">
        <f>179.34/1131.6</f>
        <v>0.15848356309650055</v>
      </c>
      <c r="U3665" s="29">
        <v>0.1</v>
      </c>
      <c r="W3665" s="741">
        <f t="shared" ref="W3665:W3686" si="148">(P3665*Q3665)*(1+U3665)</f>
        <v>2745.7277306468723</v>
      </c>
      <c r="Z3665" s="19"/>
    </row>
    <row r="3666" spans="1:26" ht="15" customHeight="1">
      <c r="A3666" s="3">
        <v>41032</v>
      </c>
      <c r="B3666" s="4">
        <v>49100</v>
      </c>
      <c r="C3666" s="4">
        <v>147850</v>
      </c>
      <c r="D3666" s="5">
        <v>61525</v>
      </c>
      <c r="E3666" s="5">
        <f t="shared" si="145"/>
        <v>101850</v>
      </c>
      <c r="F3666" s="5">
        <v>360325</v>
      </c>
      <c r="G3666" s="5">
        <v>0</v>
      </c>
      <c r="H3666" s="5">
        <v>675</v>
      </c>
      <c r="I3666" s="5">
        <v>86375</v>
      </c>
      <c r="J3666" s="263">
        <f t="shared" si="146"/>
        <v>0.23971414695066953</v>
      </c>
      <c r="K3666" s="24">
        <v>2104.5</v>
      </c>
      <c r="L3666" s="6">
        <v>2110</v>
      </c>
      <c r="M3666" s="270">
        <f t="shared" si="147"/>
        <v>5.5</v>
      </c>
      <c r="N3666" s="19"/>
      <c r="O3666" s="280"/>
      <c r="P3666" s="345">
        <v>15700</v>
      </c>
      <c r="Q3666" s="28">
        <f>178.65/1126.9</f>
        <v>0.15853225663324164</v>
      </c>
      <c r="U3666" s="29">
        <v>0.1</v>
      </c>
      <c r="W3666" s="741">
        <f t="shared" si="148"/>
        <v>2737.8520720560832</v>
      </c>
      <c r="Z3666" s="19"/>
    </row>
    <row r="3667" spans="1:26" ht="15" customHeight="1">
      <c r="A3667" s="3">
        <v>41033</v>
      </c>
      <c r="B3667" s="4">
        <v>48525</v>
      </c>
      <c r="C3667" s="4">
        <v>147175</v>
      </c>
      <c r="D3667" s="5">
        <v>61525</v>
      </c>
      <c r="E3667" s="5">
        <f t="shared" si="145"/>
        <v>101200</v>
      </c>
      <c r="F3667" s="5">
        <v>358425</v>
      </c>
      <c r="G3667" s="5">
        <v>0</v>
      </c>
      <c r="H3667" s="5">
        <v>1900</v>
      </c>
      <c r="I3667" s="5">
        <v>86675</v>
      </c>
      <c r="J3667" s="263">
        <f t="shared" si="146"/>
        <v>0.24182185952430774</v>
      </c>
      <c r="K3667" s="24">
        <v>2080</v>
      </c>
      <c r="L3667" s="6">
        <v>2090</v>
      </c>
      <c r="M3667" s="270">
        <f t="shared" si="147"/>
        <v>10</v>
      </c>
      <c r="N3667" s="19"/>
      <c r="O3667" s="280"/>
      <c r="P3667" s="345">
        <v>15650</v>
      </c>
      <c r="Q3667" s="28">
        <f>179.22/1130</f>
        <v>0.15860176991150443</v>
      </c>
      <c r="U3667" s="29">
        <v>0.1</v>
      </c>
      <c r="W3667" s="741">
        <f t="shared" si="148"/>
        <v>2730.3294690265488</v>
      </c>
      <c r="Z3667" s="19"/>
    </row>
    <row r="3668" spans="1:26" ht="15" customHeight="1">
      <c r="A3668" s="3">
        <v>41036</v>
      </c>
      <c r="C3668" s="26"/>
      <c r="D3668" s="26"/>
      <c r="E3668" s="26"/>
      <c r="F3668" s="26"/>
      <c r="G3668" s="1003" t="s">
        <v>73</v>
      </c>
      <c r="H3668" s="1003"/>
      <c r="I3668" s="1003"/>
      <c r="J3668" s="1003"/>
      <c r="K3668" s="26"/>
      <c r="L3668" s="26"/>
      <c r="M3668" s="26"/>
      <c r="N3668" s="19"/>
      <c r="O3668" s="280"/>
      <c r="P3668" s="345">
        <v>15575</v>
      </c>
      <c r="Q3668" s="28">
        <f>179.43/1131.5</f>
        <v>0.15857711003093239</v>
      </c>
      <c r="U3668" s="29">
        <v>0.1</v>
      </c>
      <c r="W3668" s="741">
        <f t="shared" si="148"/>
        <v>2716.8223376049496</v>
      </c>
      <c r="Z3668" s="19"/>
    </row>
    <row r="3669" spans="1:26" ht="15" customHeight="1">
      <c r="A3669" s="3">
        <v>41037</v>
      </c>
      <c r="B3669" s="4">
        <v>48075</v>
      </c>
      <c r="C3669" s="4">
        <v>145875</v>
      </c>
      <c r="D3669" s="5">
        <v>61525</v>
      </c>
      <c r="E3669" s="5">
        <f t="shared" si="145"/>
        <v>101050</v>
      </c>
      <c r="F3669" s="5">
        <v>356525</v>
      </c>
      <c r="G3669" s="5">
        <v>100</v>
      </c>
      <c r="H3669" s="5">
        <v>2000</v>
      </c>
      <c r="I3669" s="5">
        <v>84675</v>
      </c>
      <c r="J3669" s="263">
        <f t="shared" si="146"/>
        <v>0.23750087651637333</v>
      </c>
      <c r="K3669" s="24">
        <v>2077.5</v>
      </c>
      <c r="L3669" s="6">
        <v>2085</v>
      </c>
      <c r="M3669" s="270">
        <f t="shared" si="147"/>
        <v>7.5</v>
      </c>
      <c r="N3669" s="19"/>
      <c r="O3669" s="280"/>
      <c r="P3669" s="345">
        <v>15600</v>
      </c>
      <c r="Q3669" s="28">
        <f>180.55/1138.9</f>
        <v>0.15853016068135919</v>
      </c>
      <c r="U3669" s="29">
        <v>0.1</v>
      </c>
      <c r="W3669" s="741">
        <f t="shared" si="148"/>
        <v>2720.377557292124</v>
      </c>
      <c r="Z3669" s="19"/>
    </row>
    <row r="3670" spans="1:26" ht="15" customHeight="1">
      <c r="A3670" s="3">
        <v>41038</v>
      </c>
      <c r="B3670" s="4">
        <v>48075</v>
      </c>
      <c r="C3670" s="4">
        <v>144325</v>
      </c>
      <c r="D3670" s="5">
        <v>61525</v>
      </c>
      <c r="E3670" s="5">
        <f t="shared" si="145"/>
        <v>99900</v>
      </c>
      <c r="F3670" s="5">
        <v>353825</v>
      </c>
      <c r="G3670" s="5">
        <v>300</v>
      </c>
      <c r="H3670" s="5">
        <v>3000</v>
      </c>
      <c r="I3670" s="5">
        <v>83250</v>
      </c>
      <c r="J3670" s="263">
        <f t="shared" si="146"/>
        <v>0.2352858051296545</v>
      </c>
      <c r="K3670" s="24">
        <v>2036</v>
      </c>
      <c r="L3670" s="6">
        <v>2047</v>
      </c>
      <c r="M3670" s="270">
        <f t="shared" si="147"/>
        <v>11</v>
      </c>
      <c r="N3670" s="19"/>
      <c r="O3670" s="280"/>
      <c r="P3670" s="345">
        <v>15550</v>
      </c>
      <c r="Q3670" s="28">
        <f>180.04/1135.7</f>
        <v>0.15852778022365061</v>
      </c>
      <c r="U3670" s="29">
        <v>0.1</v>
      </c>
      <c r="W3670" s="741">
        <f t="shared" si="148"/>
        <v>2711.6176807255438</v>
      </c>
      <c r="Z3670" s="19"/>
    </row>
    <row r="3671" spans="1:26" ht="15" customHeight="1">
      <c r="A3671" s="3">
        <v>41039</v>
      </c>
      <c r="B3671" s="4">
        <v>48075</v>
      </c>
      <c r="C3671" s="4">
        <v>141550</v>
      </c>
      <c r="D3671" s="5">
        <v>61525</v>
      </c>
      <c r="E3671" s="5">
        <f t="shared" si="145"/>
        <v>101525</v>
      </c>
      <c r="F3671" s="5">
        <v>352675</v>
      </c>
      <c r="G3671" s="5">
        <v>25</v>
      </c>
      <c r="H3671" s="5">
        <v>1175</v>
      </c>
      <c r="I3671" s="5">
        <v>82075</v>
      </c>
      <c r="J3671" s="263">
        <f t="shared" si="146"/>
        <v>0.23272134401361028</v>
      </c>
      <c r="K3671" s="24">
        <v>2063</v>
      </c>
      <c r="L3671" s="6">
        <v>2076.5</v>
      </c>
      <c r="M3671" s="270">
        <f t="shared" si="147"/>
        <v>13.5</v>
      </c>
      <c r="N3671" s="19"/>
      <c r="O3671" s="280"/>
      <c r="P3671" s="345">
        <v>15550</v>
      </c>
      <c r="Q3671" s="28">
        <f>180.66/1140</f>
        <v>0.15847368421052632</v>
      </c>
      <c r="U3671" s="29">
        <v>0.1</v>
      </c>
      <c r="W3671" s="741">
        <f t="shared" si="148"/>
        <v>2710.6923684210533</v>
      </c>
      <c r="Z3671" s="19"/>
    </row>
    <row r="3672" spans="1:26" ht="15" customHeight="1">
      <c r="A3672" s="3">
        <v>41040</v>
      </c>
      <c r="B3672" s="4">
        <v>48075</v>
      </c>
      <c r="C3672" s="4">
        <v>141050</v>
      </c>
      <c r="D3672" s="5">
        <v>61525</v>
      </c>
      <c r="E3672" s="5">
        <f t="shared" si="145"/>
        <v>101875</v>
      </c>
      <c r="F3672" s="5">
        <v>352525</v>
      </c>
      <c r="G3672" s="5">
        <v>200</v>
      </c>
      <c r="H3672" s="5">
        <v>350</v>
      </c>
      <c r="I3672" s="5">
        <v>81725</v>
      </c>
      <c r="J3672" s="263">
        <f t="shared" si="146"/>
        <v>0.23182752996241401</v>
      </c>
      <c r="K3672" s="24">
        <v>2053</v>
      </c>
      <c r="L3672" s="6">
        <v>2065</v>
      </c>
      <c r="M3672" s="270">
        <f t="shared" si="147"/>
        <v>12</v>
      </c>
      <c r="N3672" s="19"/>
      <c r="O3672" s="280"/>
      <c r="P3672" s="345">
        <v>15500</v>
      </c>
      <c r="Q3672" s="28">
        <f>180.94/1142.5</f>
        <v>0.15837199124726478</v>
      </c>
      <c r="U3672" s="29">
        <v>0.1</v>
      </c>
      <c r="W3672" s="741">
        <f t="shared" si="148"/>
        <v>2700.2424507658648</v>
      </c>
      <c r="Z3672" s="19"/>
    </row>
    <row r="3673" spans="1:26" ht="15" customHeight="1">
      <c r="A3673" s="3">
        <v>41043</v>
      </c>
      <c r="B3673" s="4">
        <v>48075</v>
      </c>
      <c r="C3673" s="4">
        <v>141050</v>
      </c>
      <c r="D3673" s="5">
        <v>61525</v>
      </c>
      <c r="E3673" s="5">
        <f t="shared" si="145"/>
        <v>101625</v>
      </c>
      <c r="F3673" s="5">
        <v>352275</v>
      </c>
      <c r="G3673" s="5">
        <v>100</v>
      </c>
      <c r="H3673" s="5">
        <v>350</v>
      </c>
      <c r="I3673" s="5">
        <v>81475</v>
      </c>
      <c r="J3673" s="263">
        <f t="shared" si="146"/>
        <v>0.23128237882336242</v>
      </c>
      <c r="K3673" s="24">
        <v>2026.5</v>
      </c>
      <c r="L3673" s="6">
        <v>2036</v>
      </c>
      <c r="M3673" s="270">
        <f t="shared" si="147"/>
        <v>9.5</v>
      </c>
      <c r="N3673" s="19"/>
      <c r="O3673" s="280"/>
      <c r="P3673" s="345">
        <v>15500</v>
      </c>
      <c r="Q3673" s="28">
        <f>181.48/1145.2</f>
        <v>0.15847013622074746</v>
      </c>
      <c r="U3673" s="29">
        <v>0.1</v>
      </c>
      <c r="W3673" s="741">
        <f t="shared" si="148"/>
        <v>2701.9158225637443</v>
      </c>
      <c r="Z3673" s="19"/>
    </row>
    <row r="3674" spans="1:26" ht="15" customHeight="1">
      <c r="A3674" s="3">
        <v>41044</v>
      </c>
      <c r="B3674" s="4">
        <v>48075</v>
      </c>
      <c r="C3674" s="4">
        <v>140800</v>
      </c>
      <c r="D3674" s="5">
        <v>68000</v>
      </c>
      <c r="E3674" s="5">
        <f t="shared" si="145"/>
        <v>102225</v>
      </c>
      <c r="F3674" s="5">
        <v>359100</v>
      </c>
      <c r="G3674" s="5">
        <v>6925</v>
      </c>
      <c r="H3674" s="5">
        <v>100</v>
      </c>
      <c r="I3674" s="5">
        <v>81375</v>
      </c>
      <c r="J3674" s="263">
        <f t="shared" si="146"/>
        <v>0.22660818713450293</v>
      </c>
      <c r="K3674" s="24">
        <v>2016.5</v>
      </c>
      <c r="L3674" s="6">
        <v>2020</v>
      </c>
      <c r="M3674" s="270">
        <f t="shared" si="147"/>
        <v>3.5</v>
      </c>
      <c r="N3674" s="19"/>
      <c r="O3674" s="280"/>
      <c r="P3674" s="345">
        <v>15450</v>
      </c>
      <c r="Q3674" s="28">
        <f>181.72/1148.7</f>
        <v>0.15819622181596588</v>
      </c>
      <c r="U3674" s="29">
        <v>0.1</v>
      </c>
      <c r="W3674" s="741">
        <f t="shared" si="148"/>
        <v>2688.5447897623403</v>
      </c>
      <c r="Z3674" s="19"/>
    </row>
    <row r="3675" spans="1:26" ht="15" customHeight="1">
      <c r="A3675" s="3">
        <v>41045</v>
      </c>
      <c r="B3675" s="4">
        <v>48075</v>
      </c>
      <c r="C3675" s="4">
        <v>141250</v>
      </c>
      <c r="D3675" s="5">
        <v>68000</v>
      </c>
      <c r="E3675" s="5">
        <f t="shared" si="145"/>
        <v>101700</v>
      </c>
      <c r="F3675" s="5">
        <v>359025</v>
      </c>
      <c r="G3675" s="5">
        <v>0</v>
      </c>
      <c r="H3675" s="5">
        <v>75</v>
      </c>
      <c r="I3675" s="5">
        <v>81500</v>
      </c>
      <c r="J3675" s="263">
        <f t="shared" si="146"/>
        <v>0.2270036905507973</v>
      </c>
      <c r="K3675" s="24">
        <v>1973</v>
      </c>
      <c r="L3675" s="6">
        <v>1984</v>
      </c>
      <c r="M3675" s="270">
        <f t="shared" si="147"/>
        <v>11</v>
      </c>
      <c r="N3675" s="19"/>
      <c r="O3675" s="280"/>
      <c r="P3675" s="345">
        <v>15400</v>
      </c>
      <c r="Q3675" s="28">
        <f>182.67/1154.1</f>
        <v>0.15827917858071225</v>
      </c>
      <c r="U3675" s="29">
        <v>0.1</v>
      </c>
      <c r="W3675" s="741">
        <f t="shared" si="148"/>
        <v>2681.2492851572656</v>
      </c>
      <c r="Z3675" s="19"/>
    </row>
    <row r="3676" spans="1:26" ht="15" customHeight="1">
      <c r="A3676" s="3">
        <v>41046</v>
      </c>
      <c r="B3676" s="4">
        <v>48075</v>
      </c>
      <c r="C3676" s="4">
        <v>141250</v>
      </c>
      <c r="D3676" s="5">
        <v>68000</v>
      </c>
      <c r="E3676" s="5">
        <f t="shared" si="145"/>
        <v>101650</v>
      </c>
      <c r="F3676" s="5">
        <v>358975</v>
      </c>
      <c r="G3676" s="5">
        <v>0</v>
      </c>
      <c r="H3676" s="5">
        <v>50</v>
      </c>
      <c r="I3676" s="5">
        <v>81450</v>
      </c>
      <c r="J3676" s="263">
        <f t="shared" si="146"/>
        <v>0.22689602339995821</v>
      </c>
      <c r="K3676" s="24">
        <v>1930</v>
      </c>
      <c r="L3676" s="6">
        <v>1941</v>
      </c>
      <c r="M3676" s="270">
        <f t="shared" si="147"/>
        <v>11</v>
      </c>
      <c r="N3676" s="19"/>
      <c r="O3676" s="280"/>
      <c r="P3676" s="345">
        <v>15300</v>
      </c>
      <c r="Q3676" s="28">
        <f>183.78/1161.9</f>
        <v>0.15817195972114639</v>
      </c>
      <c r="U3676" s="29">
        <v>0.1</v>
      </c>
      <c r="W3676" s="741">
        <f t="shared" si="148"/>
        <v>2662.0340821068939</v>
      </c>
      <c r="Z3676" s="19"/>
    </row>
    <row r="3677" spans="1:26" ht="15" customHeight="1">
      <c r="A3677" s="3">
        <v>41047</v>
      </c>
      <c r="B3677" s="4">
        <v>48075</v>
      </c>
      <c r="C3677" s="4">
        <v>141250</v>
      </c>
      <c r="D3677" s="5">
        <v>68000</v>
      </c>
      <c r="E3677" s="5">
        <f t="shared" si="145"/>
        <v>100600</v>
      </c>
      <c r="F3677" s="5">
        <v>357925</v>
      </c>
      <c r="G3677" s="5">
        <v>0</v>
      </c>
      <c r="H3677" s="5">
        <v>1050</v>
      </c>
      <c r="I3677" s="5">
        <v>80600</v>
      </c>
      <c r="J3677" s="263">
        <f t="shared" si="146"/>
        <v>0.22518684081860724</v>
      </c>
      <c r="K3677" s="24">
        <v>1950</v>
      </c>
      <c r="L3677" s="6">
        <v>1959</v>
      </c>
      <c r="M3677" s="270">
        <f t="shared" si="147"/>
        <v>9</v>
      </c>
      <c r="N3677" s="19"/>
      <c r="O3677" s="280"/>
      <c r="P3677" s="345">
        <v>15200</v>
      </c>
      <c r="Q3677" s="28">
        <f>183.88/1163.2</f>
        <v>0.15808115543328746</v>
      </c>
      <c r="U3677" s="29">
        <v>0.1</v>
      </c>
      <c r="W3677" s="741">
        <f t="shared" si="148"/>
        <v>2643.1169188445665</v>
      </c>
      <c r="Z3677" s="19"/>
    </row>
    <row r="3678" spans="1:26" ht="15" customHeight="1">
      <c r="A3678" s="3">
        <v>41050</v>
      </c>
      <c r="B3678" s="4">
        <v>48075</v>
      </c>
      <c r="C3678" s="4">
        <v>140200</v>
      </c>
      <c r="D3678" s="5">
        <v>68000</v>
      </c>
      <c r="E3678" s="5">
        <f t="shared" si="145"/>
        <v>101725</v>
      </c>
      <c r="F3678" s="5">
        <v>358000</v>
      </c>
      <c r="G3678" s="5">
        <v>1275</v>
      </c>
      <c r="H3678" s="5">
        <v>1200</v>
      </c>
      <c r="I3678" s="5">
        <v>79400</v>
      </c>
      <c r="J3678" s="263">
        <f t="shared" si="146"/>
        <v>0.22178770949720669</v>
      </c>
      <c r="K3678" s="24">
        <v>1942</v>
      </c>
      <c r="L3678" s="6">
        <v>1956</v>
      </c>
      <c r="M3678" s="270">
        <f t="shared" si="147"/>
        <v>14</v>
      </c>
      <c r="N3678" s="19"/>
      <c r="O3678" s="280"/>
      <c r="P3678" s="345">
        <v>15250</v>
      </c>
      <c r="Q3678" s="28">
        <f>185.38/1173.1</f>
        <v>0.15802574375586054</v>
      </c>
      <c r="U3678" s="29">
        <v>0.1</v>
      </c>
      <c r="W3678" s="741">
        <f t="shared" si="148"/>
        <v>2650.8818515045605</v>
      </c>
      <c r="Z3678" s="19"/>
    </row>
    <row r="3679" spans="1:26" ht="15" customHeight="1">
      <c r="A3679" s="3">
        <v>41051</v>
      </c>
      <c r="B3679" s="4">
        <v>48075</v>
      </c>
      <c r="C3679" s="4">
        <v>139925</v>
      </c>
      <c r="D3679" s="5">
        <v>68000</v>
      </c>
      <c r="E3679" s="5">
        <f t="shared" si="145"/>
        <v>101300</v>
      </c>
      <c r="F3679" s="5">
        <v>357300</v>
      </c>
      <c r="G3679" s="5">
        <v>0</v>
      </c>
      <c r="H3679" s="5">
        <v>700</v>
      </c>
      <c r="I3679" s="5">
        <v>78700</v>
      </c>
      <c r="J3679" s="263">
        <f t="shared" si="146"/>
        <v>0.22026308424293312</v>
      </c>
      <c r="K3679" s="24">
        <v>1928.5</v>
      </c>
      <c r="L3679" s="6">
        <v>1940</v>
      </c>
      <c r="M3679" s="270">
        <f t="shared" si="147"/>
        <v>11.5</v>
      </c>
      <c r="N3679" s="19"/>
      <c r="O3679" s="280"/>
      <c r="P3679" s="345">
        <v>15275</v>
      </c>
      <c r="Q3679" s="28">
        <f>184.37/1166.7</f>
        <v>0.15802691351675666</v>
      </c>
      <c r="U3679" s="29">
        <v>0.1</v>
      </c>
      <c r="W3679" s="741">
        <f t="shared" si="148"/>
        <v>2655.247214365304</v>
      </c>
      <c r="Z3679" s="19"/>
    </row>
    <row r="3680" spans="1:26" ht="15" customHeight="1">
      <c r="A3680" s="3">
        <v>41052</v>
      </c>
      <c r="B3680" s="4">
        <v>48075</v>
      </c>
      <c r="C3680" s="4">
        <v>139300</v>
      </c>
      <c r="D3680" s="5">
        <v>68000</v>
      </c>
      <c r="E3680" s="5">
        <f t="shared" si="145"/>
        <v>98075</v>
      </c>
      <c r="F3680" s="5">
        <v>353450</v>
      </c>
      <c r="G3680" s="5">
        <v>0</v>
      </c>
      <c r="H3680" s="5">
        <v>3850</v>
      </c>
      <c r="I3680" s="5">
        <v>75050</v>
      </c>
      <c r="J3680" s="263">
        <f t="shared" si="146"/>
        <v>0.21233554958268497</v>
      </c>
      <c r="K3680" s="24">
        <v>1922</v>
      </c>
      <c r="L3680" s="6">
        <v>1934</v>
      </c>
      <c r="M3680" s="270">
        <f t="shared" si="147"/>
        <v>12</v>
      </c>
      <c r="N3680" s="19"/>
      <c r="O3680" s="280"/>
      <c r="P3680" s="345">
        <v>15250</v>
      </c>
      <c r="Q3680" s="28">
        <f>184.08/1163.9</f>
        <v>0.15815791734685111</v>
      </c>
      <c r="U3680" s="29">
        <v>0.1</v>
      </c>
      <c r="W3680" s="741">
        <f t="shared" si="148"/>
        <v>2653.0990634934274</v>
      </c>
      <c r="Z3680" s="19"/>
    </row>
    <row r="3681" spans="1:26" ht="15" customHeight="1">
      <c r="A3681" s="3">
        <v>41053</v>
      </c>
      <c r="B3681" s="4">
        <v>48075</v>
      </c>
      <c r="C3681" s="4">
        <v>137650</v>
      </c>
      <c r="D3681" s="5">
        <v>68000</v>
      </c>
      <c r="E3681" s="5">
        <f t="shared" si="145"/>
        <v>98825</v>
      </c>
      <c r="F3681" s="5">
        <v>352550</v>
      </c>
      <c r="G3681" s="5">
        <v>50</v>
      </c>
      <c r="H3681" s="5">
        <v>950</v>
      </c>
      <c r="I3681" s="5">
        <v>74100</v>
      </c>
      <c r="J3681" s="263">
        <f t="shared" si="146"/>
        <v>0.21018295277265636</v>
      </c>
      <c r="K3681" s="24">
        <v>1934</v>
      </c>
      <c r="L3681" s="6">
        <v>1947</v>
      </c>
      <c r="M3681" s="270">
        <f t="shared" si="147"/>
        <v>13</v>
      </c>
      <c r="N3681" s="19"/>
      <c r="P3681" s="345">
        <v>15200</v>
      </c>
      <c r="Q3681" s="28">
        <f>184.96/1171.7</f>
        <v>0.15785610651190579</v>
      </c>
      <c r="U3681" s="29">
        <v>0.1</v>
      </c>
      <c r="W3681" s="741">
        <f t="shared" si="148"/>
        <v>2639.3541008790648</v>
      </c>
      <c r="Z3681" s="19"/>
    </row>
    <row r="3682" spans="1:26" ht="15" customHeight="1">
      <c r="A3682" s="3">
        <v>41054</v>
      </c>
      <c r="B3682" s="4">
        <v>48075</v>
      </c>
      <c r="C3682" s="4">
        <v>136800</v>
      </c>
      <c r="D3682" s="5">
        <v>68000</v>
      </c>
      <c r="E3682" s="5">
        <f t="shared" si="145"/>
        <v>96325</v>
      </c>
      <c r="F3682" s="5">
        <v>349200</v>
      </c>
      <c r="G3682" s="5">
        <v>300</v>
      </c>
      <c r="H3682" s="5">
        <v>3650</v>
      </c>
      <c r="I3682" s="5">
        <v>70500</v>
      </c>
      <c r="J3682" s="263">
        <f t="shared" si="146"/>
        <v>0.20189003436426117</v>
      </c>
      <c r="K3682" s="24">
        <v>1945</v>
      </c>
      <c r="L3682" s="6">
        <v>1958</v>
      </c>
      <c r="M3682" s="270">
        <f t="shared" si="147"/>
        <v>13</v>
      </c>
      <c r="N3682" s="19"/>
      <c r="O3682" s="280"/>
      <c r="P3682" s="345">
        <v>15200</v>
      </c>
      <c r="Q3682" s="28">
        <f>185.54/1177.2</f>
        <v>0.1576112810057764</v>
      </c>
      <c r="U3682" s="29">
        <v>0.1</v>
      </c>
      <c r="W3682" s="741">
        <f t="shared" si="148"/>
        <v>2635.2606184165816</v>
      </c>
      <c r="Z3682" s="19"/>
    </row>
    <row r="3683" spans="1:26" ht="15" customHeight="1">
      <c r="A3683" s="3">
        <v>41057</v>
      </c>
      <c r="B3683" s="4">
        <v>48075</v>
      </c>
      <c r="C3683" s="4">
        <v>136800</v>
      </c>
      <c r="D3683" s="5">
        <v>68000</v>
      </c>
      <c r="E3683" s="5">
        <f t="shared" si="145"/>
        <v>99925</v>
      </c>
      <c r="F3683" s="5">
        <v>352800</v>
      </c>
      <c r="G3683" s="5">
        <v>4325</v>
      </c>
      <c r="H3683" s="5">
        <v>725</v>
      </c>
      <c r="I3683" s="5">
        <v>70500</v>
      </c>
      <c r="J3683" s="263">
        <f t="shared" si="146"/>
        <v>0.19982993197278912</v>
      </c>
      <c r="K3683" s="24">
        <v>1933.5</v>
      </c>
      <c r="L3683" s="6">
        <v>1950</v>
      </c>
      <c r="M3683" s="270">
        <f t="shared" si="147"/>
        <v>16.5</v>
      </c>
      <c r="N3683" s="19"/>
      <c r="O3683" s="280"/>
      <c r="P3683" s="345">
        <v>15200</v>
      </c>
      <c r="Q3683" s="28">
        <f>185.54/1177.2</f>
        <v>0.1576112810057764</v>
      </c>
      <c r="U3683" s="29">
        <v>0.1</v>
      </c>
      <c r="W3683" s="741">
        <f t="shared" si="148"/>
        <v>2635.2606184165816</v>
      </c>
      <c r="Z3683" s="19"/>
    </row>
    <row r="3684" spans="1:26" ht="15" customHeight="1">
      <c r="A3684" s="3">
        <v>41058</v>
      </c>
      <c r="B3684" s="4">
        <v>48075</v>
      </c>
      <c r="C3684" s="4">
        <v>140925</v>
      </c>
      <c r="D3684" s="5">
        <v>68000</v>
      </c>
      <c r="E3684" s="5">
        <f t="shared" si="145"/>
        <v>93825</v>
      </c>
      <c r="F3684" s="5">
        <v>350825</v>
      </c>
      <c r="G3684" s="5">
        <v>0</v>
      </c>
      <c r="H3684" s="5">
        <v>1975</v>
      </c>
      <c r="I3684" s="5">
        <v>68525</v>
      </c>
      <c r="J3684" s="263">
        <f t="shared" si="146"/>
        <v>0.19532530463906506</v>
      </c>
      <c r="K3684" s="24">
        <v>1932</v>
      </c>
      <c r="L3684" s="6">
        <v>1945</v>
      </c>
      <c r="M3684" s="270">
        <f t="shared" si="147"/>
        <v>13</v>
      </c>
      <c r="N3684" s="19"/>
      <c r="O3684" s="280"/>
      <c r="P3684" s="345">
        <v>15250</v>
      </c>
      <c r="Q3684" s="28">
        <f>186.03/1180.4</f>
        <v>0.15759911894273126</v>
      </c>
      <c r="U3684" s="29">
        <v>0.1</v>
      </c>
      <c r="W3684" s="741">
        <f t="shared" si="148"/>
        <v>2643.7252202643172</v>
      </c>
      <c r="Z3684" s="19"/>
    </row>
    <row r="3685" spans="1:26" ht="15" customHeight="1">
      <c r="A3685" s="3">
        <v>41059</v>
      </c>
      <c r="B3685" s="4">
        <v>48075</v>
      </c>
      <c r="C3685" s="4">
        <v>140925</v>
      </c>
      <c r="D3685" s="5">
        <v>68000</v>
      </c>
      <c r="E3685" s="5">
        <f t="shared" si="145"/>
        <v>92525</v>
      </c>
      <c r="F3685" s="5">
        <v>349525</v>
      </c>
      <c r="G3685" s="5">
        <v>1350</v>
      </c>
      <c r="H3685" s="5">
        <v>2650</v>
      </c>
      <c r="I3685" s="5">
        <v>65900</v>
      </c>
      <c r="J3685" s="263">
        <f t="shared" si="146"/>
        <v>0.18854159216078964</v>
      </c>
      <c r="K3685" s="24">
        <v>1912.5</v>
      </c>
      <c r="L3685" s="6">
        <v>1929.5</v>
      </c>
      <c r="M3685" s="270">
        <f t="shared" si="147"/>
        <v>17</v>
      </c>
      <c r="N3685" s="19"/>
      <c r="O3685" s="280"/>
      <c r="P3685" s="345">
        <v>15175</v>
      </c>
      <c r="Q3685" s="28">
        <f>185.66/1178.6</f>
        <v>0.15752587816052946</v>
      </c>
      <c r="U3685" s="29">
        <v>0.1</v>
      </c>
      <c r="W3685" s="741">
        <f t="shared" si="148"/>
        <v>2629.5007211946381</v>
      </c>
      <c r="Z3685" s="19"/>
    </row>
    <row r="3686" spans="1:26" ht="15" customHeight="1">
      <c r="A3686" s="3">
        <v>41060</v>
      </c>
      <c r="B3686" s="4">
        <v>48075</v>
      </c>
      <c r="C3686" s="4">
        <v>142025</v>
      </c>
      <c r="D3686" s="5">
        <v>68000</v>
      </c>
      <c r="E3686" s="5">
        <f t="shared" si="145"/>
        <v>91475</v>
      </c>
      <c r="F3686" s="5">
        <v>349575</v>
      </c>
      <c r="G3686" s="5">
        <v>2500</v>
      </c>
      <c r="H3686" s="5">
        <v>2450</v>
      </c>
      <c r="I3686" s="5">
        <v>65125</v>
      </c>
      <c r="J3686" s="263">
        <f t="shared" si="146"/>
        <v>0.18629764714295929</v>
      </c>
      <c r="K3686" s="24">
        <v>1922.5</v>
      </c>
      <c r="L3686" s="6">
        <v>1941</v>
      </c>
      <c r="M3686" s="270">
        <f t="shared" si="147"/>
        <v>18.5</v>
      </c>
      <c r="N3686" s="255">
        <f>AVERAGE(K3664:K3686)</f>
        <v>1998.909090909091</v>
      </c>
      <c r="O3686" s="290">
        <f>AVERAGE(K3575:K3686)</f>
        <v>2068.0952380952381</v>
      </c>
      <c r="P3686" s="345">
        <v>15100</v>
      </c>
      <c r="Q3686" s="28">
        <f>185.25/1177.8</f>
        <v>0.15728476821192053</v>
      </c>
      <c r="U3686" s="29">
        <v>0.1</v>
      </c>
      <c r="W3686" s="741">
        <f t="shared" si="148"/>
        <v>2612.5</v>
      </c>
      <c r="Z3686" s="19"/>
    </row>
    <row r="3687" spans="1:26" s="258" customFormat="1" ht="15" customHeight="1" thickBot="1">
      <c r="A3687" s="391"/>
      <c r="B3687" s="1002" t="s">
        <v>103</v>
      </c>
      <c r="C3687" s="1002"/>
      <c r="D3687" s="1002"/>
      <c r="E3687" s="1002"/>
      <c r="F3687" s="391"/>
      <c r="G3687" s="254">
        <f>SUM(G3664:G3686)</f>
        <v>19450</v>
      </c>
      <c r="H3687" s="254">
        <f>SUM(H3664:H3686)</f>
        <v>30975</v>
      </c>
      <c r="I3687" s="254"/>
      <c r="J3687" s="269"/>
      <c r="K3687" s="251"/>
      <c r="L3687" s="256"/>
      <c r="M3687" s="274"/>
      <c r="N3687" s="257"/>
      <c r="O3687" s="292"/>
      <c r="P3687" s="350"/>
      <c r="Q3687" s="299"/>
      <c r="R3687" s="299"/>
      <c r="S3687" s="299"/>
      <c r="T3687" s="299"/>
      <c r="U3687" s="300"/>
      <c r="V3687" s="298">
        <f>AVERAGE(P3665:P3686)</f>
        <v>15392.045454545454</v>
      </c>
      <c r="W3687" s="746"/>
    </row>
    <row r="3688" spans="1:26" ht="15" customHeight="1">
      <c r="A3688" s="36">
        <v>41061</v>
      </c>
      <c r="B3688" s="37">
        <v>48075</v>
      </c>
      <c r="C3688" s="37">
        <v>142075</v>
      </c>
      <c r="D3688" s="38">
        <v>68000</v>
      </c>
      <c r="E3688" s="38">
        <f t="shared" si="145"/>
        <v>90025</v>
      </c>
      <c r="F3688" s="38">
        <v>348175</v>
      </c>
      <c r="G3688" s="38">
        <v>500</v>
      </c>
      <c r="H3688" s="38">
        <v>1900</v>
      </c>
      <c r="I3688" s="38">
        <v>63225</v>
      </c>
      <c r="J3688" s="263">
        <f t="shared" si="146"/>
        <v>0.18158971781431751</v>
      </c>
      <c r="K3688" s="39">
        <v>1880.5</v>
      </c>
      <c r="L3688" s="40">
        <v>1898</v>
      </c>
      <c r="M3688" s="272">
        <f t="shared" si="147"/>
        <v>17.5</v>
      </c>
      <c r="N3688" s="21"/>
      <c r="O3688" s="283"/>
      <c r="P3688" s="348">
        <v>15000</v>
      </c>
      <c r="Q3688" s="41">
        <f>185.53/1181.6</f>
        <v>0.15701591062965473</v>
      </c>
      <c r="R3688" s="41"/>
      <c r="S3688" s="41"/>
      <c r="T3688" s="41"/>
      <c r="U3688" s="42">
        <v>0.1</v>
      </c>
      <c r="V3688" s="45"/>
      <c r="W3688" s="741">
        <f t="shared" ref="W3688:W3702" si="149">(P3688*Q3688)*(1+U3688)</f>
        <v>2590.7625253893029</v>
      </c>
      <c r="Z3688" s="19"/>
    </row>
    <row r="3689" spans="1:26" ht="15" customHeight="1">
      <c r="A3689" s="3">
        <v>41064</v>
      </c>
      <c r="C3689" s="26"/>
      <c r="D3689" s="26"/>
      <c r="E3689" s="26"/>
      <c r="F3689" s="26"/>
      <c r="G3689" s="1003" t="s">
        <v>92</v>
      </c>
      <c r="H3689" s="1003"/>
      <c r="I3689" s="1003"/>
      <c r="J3689" s="1003"/>
      <c r="K3689" s="26"/>
      <c r="L3689" s="26"/>
      <c r="M3689" s="26"/>
      <c r="N3689" s="19"/>
      <c r="O3689" s="280"/>
      <c r="P3689" s="345">
        <v>15000</v>
      </c>
      <c r="Q3689" s="28">
        <f>185.3/1180.3</f>
        <v>0.15699398458019148</v>
      </c>
      <c r="U3689" s="29">
        <v>0.1</v>
      </c>
      <c r="W3689" s="741">
        <f t="shared" si="149"/>
        <v>2590.4007455731594</v>
      </c>
      <c r="Z3689" s="19"/>
    </row>
    <row r="3690" spans="1:26" ht="15" customHeight="1">
      <c r="A3690" s="3">
        <v>41065</v>
      </c>
      <c r="B3690" s="26"/>
      <c r="C3690" s="26"/>
      <c r="D3690" s="26"/>
      <c r="E3690" s="26"/>
      <c r="F3690" s="26"/>
      <c r="G3690" s="1003"/>
      <c r="H3690" s="1003"/>
      <c r="I3690" s="1003"/>
      <c r="J3690" s="1003"/>
      <c r="K3690" s="26"/>
      <c r="L3690" s="26"/>
      <c r="M3690" s="26"/>
      <c r="N3690" s="19"/>
      <c r="O3690" s="280"/>
      <c r="P3690" s="345">
        <v>15075</v>
      </c>
      <c r="Q3690" s="28">
        <f>185.69/1181.8</f>
        <v>0.15712472499576918</v>
      </c>
      <c r="U3690" s="29">
        <v>0.1</v>
      </c>
      <c r="W3690" s="741">
        <f t="shared" si="149"/>
        <v>2605.5207522423425</v>
      </c>
      <c r="Z3690" s="19"/>
    </row>
    <row r="3691" spans="1:26" ht="15" customHeight="1">
      <c r="A3691" s="3">
        <v>41066</v>
      </c>
      <c r="B3691" s="4">
        <v>48075</v>
      </c>
      <c r="C3691" s="4">
        <v>142575</v>
      </c>
      <c r="D3691" s="5">
        <v>68000</v>
      </c>
      <c r="E3691" s="5">
        <f t="shared" ref="E3691:E3840" si="150">F3691-(B3691+C3691+D3691)</f>
        <v>87475</v>
      </c>
      <c r="F3691" s="5">
        <v>346125</v>
      </c>
      <c r="G3691" s="5">
        <v>200</v>
      </c>
      <c r="H3691" s="5">
        <v>2250</v>
      </c>
      <c r="I3691" s="5">
        <v>60975</v>
      </c>
      <c r="J3691" s="263">
        <f t="shared" ref="J3691:J3754" si="151">I3691/F3691</f>
        <v>0.1761646803900325</v>
      </c>
      <c r="K3691" s="24">
        <v>1907.5</v>
      </c>
      <c r="L3691" s="6">
        <v>1929</v>
      </c>
      <c r="M3691" s="270">
        <f t="shared" ref="M3691:M3750" si="152">L3691-K3691</f>
        <v>21.5</v>
      </c>
      <c r="N3691" s="19"/>
      <c r="O3691" s="280"/>
      <c r="P3691" s="345">
        <v>15100</v>
      </c>
      <c r="Q3691" s="28">
        <f>185.69/1181.8</f>
        <v>0.15712472499576918</v>
      </c>
      <c r="U3691" s="29">
        <v>0.1</v>
      </c>
      <c r="W3691" s="741">
        <f t="shared" si="149"/>
        <v>2609.8416821797264</v>
      </c>
      <c r="Z3691" s="19"/>
    </row>
    <row r="3692" spans="1:26" ht="15" customHeight="1">
      <c r="A3692" s="3">
        <v>41067</v>
      </c>
      <c r="B3692" s="4">
        <v>48075</v>
      </c>
      <c r="C3692" s="4">
        <v>142575</v>
      </c>
      <c r="D3692" s="5">
        <v>67925</v>
      </c>
      <c r="E3692" s="5">
        <f t="shared" si="150"/>
        <v>87175</v>
      </c>
      <c r="F3692" s="5">
        <v>345750</v>
      </c>
      <c r="G3692" s="5">
        <v>1500</v>
      </c>
      <c r="H3692" s="5">
        <v>1875</v>
      </c>
      <c r="I3692" s="5">
        <v>59125</v>
      </c>
      <c r="J3692" s="263">
        <f t="shared" si="151"/>
        <v>0.17100506146059291</v>
      </c>
      <c r="K3692" s="24">
        <v>1916</v>
      </c>
      <c r="L3692" s="6">
        <v>1939</v>
      </c>
      <c r="M3692" s="270">
        <f t="shared" si="152"/>
        <v>23</v>
      </c>
      <c r="N3692" s="19"/>
      <c r="P3692" s="345">
        <v>15100</v>
      </c>
      <c r="Q3692" s="28">
        <f>185.16/1178.4</f>
        <v>0.15712830957230142</v>
      </c>
      <c r="U3692" s="29">
        <v>0.1</v>
      </c>
      <c r="W3692" s="741">
        <f t="shared" si="149"/>
        <v>2609.9012219959268</v>
      </c>
      <c r="Z3692" s="19"/>
    </row>
    <row r="3693" spans="1:26" ht="15" customHeight="1">
      <c r="A3693" s="3">
        <v>41068</v>
      </c>
      <c r="B3693" s="4">
        <v>48075</v>
      </c>
      <c r="C3693" s="4">
        <v>144075</v>
      </c>
      <c r="D3693" s="5">
        <v>67925</v>
      </c>
      <c r="E3693" s="5">
        <f t="shared" si="150"/>
        <v>85250</v>
      </c>
      <c r="F3693" s="5">
        <v>345325</v>
      </c>
      <c r="G3693" s="5">
        <v>375</v>
      </c>
      <c r="H3693" s="5">
        <v>800</v>
      </c>
      <c r="I3693" s="5">
        <v>58350</v>
      </c>
      <c r="J3693" s="263">
        <f t="shared" si="151"/>
        <v>0.16897125895895171</v>
      </c>
      <c r="K3693" s="24">
        <v>1884</v>
      </c>
      <c r="L3693" s="6">
        <v>1901</v>
      </c>
      <c r="M3693" s="270">
        <f t="shared" si="152"/>
        <v>17</v>
      </c>
      <c r="N3693" s="19"/>
      <c r="O3693" s="280"/>
      <c r="P3693" s="345">
        <v>15075</v>
      </c>
      <c r="Q3693" s="28">
        <f>183.96/1170.7</f>
        <v>0.1571367557871359</v>
      </c>
      <c r="U3693" s="29">
        <v>0.1</v>
      </c>
      <c r="W3693" s="741">
        <f t="shared" si="149"/>
        <v>2605.7202528401817</v>
      </c>
      <c r="Z3693" s="19"/>
    </row>
    <row r="3694" spans="1:26" ht="15" customHeight="1">
      <c r="A3694" s="3">
        <v>41071</v>
      </c>
      <c r="B3694" s="4">
        <v>48075</v>
      </c>
      <c r="C3694" s="4">
        <v>144300</v>
      </c>
      <c r="D3694" s="5">
        <v>67925</v>
      </c>
      <c r="E3694" s="5">
        <f t="shared" si="150"/>
        <v>84475</v>
      </c>
      <c r="F3694" s="5">
        <v>344775</v>
      </c>
      <c r="G3694" s="5">
        <v>0</v>
      </c>
      <c r="H3694" s="5">
        <v>550</v>
      </c>
      <c r="I3694" s="5">
        <v>57975</v>
      </c>
      <c r="J3694" s="263">
        <f t="shared" si="151"/>
        <v>0.16815314335436155</v>
      </c>
      <c r="K3694" s="24">
        <v>1895</v>
      </c>
      <c r="L3694" s="6">
        <v>1906.5</v>
      </c>
      <c r="M3694" s="270">
        <f t="shared" si="152"/>
        <v>11.5</v>
      </c>
      <c r="N3694" s="19"/>
      <c r="O3694" s="280"/>
      <c r="P3694" s="345">
        <v>15100</v>
      </c>
      <c r="Q3694" s="28">
        <f>184.14/1173</f>
        <v>0.15698209718670075</v>
      </c>
      <c r="U3694" s="29">
        <v>0.1</v>
      </c>
      <c r="W3694" s="741">
        <f t="shared" si="149"/>
        <v>2607.4726342710997</v>
      </c>
      <c r="Z3694" s="19"/>
    </row>
    <row r="3695" spans="1:26" ht="15" customHeight="1">
      <c r="A3695" s="3">
        <v>41072</v>
      </c>
      <c r="B3695" s="4">
        <v>48075</v>
      </c>
      <c r="C3695" s="4">
        <v>144300</v>
      </c>
      <c r="D3695" s="5">
        <v>67925</v>
      </c>
      <c r="E3695" s="5">
        <f t="shared" si="150"/>
        <v>84775</v>
      </c>
      <c r="F3695" s="5">
        <v>345075</v>
      </c>
      <c r="G3695" s="5">
        <v>1000</v>
      </c>
      <c r="H3695" s="5">
        <v>700</v>
      </c>
      <c r="I3695" s="5">
        <v>57275</v>
      </c>
      <c r="J3695" s="263">
        <f t="shared" si="151"/>
        <v>0.16597841049047307</v>
      </c>
      <c r="K3695" s="24">
        <v>1893.5</v>
      </c>
      <c r="L3695" s="6">
        <v>1905</v>
      </c>
      <c r="M3695" s="270">
        <f t="shared" si="152"/>
        <v>11.5</v>
      </c>
      <c r="N3695" s="19"/>
      <c r="O3695" s="280"/>
      <c r="P3695" s="345">
        <v>15050</v>
      </c>
      <c r="Q3695" s="28">
        <f>183.23/1167</f>
        <v>0.15700942587832048</v>
      </c>
      <c r="U3695" s="29">
        <v>0.1</v>
      </c>
      <c r="W3695" s="741">
        <f t="shared" si="149"/>
        <v>2599.2910454155958</v>
      </c>
      <c r="Z3695" s="19"/>
    </row>
    <row r="3696" spans="1:26" ht="15" customHeight="1">
      <c r="A3696" s="3">
        <v>41073</v>
      </c>
      <c r="B3696" s="4">
        <v>48075</v>
      </c>
      <c r="C3696" s="4">
        <v>145300</v>
      </c>
      <c r="D3696" s="5">
        <v>67925</v>
      </c>
      <c r="E3696" s="5">
        <f t="shared" si="150"/>
        <v>83225</v>
      </c>
      <c r="F3696" s="5">
        <v>344525</v>
      </c>
      <c r="G3696" s="5">
        <v>0</v>
      </c>
      <c r="H3696" s="5">
        <v>550</v>
      </c>
      <c r="I3696" s="5">
        <v>56900</v>
      </c>
      <c r="J3696" s="263">
        <f t="shared" si="151"/>
        <v>0.16515492344532326</v>
      </c>
      <c r="K3696" s="24">
        <v>1883</v>
      </c>
      <c r="L3696" s="6">
        <v>1897</v>
      </c>
      <c r="M3696" s="270">
        <f t="shared" si="152"/>
        <v>14</v>
      </c>
      <c r="N3696" s="19"/>
      <c r="O3696" s="280"/>
      <c r="P3696" s="345">
        <v>15075</v>
      </c>
      <c r="Q3696" s="28">
        <f>183.74/1170.5</f>
        <v>0.15697565143101239</v>
      </c>
      <c r="U3696" s="29">
        <v>0.1</v>
      </c>
      <c r="W3696" s="741">
        <f t="shared" si="149"/>
        <v>2603.048739854763</v>
      </c>
      <c r="Z3696" s="19"/>
    </row>
    <row r="3697" spans="1:26" ht="15" customHeight="1">
      <c r="A3697" s="3">
        <v>41074</v>
      </c>
      <c r="B3697" s="4">
        <v>48075</v>
      </c>
      <c r="C3697" s="4">
        <v>145275</v>
      </c>
      <c r="D3697" s="5">
        <v>67925</v>
      </c>
      <c r="E3697" s="5">
        <f t="shared" si="150"/>
        <v>82750</v>
      </c>
      <c r="F3697" s="5">
        <v>344025</v>
      </c>
      <c r="G3697" s="5">
        <v>0</v>
      </c>
      <c r="H3697" s="5">
        <v>500</v>
      </c>
      <c r="I3697" s="5">
        <v>56400</v>
      </c>
      <c r="J3697" s="263">
        <f t="shared" si="151"/>
        <v>0.16394157401351647</v>
      </c>
      <c r="K3697" s="24">
        <v>1885</v>
      </c>
      <c r="L3697" s="6">
        <v>1898</v>
      </c>
      <c r="M3697" s="270">
        <f t="shared" si="152"/>
        <v>13</v>
      </c>
      <c r="N3697" s="19"/>
      <c r="O3697" s="280"/>
      <c r="P3697" s="345">
        <v>15050</v>
      </c>
      <c r="Q3697" s="28">
        <f>183.36/1167.8</f>
        <v>0.15701318718958729</v>
      </c>
      <c r="U3697" s="29">
        <v>0.1</v>
      </c>
      <c r="W3697" s="741">
        <f t="shared" si="149"/>
        <v>2599.3533139236174</v>
      </c>
      <c r="Z3697" s="19"/>
    </row>
    <row r="3698" spans="1:26" ht="15" customHeight="1">
      <c r="A3698" s="3">
        <v>41075</v>
      </c>
      <c r="B3698" s="4">
        <v>48075</v>
      </c>
      <c r="C3698" s="4">
        <v>145275</v>
      </c>
      <c r="D3698" s="5">
        <v>67925</v>
      </c>
      <c r="E3698" s="5">
        <f t="shared" si="150"/>
        <v>83475</v>
      </c>
      <c r="F3698" s="5">
        <v>344750</v>
      </c>
      <c r="G3698" s="5">
        <v>1100</v>
      </c>
      <c r="H3698" s="5">
        <v>375</v>
      </c>
      <c r="I3698" s="5">
        <v>56025</v>
      </c>
      <c r="J3698" s="263">
        <f t="shared" si="151"/>
        <v>0.16250906453952138</v>
      </c>
      <c r="K3698" s="24">
        <v>1914.5</v>
      </c>
      <c r="L3698" s="6">
        <v>1930</v>
      </c>
      <c r="M3698" s="270">
        <f t="shared" si="152"/>
        <v>15.5</v>
      </c>
      <c r="N3698" s="19"/>
      <c r="O3698" s="280"/>
      <c r="P3698" s="345">
        <v>15100</v>
      </c>
      <c r="Q3698" s="28">
        <f>183.16/1166.8</f>
        <v>0.15697634556050738</v>
      </c>
      <c r="U3698" s="29">
        <v>0.1</v>
      </c>
      <c r="W3698" s="741">
        <f t="shared" si="149"/>
        <v>2607.3770997600277</v>
      </c>
      <c r="Z3698" s="19"/>
    </row>
    <row r="3699" spans="1:26" ht="15" customHeight="1">
      <c r="A3699" s="3">
        <v>41078</v>
      </c>
      <c r="B3699" s="4">
        <v>48075</v>
      </c>
      <c r="C3699" s="4">
        <v>146075</v>
      </c>
      <c r="D3699" s="5">
        <v>67925</v>
      </c>
      <c r="E3699" s="5">
        <f t="shared" si="150"/>
        <v>82775</v>
      </c>
      <c r="F3699" s="5">
        <v>344850</v>
      </c>
      <c r="G3699" s="5">
        <v>150</v>
      </c>
      <c r="H3699" s="5">
        <v>50</v>
      </c>
      <c r="I3699" s="5">
        <v>55975</v>
      </c>
      <c r="J3699" s="263">
        <f t="shared" si="151"/>
        <v>0.16231694939828911</v>
      </c>
      <c r="K3699" s="24">
        <v>1893.5</v>
      </c>
      <c r="L3699" s="6">
        <v>1909</v>
      </c>
      <c r="M3699" s="270">
        <f t="shared" si="152"/>
        <v>15.5</v>
      </c>
      <c r="N3699" s="19"/>
      <c r="O3699" s="280"/>
      <c r="P3699" s="345">
        <v>15150</v>
      </c>
      <c r="Q3699" s="28">
        <f>182.86/1164</f>
        <v>0.15709621993127149</v>
      </c>
      <c r="U3699" s="29">
        <v>0.1</v>
      </c>
      <c r="W3699" s="741">
        <f t="shared" si="149"/>
        <v>2618.0085051546398</v>
      </c>
      <c r="Z3699" s="19"/>
    </row>
    <row r="3700" spans="1:26" ht="15" customHeight="1">
      <c r="A3700" s="3">
        <v>41079</v>
      </c>
      <c r="B3700" s="4">
        <v>48075</v>
      </c>
      <c r="C3700" s="4">
        <v>146175</v>
      </c>
      <c r="D3700" s="5">
        <v>68425</v>
      </c>
      <c r="E3700" s="5">
        <f t="shared" si="150"/>
        <v>82525</v>
      </c>
      <c r="F3700" s="5">
        <v>345200</v>
      </c>
      <c r="G3700" s="5">
        <v>825</v>
      </c>
      <c r="H3700" s="5">
        <v>475</v>
      </c>
      <c r="I3700" s="5">
        <v>55800</v>
      </c>
      <c r="J3700" s="263">
        <f t="shared" si="151"/>
        <v>0.16164542294322132</v>
      </c>
      <c r="K3700" s="24">
        <v>1885.5</v>
      </c>
      <c r="L3700" s="6">
        <v>1904</v>
      </c>
      <c r="M3700" s="270">
        <f t="shared" si="152"/>
        <v>18.5</v>
      </c>
      <c r="N3700" s="19"/>
      <c r="O3700" s="280"/>
      <c r="P3700" s="345">
        <v>15100</v>
      </c>
      <c r="Q3700" s="28">
        <f>182.22/1158.4</f>
        <v>0.15730317679558009</v>
      </c>
      <c r="U3700" s="29">
        <v>0.1</v>
      </c>
      <c r="W3700" s="741">
        <f t="shared" si="149"/>
        <v>2612.8057665745855</v>
      </c>
      <c r="Z3700" s="19"/>
    </row>
    <row r="3701" spans="1:26" ht="15" customHeight="1">
      <c r="A3701" s="3">
        <v>41080</v>
      </c>
      <c r="B3701" s="4">
        <v>48075</v>
      </c>
      <c r="C3701" s="4">
        <v>146050</v>
      </c>
      <c r="D3701" s="5">
        <v>68425</v>
      </c>
      <c r="E3701" s="5">
        <f t="shared" si="150"/>
        <v>84525</v>
      </c>
      <c r="F3701" s="5">
        <v>347075</v>
      </c>
      <c r="G3701" s="5">
        <v>2150</v>
      </c>
      <c r="H3701" s="5">
        <v>275</v>
      </c>
      <c r="I3701" s="5">
        <v>55625</v>
      </c>
      <c r="J3701" s="263">
        <f t="shared" si="151"/>
        <v>0.16026795361233162</v>
      </c>
      <c r="K3701" s="24">
        <v>1899</v>
      </c>
      <c r="L3701" s="6">
        <v>1915</v>
      </c>
      <c r="M3701" s="270">
        <f t="shared" si="152"/>
        <v>16</v>
      </c>
      <c r="N3701" s="19"/>
      <c r="O3701" s="280"/>
      <c r="P3701" s="345">
        <v>15100</v>
      </c>
      <c r="Q3701" s="28">
        <f>182.26/1158.2</f>
        <v>0.15736487653255049</v>
      </c>
      <c r="U3701" s="29">
        <v>0.1</v>
      </c>
      <c r="W3701" s="741">
        <f t="shared" si="149"/>
        <v>2613.8305992056635</v>
      </c>
      <c r="Z3701" s="19"/>
    </row>
    <row r="3702" spans="1:26" ht="15" customHeight="1">
      <c r="A3702" s="3">
        <v>41081</v>
      </c>
      <c r="B3702" s="4">
        <v>48075</v>
      </c>
      <c r="C3702" s="4">
        <v>148175</v>
      </c>
      <c r="D3702" s="5">
        <v>68425</v>
      </c>
      <c r="E3702" s="5">
        <f t="shared" si="150"/>
        <v>82350</v>
      </c>
      <c r="F3702" s="5">
        <v>347025</v>
      </c>
      <c r="G3702" s="5">
        <v>0</v>
      </c>
      <c r="H3702" s="5">
        <v>50</v>
      </c>
      <c r="I3702" s="5">
        <v>55575</v>
      </c>
      <c r="J3702" s="263">
        <f t="shared" si="151"/>
        <v>0.16014696347525395</v>
      </c>
      <c r="K3702" s="24">
        <v>1842</v>
      </c>
      <c r="L3702" s="6">
        <v>1862</v>
      </c>
      <c r="M3702" s="270">
        <f t="shared" si="152"/>
        <v>20</v>
      </c>
      <c r="N3702" s="19"/>
      <c r="O3702" s="280"/>
      <c r="P3702" s="345">
        <v>15000</v>
      </c>
      <c r="Q3702" s="28">
        <f>181.25/1152.7</f>
        <v>0.15723952459443047</v>
      </c>
      <c r="U3702" s="29">
        <v>0.1</v>
      </c>
      <c r="W3702" s="741">
        <f t="shared" si="149"/>
        <v>2594.4521558081028</v>
      </c>
      <c r="Z3702" s="19"/>
    </row>
    <row r="3703" spans="1:26" ht="15" customHeight="1">
      <c r="A3703" s="3">
        <v>41082</v>
      </c>
      <c r="B3703" s="4">
        <v>48075</v>
      </c>
      <c r="C3703" s="4">
        <v>148175</v>
      </c>
      <c r="D3703" s="5">
        <v>68425</v>
      </c>
      <c r="E3703" s="5">
        <f t="shared" si="150"/>
        <v>86325</v>
      </c>
      <c r="F3703" s="5">
        <v>351000</v>
      </c>
      <c r="G3703" s="5">
        <v>4350</v>
      </c>
      <c r="H3703" s="5">
        <v>375</v>
      </c>
      <c r="I3703" s="5">
        <v>55200</v>
      </c>
      <c r="J3703" s="263">
        <f t="shared" si="151"/>
        <v>0.15726495726495726</v>
      </c>
      <c r="K3703" s="24">
        <v>1791.5</v>
      </c>
      <c r="L3703" s="6">
        <v>1815</v>
      </c>
      <c r="M3703" s="270">
        <f t="shared" si="152"/>
        <v>23.5</v>
      </c>
      <c r="N3703" s="19"/>
      <c r="O3703" s="280"/>
      <c r="P3703" s="383"/>
      <c r="Q3703" s="996" t="s">
        <v>122</v>
      </c>
      <c r="R3703" s="996"/>
      <c r="S3703" s="996"/>
      <c r="T3703" s="996"/>
      <c r="U3703" s="996"/>
      <c r="W3703" s="744"/>
      <c r="Z3703" s="19"/>
    </row>
    <row r="3704" spans="1:26" ht="15" customHeight="1">
      <c r="A3704" s="3">
        <v>41085</v>
      </c>
      <c r="B3704" s="4">
        <v>48075</v>
      </c>
      <c r="C3704" s="4">
        <v>152525</v>
      </c>
      <c r="D3704" s="5">
        <v>68425</v>
      </c>
      <c r="E3704" s="5">
        <f t="shared" si="150"/>
        <v>82125</v>
      </c>
      <c r="F3704" s="5">
        <v>351150</v>
      </c>
      <c r="G3704" s="5">
        <v>400</v>
      </c>
      <c r="H3704" s="5">
        <v>250</v>
      </c>
      <c r="I3704" s="5">
        <v>54975</v>
      </c>
      <c r="J3704" s="263">
        <f t="shared" si="151"/>
        <v>0.15655702691157625</v>
      </c>
      <c r="K3704" s="24">
        <v>1792.5</v>
      </c>
      <c r="L3704" s="6">
        <v>1805.5</v>
      </c>
      <c r="M3704" s="270">
        <f t="shared" si="152"/>
        <v>13</v>
      </c>
      <c r="N3704" s="19"/>
      <c r="O3704" s="280"/>
      <c r="P3704" s="345">
        <v>14950</v>
      </c>
      <c r="Q3704" s="28">
        <f>181.81/1157.2</f>
        <v>0.15711199446940891</v>
      </c>
      <c r="U3704" s="29">
        <v>0.1</v>
      </c>
      <c r="W3704" s="741">
        <f>(P3704*Q3704)*(1+U3704)</f>
        <v>2583.7067490494296</v>
      </c>
      <c r="Z3704" s="19"/>
    </row>
    <row r="3705" spans="1:26" ht="15" customHeight="1">
      <c r="A3705" s="3">
        <v>41086</v>
      </c>
      <c r="B3705" s="4">
        <v>48075</v>
      </c>
      <c r="C3705" s="4">
        <v>152825</v>
      </c>
      <c r="D3705" s="5">
        <v>68425</v>
      </c>
      <c r="E3705" s="5">
        <f t="shared" si="150"/>
        <v>81450</v>
      </c>
      <c r="F3705" s="5">
        <v>350775</v>
      </c>
      <c r="G3705" s="5">
        <v>50</v>
      </c>
      <c r="H3705" s="5">
        <v>425</v>
      </c>
      <c r="I3705" s="5">
        <v>54650</v>
      </c>
      <c r="J3705" s="263">
        <f t="shared" si="151"/>
        <v>0.15579787613142329</v>
      </c>
      <c r="K3705" s="24">
        <v>1768</v>
      </c>
      <c r="L3705" s="6">
        <v>1782</v>
      </c>
      <c r="M3705" s="270">
        <f t="shared" si="152"/>
        <v>14</v>
      </c>
      <c r="N3705" s="19"/>
      <c r="O3705" s="280"/>
      <c r="P3705" s="345">
        <v>14875</v>
      </c>
      <c r="Q3705" s="28">
        <f>182.42/1160.8</f>
        <v>0.15715024121295657</v>
      </c>
      <c r="U3705" s="29">
        <v>0.1</v>
      </c>
      <c r="W3705" s="741">
        <f>(P3705*Q3705)*(1+U3705)</f>
        <v>2571.3708218470019</v>
      </c>
      <c r="Z3705" s="19"/>
    </row>
    <row r="3706" spans="1:26" ht="15" customHeight="1">
      <c r="A3706" s="3">
        <v>41087</v>
      </c>
      <c r="B3706" s="4">
        <v>48075</v>
      </c>
      <c r="C3706" s="4">
        <v>152825</v>
      </c>
      <c r="D3706" s="5">
        <v>68425</v>
      </c>
      <c r="E3706" s="5">
        <f t="shared" si="150"/>
        <v>81925</v>
      </c>
      <c r="F3706" s="5">
        <v>351250</v>
      </c>
      <c r="G3706" s="5">
        <v>950</v>
      </c>
      <c r="H3706" s="5">
        <v>475</v>
      </c>
      <c r="I3706" s="5">
        <v>54175</v>
      </c>
      <c r="J3706" s="263">
        <f t="shared" si="151"/>
        <v>0.15423487544483985</v>
      </c>
      <c r="K3706" s="24">
        <v>1744</v>
      </c>
      <c r="L3706" s="6">
        <v>1760</v>
      </c>
      <c r="M3706" s="270">
        <f t="shared" si="152"/>
        <v>16</v>
      </c>
      <c r="N3706" s="19"/>
      <c r="O3706" s="280"/>
      <c r="P3706" s="345">
        <v>14600</v>
      </c>
      <c r="Q3706" s="28">
        <f>182.29/1159.9</f>
        <v>0.15716010000862141</v>
      </c>
      <c r="U3706" s="29">
        <v>0.1</v>
      </c>
      <c r="W3706" s="741">
        <f>(P3706*Q3706)*(1+U3706)</f>
        <v>2523.9912061384603</v>
      </c>
      <c r="Z3706" s="19"/>
    </row>
    <row r="3707" spans="1:26" ht="15" customHeight="1">
      <c r="A3707" s="3">
        <v>41088</v>
      </c>
      <c r="B3707" s="4">
        <v>48075</v>
      </c>
      <c r="C3707" s="4">
        <v>153775</v>
      </c>
      <c r="D3707" s="5">
        <v>68425</v>
      </c>
      <c r="E3707" s="5">
        <f t="shared" si="150"/>
        <v>80450</v>
      </c>
      <c r="F3707" s="5">
        <v>350725</v>
      </c>
      <c r="G3707" s="5">
        <v>0</v>
      </c>
      <c r="H3707" s="5">
        <v>525</v>
      </c>
      <c r="I3707" s="5">
        <v>53650</v>
      </c>
      <c r="J3707" s="263">
        <f t="shared" si="151"/>
        <v>0.15296885023879109</v>
      </c>
      <c r="K3707" s="24">
        <v>1769</v>
      </c>
      <c r="L3707" s="6">
        <v>1784.5</v>
      </c>
      <c r="M3707" s="270">
        <f t="shared" si="152"/>
        <v>15.5</v>
      </c>
      <c r="N3707" s="19"/>
      <c r="O3707" s="280"/>
      <c r="P3707" s="345">
        <v>14550</v>
      </c>
      <c r="Q3707" s="28">
        <f>182.02/1157.1</f>
        <v>0.15730706075533663</v>
      </c>
      <c r="U3707" s="29">
        <v>0.1</v>
      </c>
      <c r="W3707" s="741">
        <f>(P3707*Q3707)*(1+U3707)</f>
        <v>2517.699507389163</v>
      </c>
      <c r="Z3707" s="19"/>
    </row>
    <row r="3708" spans="1:26" ht="15" customHeight="1">
      <c r="A3708" s="3">
        <v>41089</v>
      </c>
      <c r="B3708" s="4">
        <v>48075</v>
      </c>
      <c r="C3708" s="4">
        <v>153775</v>
      </c>
      <c r="D3708" s="5">
        <v>68425</v>
      </c>
      <c r="E3708" s="5">
        <f t="shared" si="150"/>
        <v>80025</v>
      </c>
      <c r="F3708" s="5">
        <v>350300</v>
      </c>
      <c r="G3708" s="5">
        <v>200</v>
      </c>
      <c r="H3708" s="5">
        <v>625</v>
      </c>
      <c r="I3708" s="5">
        <v>53100</v>
      </c>
      <c r="J3708" s="263">
        <f t="shared" si="151"/>
        <v>0.15158435626605765</v>
      </c>
      <c r="K3708" s="24">
        <v>1796</v>
      </c>
      <c r="L3708" s="6">
        <v>1813</v>
      </c>
      <c r="M3708" s="270">
        <f t="shared" si="152"/>
        <v>17</v>
      </c>
      <c r="N3708" s="255">
        <f>AVERAGE(K3688:K3708)</f>
        <v>1854.7368421052631</v>
      </c>
      <c r="O3708" s="290">
        <f>AVERAGE(K3575:K3708)</f>
        <v>2035.4032258064517</v>
      </c>
      <c r="P3708" s="345">
        <v>14650</v>
      </c>
      <c r="Q3708" s="28">
        <f>181.49/1153.8</f>
        <v>0.15729762523834287</v>
      </c>
      <c r="U3708" s="29">
        <v>0.1</v>
      </c>
      <c r="W3708" s="741">
        <f>(P3708*Q3708)*(1+U3708)</f>
        <v>2534.8512307158958</v>
      </c>
      <c r="Z3708" s="19"/>
    </row>
    <row r="3709" spans="1:26" s="258" customFormat="1" ht="15" customHeight="1" thickBot="1">
      <c r="A3709" s="391"/>
      <c r="B3709" s="1002" t="s">
        <v>103</v>
      </c>
      <c r="C3709" s="1002"/>
      <c r="D3709" s="1002"/>
      <c r="E3709" s="1002"/>
      <c r="F3709" s="391"/>
      <c r="G3709" s="254">
        <f>SUM(G3688:G3708)</f>
        <v>13750</v>
      </c>
      <c r="H3709" s="254">
        <f>SUM(H3688:H3708)</f>
        <v>13025</v>
      </c>
      <c r="I3709" s="254"/>
      <c r="J3709" s="269"/>
      <c r="K3709" s="251"/>
      <c r="L3709" s="256"/>
      <c r="M3709" s="274"/>
      <c r="N3709" s="257"/>
      <c r="O3709" s="292"/>
      <c r="P3709" s="350"/>
      <c r="Q3709" s="299"/>
      <c r="R3709" s="299"/>
      <c r="S3709" s="299"/>
      <c r="T3709" s="299"/>
      <c r="U3709" s="300"/>
      <c r="V3709" s="298">
        <f>AVERAGE(P3688:P3708)</f>
        <v>14985</v>
      </c>
      <c r="W3709" s="746"/>
    </row>
    <row r="3710" spans="1:26" ht="15" customHeight="1">
      <c r="A3710" s="36">
        <v>41092</v>
      </c>
      <c r="B3710" s="37">
        <v>48075</v>
      </c>
      <c r="C3710" s="37">
        <v>153775</v>
      </c>
      <c r="D3710" s="38">
        <v>68425</v>
      </c>
      <c r="E3710" s="38">
        <f t="shared" si="150"/>
        <v>79450</v>
      </c>
      <c r="F3710" s="38">
        <v>349725</v>
      </c>
      <c r="G3710" s="38">
        <v>0</v>
      </c>
      <c r="H3710" s="38">
        <v>575</v>
      </c>
      <c r="I3710" s="38">
        <v>52525</v>
      </c>
      <c r="J3710" s="263">
        <f t="shared" si="151"/>
        <v>0.15018943455572234</v>
      </c>
      <c r="K3710" s="39">
        <v>1851.5</v>
      </c>
      <c r="L3710" s="40">
        <v>1868</v>
      </c>
      <c r="M3710" s="272">
        <f t="shared" si="152"/>
        <v>16.5</v>
      </c>
      <c r="N3710" s="21"/>
      <c r="O3710" s="283"/>
      <c r="P3710" s="348">
        <v>14775</v>
      </c>
      <c r="Q3710" s="41">
        <f>181.3/1151.9</f>
        <v>0.15739213473391786</v>
      </c>
      <c r="R3710" s="41"/>
      <c r="S3710" s="41"/>
      <c r="T3710" s="41"/>
      <c r="U3710" s="42">
        <v>0.1</v>
      </c>
      <c r="V3710" s="45"/>
      <c r="W3710" s="741">
        <f t="shared" ref="W3710:W3730" si="153">(P3710*Q3710)*(1+U3710)</f>
        <v>2558.0156697630005</v>
      </c>
      <c r="Z3710" s="19"/>
    </row>
    <row r="3711" spans="1:26" ht="15" customHeight="1">
      <c r="A3711" s="3">
        <v>41093</v>
      </c>
      <c r="B3711" s="4">
        <v>48075</v>
      </c>
      <c r="C3711" s="4">
        <v>153775</v>
      </c>
      <c r="D3711" s="5">
        <v>68425</v>
      </c>
      <c r="E3711" s="5">
        <f t="shared" si="150"/>
        <v>78925</v>
      </c>
      <c r="F3711" s="5">
        <v>349200</v>
      </c>
      <c r="G3711" s="5">
        <v>0</v>
      </c>
      <c r="H3711" s="5">
        <v>525</v>
      </c>
      <c r="I3711" s="5">
        <v>52175</v>
      </c>
      <c r="J3711" s="263">
        <f t="shared" si="151"/>
        <v>0.14941294387170675</v>
      </c>
      <c r="K3711" s="24">
        <v>1900.5</v>
      </c>
      <c r="L3711" s="6">
        <v>1914</v>
      </c>
      <c r="M3711" s="270">
        <f t="shared" si="152"/>
        <v>13.5</v>
      </c>
      <c r="N3711" s="19"/>
      <c r="P3711" s="345">
        <v>14875</v>
      </c>
      <c r="Q3711" s="28">
        <f>180.15/1143.7</f>
        <v>0.15751508262656291</v>
      </c>
      <c r="U3711" s="29">
        <v>0.1</v>
      </c>
      <c r="W3711" s="741">
        <f t="shared" si="153"/>
        <v>2577.3405394771357</v>
      </c>
      <c r="Z3711" s="19"/>
    </row>
    <row r="3712" spans="1:26" ht="15" customHeight="1">
      <c r="A3712" s="3">
        <v>41094</v>
      </c>
      <c r="B3712" s="4">
        <v>48075</v>
      </c>
      <c r="C3712" s="4">
        <v>153775</v>
      </c>
      <c r="D3712" s="5">
        <v>68425</v>
      </c>
      <c r="E3712" s="5">
        <f t="shared" si="150"/>
        <v>78975</v>
      </c>
      <c r="F3712" s="5">
        <v>349250</v>
      </c>
      <c r="G3712" s="5">
        <v>900</v>
      </c>
      <c r="H3712" s="5">
        <v>850</v>
      </c>
      <c r="I3712" s="5">
        <v>51325</v>
      </c>
      <c r="J3712" s="263">
        <f t="shared" si="151"/>
        <v>0.14695776664280602</v>
      </c>
      <c r="K3712" s="24">
        <v>1895.5</v>
      </c>
      <c r="L3712" s="6">
        <v>1906</v>
      </c>
      <c r="M3712" s="270">
        <f t="shared" si="152"/>
        <v>10.5</v>
      </c>
      <c r="N3712" s="19"/>
      <c r="O3712" s="280"/>
      <c r="P3712" s="345">
        <v>14950</v>
      </c>
      <c r="Q3712" s="28">
        <f>179.71/1141.6</f>
        <v>0.15741941135248774</v>
      </c>
      <c r="U3712" s="29">
        <v>0.1</v>
      </c>
      <c r="W3712" s="741">
        <f t="shared" si="153"/>
        <v>2588.7622196916614</v>
      </c>
      <c r="Z3712" s="19"/>
    </row>
    <row r="3713" spans="1:26" ht="15" customHeight="1">
      <c r="A3713" s="3">
        <v>41095</v>
      </c>
      <c r="B3713" s="4">
        <v>48075</v>
      </c>
      <c r="C3713" s="4">
        <v>154375</v>
      </c>
      <c r="D3713" s="5">
        <v>68425</v>
      </c>
      <c r="E3713" s="5">
        <f t="shared" si="150"/>
        <v>77700</v>
      </c>
      <c r="F3713" s="5">
        <v>348575</v>
      </c>
      <c r="G3713" s="5">
        <v>0</v>
      </c>
      <c r="H3713" s="5">
        <v>675</v>
      </c>
      <c r="I3713" s="5">
        <v>51150</v>
      </c>
      <c r="J3713" s="263">
        <f t="shared" si="151"/>
        <v>0.14674029979201034</v>
      </c>
      <c r="K3713" s="24">
        <v>1901.5</v>
      </c>
      <c r="L3713" s="6">
        <v>1917</v>
      </c>
      <c r="M3713" s="270">
        <f t="shared" si="152"/>
        <v>15.5</v>
      </c>
      <c r="N3713" s="19"/>
      <c r="O3713" s="280"/>
      <c r="P3713" s="345">
        <v>15000</v>
      </c>
      <c r="Q3713" s="28">
        <f>178.85/1135.3</f>
        <v>0.15753545318418039</v>
      </c>
      <c r="U3713" s="29">
        <v>0.1</v>
      </c>
      <c r="W3713" s="741">
        <f t="shared" si="153"/>
        <v>2599.334977538977</v>
      </c>
      <c r="Z3713" s="19"/>
    </row>
    <row r="3714" spans="1:26" ht="15" customHeight="1">
      <c r="A3714" s="3">
        <v>41096</v>
      </c>
      <c r="B3714" s="4">
        <v>48075</v>
      </c>
      <c r="C3714" s="4">
        <v>154375</v>
      </c>
      <c r="D3714" s="5">
        <v>68425</v>
      </c>
      <c r="E3714" s="5">
        <f t="shared" si="150"/>
        <v>77600</v>
      </c>
      <c r="F3714" s="5">
        <v>348475</v>
      </c>
      <c r="G3714" s="5">
        <v>850</v>
      </c>
      <c r="H3714" s="5">
        <v>950</v>
      </c>
      <c r="I3714" s="5">
        <v>50200</v>
      </c>
      <c r="J3714" s="263">
        <f t="shared" si="151"/>
        <v>0.14405624506779541</v>
      </c>
      <c r="K3714" s="24">
        <v>1858</v>
      </c>
      <c r="L3714" s="6">
        <v>1871</v>
      </c>
      <c r="M3714" s="270">
        <f t="shared" si="152"/>
        <v>13</v>
      </c>
      <c r="N3714" s="19"/>
      <c r="O3714" s="280"/>
      <c r="P3714" s="345">
        <v>14950</v>
      </c>
      <c r="Q3714" s="28">
        <f>178.81/1136.5</f>
        <v>0.15733391992960846</v>
      </c>
      <c r="U3714" s="29">
        <v>0.1</v>
      </c>
      <c r="W3714" s="741">
        <f t="shared" si="153"/>
        <v>2587.3563132424115</v>
      </c>
      <c r="Z3714" s="19"/>
    </row>
    <row r="3715" spans="1:26" ht="15" customHeight="1">
      <c r="A3715" s="3">
        <v>41099</v>
      </c>
      <c r="B3715" s="4">
        <v>48075</v>
      </c>
      <c r="C3715" s="4">
        <v>155200</v>
      </c>
      <c r="D3715" s="5">
        <v>68425</v>
      </c>
      <c r="E3715" s="5">
        <f t="shared" si="150"/>
        <v>75625</v>
      </c>
      <c r="F3715" s="5">
        <v>347325</v>
      </c>
      <c r="G3715" s="5">
        <v>200</v>
      </c>
      <c r="H3715" s="5">
        <v>1350</v>
      </c>
      <c r="I3715" s="5">
        <v>48850</v>
      </c>
      <c r="J3715" s="263">
        <f t="shared" si="151"/>
        <v>0.14064636867487224</v>
      </c>
      <c r="K3715" s="24">
        <v>1839.5</v>
      </c>
      <c r="L3715" s="6">
        <v>1855</v>
      </c>
      <c r="M3715" s="270">
        <f t="shared" si="152"/>
        <v>15.5</v>
      </c>
      <c r="N3715" s="19"/>
      <c r="O3715" s="280"/>
      <c r="P3715" s="345">
        <v>14925</v>
      </c>
      <c r="Q3715" s="28">
        <f>178.87/1138.4</f>
        <v>0.15712403373155304</v>
      </c>
      <c r="U3715" s="29">
        <v>0.1</v>
      </c>
      <c r="W3715" s="741">
        <f t="shared" si="153"/>
        <v>2579.5838237877724</v>
      </c>
      <c r="Z3715" s="238"/>
    </row>
    <row r="3716" spans="1:26" ht="15" customHeight="1">
      <c r="A3716" s="3">
        <v>41100</v>
      </c>
      <c r="B3716" s="4">
        <v>48075</v>
      </c>
      <c r="C3716" s="4">
        <v>155200</v>
      </c>
      <c r="D3716" s="5">
        <v>68425</v>
      </c>
      <c r="E3716" s="5">
        <f t="shared" si="150"/>
        <v>75125</v>
      </c>
      <c r="F3716" s="5">
        <v>346825</v>
      </c>
      <c r="G3716" s="5">
        <v>400</v>
      </c>
      <c r="H3716" s="5">
        <v>900</v>
      </c>
      <c r="I3716" s="5">
        <v>47950</v>
      </c>
      <c r="J3716" s="263">
        <f t="shared" si="151"/>
        <v>0.13825416276219996</v>
      </c>
      <c r="K3716" s="24">
        <v>1863</v>
      </c>
      <c r="L3716" s="6">
        <v>1879</v>
      </c>
      <c r="M3716" s="270">
        <f t="shared" si="152"/>
        <v>16</v>
      </c>
      <c r="N3716" s="19"/>
      <c r="O3716" s="280"/>
      <c r="P3716" s="345">
        <v>15000</v>
      </c>
      <c r="Q3716" s="28">
        <f>179.3/1142.4</f>
        <v>0.15695028011204482</v>
      </c>
      <c r="U3716" s="29">
        <v>0.1</v>
      </c>
      <c r="W3716" s="741">
        <f t="shared" si="153"/>
        <v>2589.6796218487398</v>
      </c>
      <c r="Z3716" s="238"/>
    </row>
    <row r="3717" spans="1:26" ht="15" customHeight="1">
      <c r="A3717" s="3">
        <v>41101</v>
      </c>
      <c r="B3717" s="4">
        <v>48075</v>
      </c>
      <c r="C3717" s="4">
        <v>155200</v>
      </c>
      <c r="D3717" s="5">
        <v>68425</v>
      </c>
      <c r="E3717" s="5">
        <f t="shared" si="150"/>
        <v>74825</v>
      </c>
      <c r="F3717" s="5">
        <v>346525</v>
      </c>
      <c r="G3717" s="5">
        <v>400</v>
      </c>
      <c r="H3717" s="5">
        <v>700</v>
      </c>
      <c r="I3717" s="5">
        <v>46950</v>
      </c>
      <c r="J3717" s="263">
        <f t="shared" si="151"/>
        <v>0.13548806002452926</v>
      </c>
      <c r="K3717" s="24">
        <v>1861.5</v>
      </c>
      <c r="L3717" s="6">
        <v>1869</v>
      </c>
      <c r="M3717" s="270">
        <f t="shared" si="152"/>
        <v>7.5</v>
      </c>
      <c r="N3717" s="19"/>
      <c r="O3717" s="280"/>
      <c r="P3717" s="345">
        <v>14975</v>
      </c>
      <c r="Q3717" s="28">
        <f>179.57/1143.1</f>
        <v>0.15709036829673695</v>
      </c>
      <c r="U3717" s="29">
        <v>0.1</v>
      </c>
      <c r="W3717" s="741">
        <f t="shared" si="153"/>
        <v>2587.6710917679998</v>
      </c>
      <c r="Z3717" s="238"/>
    </row>
    <row r="3718" spans="1:26" ht="15" customHeight="1">
      <c r="A3718" s="3">
        <v>41102</v>
      </c>
      <c r="B3718" s="4">
        <v>48075</v>
      </c>
      <c r="C3718" s="4">
        <v>155200</v>
      </c>
      <c r="D3718" s="5">
        <v>68425</v>
      </c>
      <c r="E3718" s="5">
        <f t="shared" si="150"/>
        <v>74050</v>
      </c>
      <c r="F3718" s="5">
        <v>345750</v>
      </c>
      <c r="G3718" s="5">
        <v>0</v>
      </c>
      <c r="H3718" s="5">
        <v>775</v>
      </c>
      <c r="I3718" s="5">
        <v>47675</v>
      </c>
      <c r="J3718" s="263">
        <f t="shared" si="151"/>
        <v>0.1378886478669559</v>
      </c>
      <c r="K3718" s="24">
        <v>1830</v>
      </c>
      <c r="L3718" s="6">
        <v>1845</v>
      </c>
      <c r="M3718" s="270">
        <f t="shared" si="152"/>
        <v>15</v>
      </c>
      <c r="N3718" s="19"/>
      <c r="P3718" s="345">
        <v>14975</v>
      </c>
      <c r="Q3718" s="28">
        <f>179.65/1144.1</f>
        <v>0.15702298750109259</v>
      </c>
      <c r="U3718" s="29">
        <v>0.1</v>
      </c>
      <c r="W3718" s="741">
        <f t="shared" si="153"/>
        <v>2586.561161611748</v>
      </c>
      <c r="Z3718" s="238"/>
    </row>
    <row r="3719" spans="1:26" ht="15" customHeight="1">
      <c r="A3719" s="3">
        <v>41103</v>
      </c>
      <c r="B3719" s="4">
        <v>48075</v>
      </c>
      <c r="C3719" s="4">
        <v>155200</v>
      </c>
      <c r="D3719" s="5">
        <v>68425</v>
      </c>
      <c r="E3719" s="5">
        <f t="shared" si="150"/>
        <v>72875</v>
      </c>
      <c r="F3719" s="5">
        <v>344575</v>
      </c>
      <c r="G3719" s="5">
        <v>0</v>
      </c>
      <c r="H3719" s="5">
        <v>1175</v>
      </c>
      <c r="I3719" s="5">
        <v>46600</v>
      </c>
      <c r="J3719" s="263">
        <f t="shared" si="151"/>
        <v>0.1352390626133643</v>
      </c>
      <c r="K3719" s="24">
        <v>1874.5</v>
      </c>
      <c r="L3719" s="6">
        <v>1881</v>
      </c>
      <c r="M3719" s="270">
        <f t="shared" si="152"/>
        <v>6.5</v>
      </c>
      <c r="N3719" s="19"/>
      <c r="O3719" s="280"/>
      <c r="P3719" s="345">
        <v>15000</v>
      </c>
      <c r="Q3719" s="28">
        <f>179.78/1145.8</f>
        <v>0.15690347355559436</v>
      </c>
      <c r="U3719" s="29">
        <v>0.1</v>
      </c>
      <c r="W3719" s="741">
        <f t="shared" si="153"/>
        <v>2588.9073136673073</v>
      </c>
      <c r="Z3719" s="238"/>
    </row>
    <row r="3720" spans="1:26" ht="15" customHeight="1">
      <c r="A3720" s="3">
        <v>41106</v>
      </c>
      <c r="B3720" s="4">
        <v>48075</v>
      </c>
      <c r="C3720" s="4">
        <v>155200</v>
      </c>
      <c r="D3720" s="5">
        <v>68425</v>
      </c>
      <c r="E3720" s="5">
        <f t="shared" si="150"/>
        <v>71275</v>
      </c>
      <c r="F3720" s="5">
        <v>342975</v>
      </c>
      <c r="G3720" s="5">
        <v>0</v>
      </c>
      <c r="H3720" s="5">
        <v>1600</v>
      </c>
      <c r="I3720" s="5">
        <v>45500</v>
      </c>
      <c r="J3720" s="263">
        <f t="shared" si="151"/>
        <v>0.13266273051971719</v>
      </c>
      <c r="K3720" s="24">
        <v>1851</v>
      </c>
      <c r="L3720" s="6">
        <v>1869</v>
      </c>
      <c r="M3720" s="270">
        <f t="shared" si="152"/>
        <v>18</v>
      </c>
      <c r="N3720" s="19"/>
      <c r="O3720" s="280"/>
      <c r="P3720" s="345">
        <v>15050</v>
      </c>
      <c r="Q3720" s="28">
        <f>180.49/1151.4</f>
        <v>0.15675699148862254</v>
      </c>
      <c r="U3720" s="29">
        <v>0.1</v>
      </c>
      <c r="W3720" s="741">
        <f t="shared" si="153"/>
        <v>2595.1119940941467</v>
      </c>
      <c r="Z3720" s="19"/>
    </row>
    <row r="3721" spans="1:26" ht="15" customHeight="1">
      <c r="A3721" s="3">
        <v>41107</v>
      </c>
      <c r="B3721" s="4">
        <v>48075</v>
      </c>
      <c r="C3721" s="4">
        <v>155050</v>
      </c>
      <c r="D3721" s="5">
        <v>68425</v>
      </c>
      <c r="E3721" s="5">
        <f t="shared" si="150"/>
        <v>71625</v>
      </c>
      <c r="F3721" s="5">
        <v>343175</v>
      </c>
      <c r="G3721" s="5">
        <v>600</v>
      </c>
      <c r="H3721" s="5">
        <v>400</v>
      </c>
      <c r="I3721" s="5">
        <v>45475</v>
      </c>
      <c r="J3721" s="263">
        <f t="shared" si="151"/>
        <v>0.13251256647483062</v>
      </c>
      <c r="K3721" s="24">
        <v>1889</v>
      </c>
      <c r="L3721" s="6">
        <v>1908</v>
      </c>
      <c r="M3721" s="270">
        <f t="shared" si="152"/>
        <v>19</v>
      </c>
      <c r="N3721" s="19"/>
      <c r="O3721" s="280"/>
      <c r="P3721" s="345">
        <v>15100</v>
      </c>
      <c r="Q3721" s="28">
        <f>179.91/1147.6</f>
        <v>0.15677065179505054</v>
      </c>
      <c r="U3721" s="29">
        <v>0.1</v>
      </c>
      <c r="W3721" s="741">
        <f t="shared" si="153"/>
        <v>2603.9605263157896</v>
      </c>
      <c r="Z3721" s="19"/>
    </row>
    <row r="3722" spans="1:26" ht="15" customHeight="1">
      <c r="A3722" s="3">
        <v>41108</v>
      </c>
      <c r="B3722" s="4">
        <v>48075</v>
      </c>
      <c r="C3722" s="4">
        <v>154650</v>
      </c>
      <c r="D3722" s="5">
        <v>68425</v>
      </c>
      <c r="E3722" s="5">
        <f t="shared" si="150"/>
        <v>70500</v>
      </c>
      <c r="F3722" s="5">
        <v>341650</v>
      </c>
      <c r="G3722" s="5">
        <v>200</v>
      </c>
      <c r="H3722" s="5">
        <v>1725</v>
      </c>
      <c r="I3722" s="5">
        <v>49650</v>
      </c>
      <c r="J3722" s="263">
        <f t="shared" si="151"/>
        <v>0.14532416215425142</v>
      </c>
      <c r="K3722" s="24">
        <v>1872.5</v>
      </c>
      <c r="L3722" s="6">
        <v>1884</v>
      </c>
      <c r="M3722" s="270">
        <f t="shared" si="152"/>
        <v>11.5</v>
      </c>
      <c r="N3722" s="19"/>
      <c r="O3722" s="280"/>
      <c r="P3722" s="345">
        <v>15100</v>
      </c>
      <c r="Q3722" s="28">
        <f>179.43/1143.5</f>
        <v>0.15691298644512464</v>
      </c>
      <c r="U3722" s="29">
        <v>0.1</v>
      </c>
      <c r="W3722" s="741">
        <f t="shared" si="153"/>
        <v>2606.3247048535204</v>
      </c>
      <c r="Z3722" s="19"/>
    </row>
    <row r="3723" spans="1:26" ht="15" customHeight="1">
      <c r="A3723" s="3">
        <v>41109</v>
      </c>
      <c r="B3723" s="4">
        <v>48075</v>
      </c>
      <c r="C3723" s="4">
        <v>154175</v>
      </c>
      <c r="D3723" s="5">
        <v>68925</v>
      </c>
      <c r="E3723" s="5">
        <f t="shared" si="150"/>
        <v>68500</v>
      </c>
      <c r="F3723" s="5">
        <v>339675</v>
      </c>
      <c r="G3723" s="5">
        <v>100</v>
      </c>
      <c r="H3723" s="5">
        <v>2975</v>
      </c>
      <c r="I3723" s="5">
        <v>47450</v>
      </c>
      <c r="J3723" s="263">
        <f t="shared" si="151"/>
        <v>0.13969235298447044</v>
      </c>
      <c r="K3723" s="24">
        <v>1920.5</v>
      </c>
      <c r="L3723" s="6">
        <v>1928</v>
      </c>
      <c r="M3723" s="270">
        <f t="shared" si="152"/>
        <v>7.5</v>
      </c>
      <c r="N3723" s="19"/>
      <c r="O3723" s="280"/>
      <c r="P3723" s="345">
        <v>15100</v>
      </c>
      <c r="Q3723" s="28">
        <f>179.01/1140.2</f>
        <v>0.15699877214523766</v>
      </c>
      <c r="U3723" s="29">
        <v>0.1</v>
      </c>
      <c r="W3723" s="741">
        <f t="shared" si="153"/>
        <v>2607.7496053323976</v>
      </c>
      <c r="Z3723" s="19"/>
    </row>
    <row r="3724" spans="1:26" ht="15" customHeight="1">
      <c r="A3724" s="3">
        <v>41110</v>
      </c>
      <c r="B3724" s="4">
        <v>48075</v>
      </c>
      <c r="C3724" s="4">
        <v>152625</v>
      </c>
      <c r="D3724" s="5">
        <v>68925</v>
      </c>
      <c r="E3724" s="5">
        <f t="shared" si="150"/>
        <v>68700</v>
      </c>
      <c r="F3724" s="5">
        <v>338325</v>
      </c>
      <c r="G3724" s="5">
        <v>700</v>
      </c>
      <c r="H3724" s="5">
        <v>2050</v>
      </c>
      <c r="I3724" s="5">
        <v>55275</v>
      </c>
      <c r="J3724" s="263">
        <f t="shared" si="151"/>
        <v>0.16337840833518066</v>
      </c>
      <c r="K3724" s="24">
        <v>1899</v>
      </c>
      <c r="L3724" s="6">
        <v>1906</v>
      </c>
      <c r="M3724" s="270">
        <f t="shared" si="152"/>
        <v>7</v>
      </c>
      <c r="N3724" s="19"/>
      <c r="O3724" s="280"/>
      <c r="P3724" s="345">
        <v>15100</v>
      </c>
      <c r="Q3724" s="28">
        <f>178.66/1138.6</f>
        <v>0.156911997189531</v>
      </c>
      <c r="U3724" s="29">
        <v>0.1</v>
      </c>
      <c r="W3724" s="741">
        <f t="shared" si="153"/>
        <v>2606.30827331811</v>
      </c>
      <c r="Z3724" s="238"/>
    </row>
    <row r="3725" spans="1:26" ht="15" customHeight="1">
      <c r="A3725" s="3">
        <v>41113</v>
      </c>
      <c r="B3725" s="4">
        <v>48075</v>
      </c>
      <c r="C3725" s="4">
        <v>151925</v>
      </c>
      <c r="D3725" s="5">
        <v>68925</v>
      </c>
      <c r="E3725" s="5">
        <f t="shared" si="150"/>
        <v>67425</v>
      </c>
      <c r="F3725" s="5">
        <v>336350</v>
      </c>
      <c r="G3725" s="5">
        <v>0</v>
      </c>
      <c r="H3725" s="5">
        <v>1975</v>
      </c>
      <c r="I3725" s="5">
        <v>54775</v>
      </c>
      <c r="J3725" s="263">
        <f t="shared" si="151"/>
        <v>0.16285119667013528</v>
      </c>
      <c r="K3725" s="24">
        <v>1850.5</v>
      </c>
      <c r="L3725" s="6">
        <v>1859</v>
      </c>
      <c r="M3725" s="270">
        <f t="shared" si="152"/>
        <v>8.5</v>
      </c>
      <c r="N3725" s="19"/>
      <c r="P3725" s="345">
        <v>15000</v>
      </c>
      <c r="Q3725" s="28">
        <f>178.97/1140.7</f>
        <v>0.15689488910318225</v>
      </c>
      <c r="U3725" s="29">
        <v>0.1</v>
      </c>
      <c r="W3725" s="741">
        <f t="shared" si="153"/>
        <v>2588.7656702025074</v>
      </c>
      <c r="Z3725" s="238"/>
    </row>
    <row r="3726" spans="1:26" ht="15" customHeight="1">
      <c r="A3726" s="3">
        <v>41114</v>
      </c>
      <c r="B3726" s="4">
        <v>48075</v>
      </c>
      <c r="C3726" s="4">
        <v>150925</v>
      </c>
      <c r="D3726" s="5">
        <v>68925</v>
      </c>
      <c r="E3726" s="5">
        <f t="shared" si="150"/>
        <v>66925</v>
      </c>
      <c r="F3726" s="5">
        <v>334850</v>
      </c>
      <c r="G3726" s="5">
        <v>500</v>
      </c>
      <c r="H3726" s="5">
        <v>2000</v>
      </c>
      <c r="I3726" s="5">
        <v>53750</v>
      </c>
      <c r="J3726" s="263">
        <f t="shared" si="151"/>
        <v>0.1605196356577572</v>
      </c>
      <c r="K3726" s="24">
        <v>1840.5</v>
      </c>
      <c r="L3726" s="6">
        <v>1852.5</v>
      </c>
      <c r="M3726" s="270">
        <f t="shared" si="152"/>
        <v>12</v>
      </c>
      <c r="N3726" s="19"/>
      <c r="O3726" s="280"/>
      <c r="P3726" s="345">
        <v>14950</v>
      </c>
      <c r="Q3726" s="28">
        <f>179.59/1146.9</f>
        <v>0.15658732234719677</v>
      </c>
      <c r="U3726" s="29">
        <v>0.1</v>
      </c>
      <c r="W3726" s="741">
        <f t="shared" si="153"/>
        <v>2575.0785159996512</v>
      </c>
      <c r="Z3726" s="238"/>
    </row>
    <row r="3727" spans="1:26" ht="15" customHeight="1">
      <c r="A3727" s="3">
        <v>41115</v>
      </c>
      <c r="B3727" s="4">
        <v>48075</v>
      </c>
      <c r="C3727" s="4">
        <v>149425</v>
      </c>
      <c r="D3727" s="5">
        <v>68925</v>
      </c>
      <c r="E3727" s="5">
        <f t="shared" si="150"/>
        <v>66275</v>
      </c>
      <c r="F3727" s="5">
        <v>332700</v>
      </c>
      <c r="G3727" s="5">
        <v>0</v>
      </c>
      <c r="H3727" s="5">
        <v>2150</v>
      </c>
      <c r="I3727" s="5">
        <v>51600</v>
      </c>
      <c r="J3727" s="263">
        <f t="shared" si="151"/>
        <v>0.1550946798917944</v>
      </c>
      <c r="K3727" s="24">
        <v>1849</v>
      </c>
      <c r="L3727" s="6">
        <v>1864.5</v>
      </c>
      <c r="M3727" s="270">
        <f t="shared" si="152"/>
        <v>15.5</v>
      </c>
      <c r="N3727" s="19"/>
      <c r="O3727" s="280"/>
      <c r="P3727" s="345">
        <v>14950</v>
      </c>
      <c r="Q3727" s="28">
        <f>179.78/1148.1</f>
        <v>0.15658914728682172</v>
      </c>
      <c r="U3727" s="29">
        <v>0.1</v>
      </c>
      <c r="W3727" s="741">
        <f t="shared" si="153"/>
        <v>2575.1085271317834</v>
      </c>
      <c r="Z3727" s="238"/>
    </row>
    <row r="3728" spans="1:26" ht="15" customHeight="1">
      <c r="A3728" s="3">
        <v>41116</v>
      </c>
      <c r="B3728" s="4">
        <v>48075</v>
      </c>
      <c r="C3728" s="4">
        <v>148300</v>
      </c>
      <c r="D3728" s="5">
        <v>68875</v>
      </c>
      <c r="E3728" s="5">
        <f t="shared" si="150"/>
        <v>65500</v>
      </c>
      <c r="F3728" s="5">
        <v>330750</v>
      </c>
      <c r="G3728" s="5">
        <v>625</v>
      </c>
      <c r="H3728" s="5">
        <v>2575</v>
      </c>
      <c r="I3728" s="5">
        <v>49075</v>
      </c>
      <c r="J3728" s="263">
        <f t="shared" si="151"/>
        <v>0.14837490551776267</v>
      </c>
      <c r="K3728" s="24">
        <v>1870</v>
      </c>
      <c r="L3728" s="6">
        <v>1880</v>
      </c>
      <c r="M3728" s="270">
        <f t="shared" si="152"/>
        <v>10</v>
      </c>
      <c r="N3728" s="19"/>
      <c r="O3728" s="280"/>
      <c r="P3728" s="345">
        <v>14950</v>
      </c>
      <c r="Q3728" s="28">
        <f>180.15/1150.9</f>
        <v>0.15652967243027197</v>
      </c>
      <c r="U3728" s="29">
        <v>0.1</v>
      </c>
      <c r="W3728" s="741">
        <f t="shared" si="153"/>
        <v>2574.1304631158227</v>
      </c>
      <c r="Z3728" s="238"/>
    </row>
    <row r="3729" spans="1:26" ht="15" customHeight="1">
      <c r="A3729" s="3">
        <v>41117</v>
      </c>
      <c r="B3729" s="4">
        <v>48075</v>
      </c>
      <c r="C3729" s="4">
        <v>147225</v>
      </c>
      <c r="D3729" s="5">
        <v>68850</v>
      </c>
      <c r="E3729" s="5">
        <f t="shared" si="150"/>
        <v>64825</v>
      </c>
      <c r="F3729" s="5">
        <v>328975</v>
      </c>
      <c r="G3729" s="5">
        <v>700</v>
      </c>
      <c r="H3729" s="5">
        <v>2475</v>
      </c>
      <c r="I3729" s="5">
        <v>46600</v>
      </c>
      <c r="J3729" s="263">
        <f t="shared" si="151"/>
        <v>0.14165210122349722</v>
      </c>
      <c r="K3729" s="24">
        <v>1907.5</v>
      </c>
      <c r="L3729" s="6">
        <v>1917.5</v>
      </c>
      <c r="M3729" s="270">
        <f t="shared" si="152"/>
        <v>10</v>
      </c>
      <c r="N3729" s="19"/>
      <c r="O3729" s="280"/>
      <c r="P3729" s="345">
        <v>15000</v>
      </c>
      <c r="Q3729" s="28">
        <f>179.69/1147.2</f>
        <v>0.15663354253835424</v>
      </c>
      <c r="U3729" s="29">
        <v>0.1</v>
      </c>
      <c r="W3729" s="741">
        <f t="shared" si="153"/>
        <v>2584.453451882845</v>
      </c>
      <c r="Z3729" s="19"/>
    </row>
    <row r="3730" spans="1:26" ht="15" customHeight="1">
      <c r="A3730" s="3">
        <v>41120</v>
      </c>
      <c r="B3730" s="4">
        <v>48075</v>
      </c>
      <c r="C3730" s="4">
        <v>146075</v>
      </c>
      <c r="D3730" s="5">
        <v>68825</v>
      </c>
      <c r="E3730" s="5">
        <f t="shared" si="150"/>
        <v>64925</v>
      </c>
      <c r="F3730" s="5">
        <v>327900</v>
      </c>
      <c r="G3730" s="5">
        <v>275</v>
      </c>
      <c r="H3730" s="5">
        <v>1350</v>
      </c>
      <c r="I3730" s="5">
        <v>45250</v>
      </c>
      <c r="J3730" s="263">
        <f t="shared" si="151"/>
        <v>0.13799939005794448</v>
      </c>
      <c r="K3730" s="24">
        <v>1909</v>
      </c>
      <c r="L3730" s="6">
        <v>1917</v>
      </c>
      <c r="M3730" s="270">
        <f t="shared" si="152"/>
        <v>8</v>
      </c>
      <c r="N3730" s="19"/>
      <c r="O3730" s="280"/>
      <c r="P3730" s="345">
        <v>15050</v>
      </c>
      <c r="Q3730" s="28">
        <f>178.64/1139.9</f>
        <v>0.15671550135976839</v>
      </c>
      <c r="U3730" s="29">
        <v>0.1</v>
      </c>
      <c r="W3730" s="741">
        <f t="shared" si="153"/>
        <v>2594.425125010966</v>
      </c>
      <c r="Z3730" s="19"/>
    </row>
    <row r="3731" spans="1:26" ht="15" customHeight="1">
      <c r="A3731" s="3">
        <v>41121</v>
      </c>
      <c r="B3731" s="4">
        <v>48075</v>
      </c>
      <c r="C3731" s="4">
        <v>145750</v>
      </c>
      <c r="D3731" s="5">
        <v>68800</v>
      </c>
      <c r="E3731" s="5">
        <f t="shared" si="150"/>
        <v>64325</v>
      </c>
      <c r="F3731" s="5">
        <v>326950</v>
      </c>
      <c r="G3731" s="5">
        <v>0</v>
      </c>
      <c r="H3731" s="5">
        <v>950</v>
      </c>
      <c r="I3731" s="5">
        <v>44300</v>
      </c>
      <c r="J3731" s="263">
        <f t="shared" si="151"/>
        <v>0.13549472396390885</v>
      </c>
      <c r="K3731" s="24">
        <v>1946.5</v>
      </c>
      <c r="L3731" s="6">
        <v>1957</v>
      </c>
      <c r="M3731" s="270">
        <f t="shared" si="152"/>
        <v>10.5</v>
      </c>
      <c r="N3731" s="255">
        <f>AVERAGE(K3710:K3731)</f>
        <v>1876.3863636363637</v>
      </c>
      <c r="O3731" s="290">
        <f>AVERAGE(K3575:K3731)</f>
        <v>2011.4417808219177</v>
      </c>
      <c r="P3731" s="345">
        <v>15050</v>
      </c>
      <c r="Q3731" s="28">
        <f>178.1/1136.2</f>
        <v>0.15675057208237986</v>
      </c>
      <c r="U3731" s="29">
        <v>0.1</v>
      </c>
      <c r="W3731" s="741">
        <f t="shared" ref="W3731:W3754" si="154">(P3731*Q3731)*(1+U3731)</f>
        <v>2595.005720823799</v>
      </c>
      <c r="Z3731" s="19"/>
    </row>
    <row r="3732" spans="1:26" s="258" customFormat="1" ht="15" customHeight="1" thickBot="1">
      <c r="A3732" s="391"/>
      <c r="B3732" s="1002" t="s">
        <v>102</v>
      </c>
      <c r="C3732" s="1002"/>
      <c r="D3732" s="1002"/>
      <c r="E3732" s="1002"/>
      <c r="F3732" s="391"/>
      <c r="G3732" s="254">
        <f>SUM(G3710:G3731)</f>
        <v>6450</v>
      </c>
      <c r="H3732" s="254">
        <f>SUM(H3710:H3731)</f>
        <v>30700</v>
      </c>
      <c r="I3732" s="254"/>
      <c r="J3732" s="269"/>
      <c r="K3732" s="251"/>
      <c r="L3732" s="256"/>
      <c r="M3732" s="274"/>
      <c r="N3732" s="257"/>
      <c r="O3732" s="292"/>
      <c r="P3732" s="350"/>
      <c r="Q3732" s="299"/>
      <c r="R3732" s="299"/>
      <c r="S3732" s="299"/>
      <c r="T3732" s="299"/>
      <c r="U3732" s="300"/>
      <c r="V3732" s="298">
        <f>AVERAGE(P3710:P3731)</f>
        <v>14992.045454545454</v>
      </c>
      <c r="W3732" s="746"/>
    </row>
    <row r="3733" spans="1:26" ht="15" customHeight="1">
      <c r="A3733" s="36">
        <v>41122</v>
      </c>
      <c r="B3733" s="37">
        <v>48075</v>
      </c>
      <c r="C3733" s="37">
        <v>145725</v>
      </c>
      <c r="D3733" s="38">
        <v>68750</v>
      </c>
      <c r="E3733" s="38">
        <f t="shared" si="150"/>
        <v>64225</v>
      </c>
      <c r="F3733" s="38">
        <v>326775</v>
      </c>
      <c r="G3733" s="38">
        <v>500</v>
      </c>
      <c r="H3733" s="38">
        <v>675</v>
      </c>
      <c r="I3733" s="38">
        <v>44125</v>
      </c>
      <c r="J3733" s="263">
        <f t="shared" si="151"/>
        <v>0.13503174967485274</v>
      </c>
      <c r="K3733" s="39">
        <v>1886.5</v>
      </c>
      <c r="L3733" s="40">
        <v>1900</v>
      </c>
      <c r="M3733" s="272">
        <f t="shared" si="152"/>
        <v>13.5</v>
      </c>
      <c r="N3733" s="21"/>
      <c r="O3733" s="283"/>
      <c r="P3733" s="348">
        <v>15050</v>
      </c>
      <c r="Q3733" s="41">
        <f>178.12/1133.2</f>
        <v>0.15718319802329686</v>
      </c>
      <c r="R3733" s="41"/>
      <c r="S3733" s="41"/>
      <c r="T3733" s="41"/>
      <c r="U3733" s="42">
        <v>0.1</v>
      </c>
      <c r="V3733" s="45"/>
      <c r="W3733" s="741">
        <f t="shared" si="154"/>
        <v>2602.1678432756798</v>
      </c>
      <c r="Z3733" s="19"/>
    </row>
    <row r="3734" spans="1:26" ht="15" customHeight="1">
      <c r="A3734" s="3">
        <v>41123</v>
      </c>
      <c r="B3734" s="4">
        <v>48075</v>
      </c>
      <c r="C3734" s="4">
        <v>146225</v>
      </c>
      <c r="D3734" s="5">
        <v>68675</v>
      </c>
      <c r="E3734" s="5">
        <f t="shared" si="150"/>
        <v>65875</v>
      </c>
      <c r="F3734" s="5">
        <v>328850</v>
      </c>
      <c r="G3734" s="5">
        <v>2200</v>
      </c>
      <c r="H3734" s="5">
        <v>125</v>
      </c>
      <c r="I3734" s="5">
        <v>44000</v>
      </c>
      <c r="J3734" s="263">
        <f t="shared" si="151"/>
        <v>0.13379960468298616</v>
      </c>
      <c r="K3734" s="24">
        <v>1868.5</v>
      </c>
      <c r="L3734" s="6">
        <v>1882</v>
      </c>
      <c r="M3734" s="270">
        <f t="shared" si="152"/>
        <v>13.5</v>
      </c>
      <c r="N3734" s="19"/>
      <c r="O3734" s="280"/>
      <c r="P3734" s="345">
        <v>15000</v>
      </c>
      <c r="Q3734" s="28">
        <f>177.05/1127.6</f>
        <v>0.15701489890031928</v>
      </c>
      <c r="U3734" s="29">
        <v>0.1</v>
      </c>
      <c r="W3734" s="741">
        <f t="shared" si="154"/>
        <v>2590.7458318552685</v>
      </c>
      <c r="Z3734" s="19"/>
    </row>
    <row r="3735" spans="1:26" ht="15" customHeight="1">
      <c r="A3735" s="3">
        <v>41124</v>
      </c>
      <c r="B3735" s="4">
        <v>48075</v>
      </c>
      <c r="C3735" s="4">
        <v>148425</v>
      </c>
      <c r="D3735" s="5">
        <v>68575</v>
      </c>
      <c r="E3735" s="5">
        <f t="shared" si="150"/>
        <v>62025</v>
      </c>
      <c r="F3735" s="5">
        <v>327100</v>
      </c>
      <c r="G3735" s="5">
        <v>0</v>
      </c>
      <c r="H3735" s="5">
        <v>1750</v>
      </c>
      <c r="I3735" s="5">
        <v>42250</v>
      </c>
      <c r="J3735" s="263">
        <f t="shared" si="151"/>
        <v>0.12916539284622439</v>
      </c>
      <c r="K3735" s="24">
        <v>1862</v>
      </c>
      <c r="L3735" s="6">
        <v>1866.5</v>
      </c>
      <c r="M3735" s="270">
        <f t="shared" si="152"/>
        <v>4.5</v>
      </c>
      <c r="N3735" s="19"/>
      <c r="P3735" s="345">
        <v>15300</v>
      </c>
      <c r="Q3735" s="28">
        <f>177.53/1130.4</f>
        <v>0.15705060155697098</v>
      </c>
      <c r="U3735" s="29">
        <v>0.1</v>
      </c>
      <c r="W3735" s="741">
        <f t="shared" si="154"/>
        <v>2643.1616242038217</v>
      </c>
      <c r="Z3735" s="19"/>
    </row>
    <row r="3736" spans="1:26" ht="15" customHeight="1">
      <c r="A3736" s="3">
        <v>41127</v>
      </c>
      <c r="B3736" s="4">
        <v>48075</v>
      </c>
      <c r="C3736" s="4">
        <v>148425</v>
      </c>
      <c r="D3736" s="5">
        <v>68450</v>
      </c>
      <c r="E3736" s="5">
        <f t="shared" si="150"/>
        <v>61600</v>
      </c>
      <c r="F3736" s="5">
        <v>326550</v>
      </c>
      <c r="G3736" s="5">
        <v>0</v>
      </c>
      <c r="H3736" s="5">
        <v>550</v>
      </c>
      <c r="I3736" s="5">
        <v>41700</v>
      </c>
      <c r="J3736" s="263">
        <f t="shared" si="151"/>
        <v>0.12769866789159393</v>
      </c>
      <c r="K3736" s="24">
        <v>1868.5</v>
      </c>
      <c r="L3736" s="6">
        <v>1887</v>
      </c>
      <c r="M3736" s="270">
        <f t="shared" si="152"/>
        <v>18.5</v>
      </c>
      <c r="N3736" s="19"/>
      <c r="O3736" s="280"/>
      <c r="P3736" s="345">
        <v>15050</v>
      </c>
      <c r="Q3736" s="28">
        <f>178.2/1135.6</f>
        <v>0.15692145121521664</v>
      </c>
      <c r="U3736" s="29">
        <v>0.1</v>
      </c>
      <c r="W3736" s="741">
        <f t="shared" si="154"/>
        <v>2597.8346248679118</v>
      </c>
      <c r="Z3736" s="19"/>
    </row>
    <row r="3737" spans="1:26" ht="15" customHeight="1">
      <c r="A3737" s="3">
        <v>41128</v>
      </c>
      <c r="B3737" s="4">
        <v>48075</v>
      </c>
      <c r="C3737" s="4">
        <v>148425</v>
      </c>
      <c r="D3737" s="5">
        <v>68450</v>
      </c>
      <c r="E3737" s="5">
        <f t="shared" si="150"/>
        <v>61075</v>
      </c>
      <c r="F3737" s="5">
        <v>326025</v>
      </c>
      <c r="G3737" s="5">
        <v>150</v>
      </c>
      <c r="H3737" s="5">
        <v>675</v>
      </c>
      <c r="I3737" s="5">
        <v>41025</v>
      </c>
      <c r="J3737" s="263">
        <f t="shared" si="151"/>
        <v>0.12583390844260409</v>
      </c>
      <c r="K3737" s="24">
        <v>1899</v>
      </c>
      <c r="L3737" s="6">
        <v>1910</v>
      </c>
      <c r="M3737" s="270">
        <f t="shared" si="152"/>
        <v>11</v>
      </c>
      <c r="N3737" s="19"/>
      <c r="O3737" s="280"/>
      <c r="P3737" s="345">
        <v>15050</v>
      </c>
      <c r="Q3737" s="28">
        <f>176.73/1126.5</f>
        <v>0.15688415446071904</v>
      </c>
      <c r="U3737" s="29">
        <v>0.1</v>
      </c>
      <c r="W3737" s="741">
        <f t="shared" si="154"/>
        <v>2597.2171770972041</v>
      </c>
      <c r="Z3737" s="19"/>
    </row>
    <row r="3738" spans="1:26" ht="15" customHeight="1">
      <c r="A3738" s="3">
        <v>41129</v>
      </c>
      <c r="B3738" s="4">
        <v>48075</v>
      </c>
      <c r="C3738" s="4">
        <v>148575</v>
      </c>
      <c r="D3738" s="5">
        <v>68375</v>
      </c>
      <c r="E3738" s="5">
        <f t="shared" si="150"/>
        <v>59850</v>
      </c>
      <c r="F3738" s="5">
        <v>324875</v>
      </c>
      <c r="G3738" s="5">
        <v>700</v>
      </c>
      <c r="H3738" s="5">
        <v>1850</v>
      </c>
      <c r="I3738" s="5">
        <v>39175</v>
      </c>
      <c r="J3738" s="263">
        <f t="shared" si="151"/>
        <v>0.12058484032320123</v>
      </c>
      <c r="K3738" s="24">
        <v>1896.5</v>
      </c>
      <c r="L3738" s="6">
        <v>1901.5</v>
      </c>
      <c r="M3738" s="270">
        <f t="shared" si="152"/>
        <v>5</v>
      </c>
      <c r="N3738" s="19"/>
      <c r="O3738" s="280"/>
      <c r="P3738" s="345">
        <v>15100</v>
      </c>
      <c r="Q3738" s="28">
        <f>177.06/1127.3</f>
        <v>0.15706555486560811</v>
      </c>
      <c r="U3738" s="29">
        <v>0.1</v>
      </c>
      <c r="W3738" s="741">
        <f t="shared" si="154"/>
        <v>2608.8588663177507</v>
      </c>
      <c r="Z3738" s="19"/>
    </row>
    <row r="3739" spans="1:26" ht="15" customHeight="1">
      <c r="A3739" s="3">
        <v>41130</v>
      </c>
      <c r="B3739" s="4">
        <v>48075</v>
      </c>
      <c r="C3739" s="4">
        <v>149275</v>
      </c>
      <c r="D3739" s="5">
        <v>68350</v>
      </c>
      <c r="E3739" s="5">
        <f t="shared" si="150"/>
        <v>58100</v>
      </c>
      <c r="F3739" s="5">
        <v>323800</v>
      </c>
      <c r="G3739" s="5">
        <v>0</v>
      </c>
      <c r="H3739" s="5">
        <v>1075</v>
      </c>
      <c r="I3739" s="5">
        <v>38125</v>
      </c>
      <c r="J3739" s="263">
        <f t="shared" si="151"/>
        <v>0.11774243360098827</v>
      </c>
      <c r="K3739" s="24">
        <v>1893</v>
      </c>
      <c r="L3739" s="6">
        <v>1900.5</v>
      </c>
      <c r="M3739" s="270">
        <f t="shared" si="152"/>
        <v>7.5</v>
      </c>
      <c r="N3739" s="19"/>
      <c r="O3739" s="280"/>
      <c r="P3739" s="345">
        <v>15100</v>
      </c>
      <c r="Q3739" s="28">
        <f>177.3/1128</f>
        <v>0.15718085106382979</v>
      </c>
      <c r="U3739" s="29">
        <v>0.1</v>
      </c>
      <c r="W3739" s="741">
        <f t="shared" si="154"/>
        <v>2610.7739361702129</v>
      </c>
      <c r="Z3739" s="19"/>
    </row>
    <row r="3740" spans="1:26" ht="15" customHeight="1">
      <c r="A3740" s="3">
        <v>41131</v>
      </c>
      <c r="B3740" s="4">
        <v>48075</v>
      </c>
      <c r="C3740" s="4">
        <v>149275</v>
      </c>
      <c r="D3740" s="5">
        <v>68275</v>
      </c>
      <c r="E3740" s="5">
        <f t="shared" si="150"/>
        <v>59975</v>
      </c>
      <c r="F3740" s="5">
        <v>325600</v>
      </c>
      <c r="G3740" s="5">
        <v>3225</v>
      </c>
      <c r="H3740" s="5">
        <v>1425</v>
      </c>
      <c r="I3740" s="5">
        <v>36700</v>
      </c>
      <c r="J3740" s="263">
        <f t="shared" si="151"/>
        <v>0.11271498771498771</v>
      </c>
      <c r="K3740" s="24">
        <v>1889</v>
      </c>
      <c r="L3740" s="6">
        <v>1900</v>
      </c>
      <c r="M3740" s="270">
        <f t="shared" si="152"/>
        <v>11</v>
      </c>
      <c r="N3740" s="19"/>
      <c r="O3740" s="280"/>
      <c r="P3740" s="345">
        <v>15100</v>
      </c>
      <c r="Q3740" s="28">
        <f>177.09/1126.2</f>
        <v>0.15724560468833243</v>
      </c>
      <c r="U3740" s="29">
        <v>0.1</v>
      </c>
      <c r="W3740" s="741">
        <f t="shared" si="154"/>
        <v>2611.8494938732019</v>
      </c>
      <c r="Z3740" s="19"/>
    </row>
    <row r="3741" spans="1:26" ht="15" customHeight="1">
      <c r="A3741" s="3">
        <v>41134</v>
      </c>
      <c r="B3741" s="4">
        <v>48075</v>
      </c>
      <c r="C3741" s="4">
        <v>149275</v>
      </c>
      <c r="D3741" s="5">
        <v>68225</v>
      </c>
      <c r="E3741" s="5">
        <f t="shared" si="150"/>
        <v>57875</v>
      </c>
      <c r="F3741" s="5">
        <v>323450</v>
      </c>
      <c r="G3741" s="5">
        <v>0</v>
      </c>
      <c r="H3741" s="5">
        <v>2150</v>
      </c>
      <c r="I3741" s="5">
        <v>34550</v>
      </c>
      <c r="J3741" s="263">
        <f t="shared" si="151"/>
        <v>0.10681712784046993</v>
      </c>
      <c r="K3741" s="24">
        <v>1866</v>
      </c>
      <c r="L3741" s="6">
        <v>1876</v>
      </c>
      <c r="M3741" s="270">
        <f t="shared" si="152"/>
        <v>10</v>
      </c>
      <c r="N3741" s="19"/>
      <c r="O3741" s="280"/>
      <c r="P3741" s="345">
        <v>15100</v>
      </c>
      <c r="Q3741" s="28">
        <f>177.36/1128.1</f>
        <v>0.157220104600656</v>
      </c>
      <c r="U3741" s="29">
        <v>0.1</v>
      </c>
      <c r="W3741" s="741">
        <f t="shared" si="154"/>
        <v>2611.4259374168964</v>
      </c>
      <c r="Z3741" s="19"/>
    </row>
    <row r="3742" spans="1:26" ht="15" customHeight="1">
      <c r="A3742" s="3">
        <v>41135</v>
      </c>
      <c r="B3742" s="4">
        <v>48075</v>
      </c>
      <c r="C3742" s="4">
        <v>149275</v>
      </c>
      <c r="D3742" s="5">
        <v>68225</v>
      </c>
      <c r="E3742" s="5">
        <f t="shared" si="150"/>
        <v>57125</v>
      </c>
      <c r="F3742" s="5">
        <v>322700</v>
      </c>
      <c r="G3742" s="5">
        <v>225</v>
      </c>
      <c r="H3742" s="5">
        <v>975</v>
      </c>
      <c r="I3742" s="5">
        <v>33575</v>
      </c>
      <c r="J3742" s="263">
        <f t="shared" si="151"/>
        <v>0.10404400371862411</v>
      </c>
      <c r="K3742" s="24">
        <v>1862.5</v>
      </c>
      <c r="L3742" s="6">
        <v>1867</v>
      </c>
      <c r="M3742" s="270">
        <f t="shared" si="152"/>
        <v>4.5</v>
      </c>
      <c r="N3742" s="19"/>
      <c r="O3742" s="280"/>
      <c r="P3742" s="345">
        <v>15050</v>
      </c>
      <c r="Q3742" s="28">
        <f>177.81/1131.2</f>
        <v>0.15718705799151345</v>
      </c>
      <c r="U3742" s="29">
        <v>0.1</v>
      </c>
      <c r="W3742" s="741">
        <f t="shared" si="154"/>
        <v>2602.2317450495057</v>
      </c>
      <c r="Z3742" s="19"/>
    </row>
    <row r="3743" spans="1:26" ht="15" customHeight="1">
      <c r="A3743" s="3">
        <v>41136</v>
      </c>
      <c r="B3743" s="4">
        <v>48075</v>
      </c>
      <c r="C3743" s="4">
        <v>149500</v>
      </c>
      <c r="D3743" s="5">
        <v>68150</v>
      </c>
      <c r="E3743" s="5">
        <f t="shared" si="150"/>
        <v>55400</v>
      </c>
      <c r="F3743" s="5">
        <v>321125</v>
      </c>
      <c r="G3743" s="5">
        <v>0</v>
      </c>
      <c r="H3743" s="5">
        <v>1575</v>
      </c>
      <c r="I3743" s="5">
        <v>32000</v>
      </c>
      <c r="J3743" s="263">
        <f t="shared" si="151"/>
        <v>9.9649669131957955E-2</v>
      </c>
      <c r="K3743" s="24">
        <v>1835</v>
      </c>
      <c r="L3743" s="6">
        <v>1850</v>
      </c>
      <c r="M3743" s="270">
        <f t="shared" si="152"/>
        <v>15</v>
      </c>
      <c r="N3743" s="19"/>
      <c r="O3743" s="280"/>
      <c r="P3743" s="345">
        <v>15000</v>
      </c>
      <c r="Q3743" s="28">
        <f>177.81/1131.2</f>
        <v>0.15718705799151345</v>
      </c>
      <c r="U3743" s="29">
        <v>0.1</v>
      </c>
      <c r="W3743" s="741">
        <f t="shared" si="154"/>
        <v>2593.5864568599723</v>
      </c>
      <c r="Z3743" s="19"/>
    </row>
    <row r="3744" spans="1:26" ht="15" customHeight="1">
      <c r="A3744" s="3">
        <v>41137</v>
      </c>
      <c r="B3744" s="4">
        <v>48075</v>
      </c>
      <c r="C3744" s="4">
        <v>149500</v>
      </c>
      <c r="D3744" s="5">
        <v>67875</v>
      </c>
      <c r="E3744" s="5">
        <f t="shared" si="150"/>
        <v>55400</v>
      </c>
      <c r="F3744" s="5">
        <v>320850</v>
      </c>
      <c r="G3744" s="5">
        <v>0</v>
      </c>
      <c r="H3744" s="5">
        <v>275</v>
      </c>
      <c r="I3744" s="5">
        <v>33725</v>
      </c>
      <c r="J3744" s="263">
        <f t="shared" si="151"/>
        <v>0.10511142278323204</v>
      </c>
      <c r="K3744" s="24">
        <v>1816.5</v>
      </c>
      <c r="L3744" s="6">
        <v>1835.5</v>
      </c>
      <c r="M3744" s="270">
        <f t="shared" si="152"/>
        <v>19</v>
      </c>
      <c r="N3744" s="19"/>
      <c r="P3744" s="345">
        <v>14950</v>
      </c>
      <c r="Q3744" s="28">
        <f>177.5/1129.3</f>
        <v>0.15717701230850969</v>
      </c>
      <c r="U3744" s="29">
        <v>0.1</v>
      </c>
      <c r="W3744" s="741">
        <f t="shared" si="154"/>
        <v>2584.7759674134422</v>
      </c>
      <c r="Z3744" s="19"/>
    </row>
    <row r="3745" spans="1:26" ht="15" customHeight="1">
      <c r="A3745" s="3">
        <v>41138</v>
      </c>
      <c r="B3745" s="4">
        <v>48075</v>
      </c>
      <c r="C3745" s="4">
        <v>149500</v>
      </c>
      <c r="D3745" s="5">
        <v>67700</v>
      </c>
      <c r="E3745" s="5">
        <f t="shared" si="150"/>
        <v>53925</v>
      </c>
      <c r="F3745" s="5">
        <v>319200</v>
      </c>
      <c r="G3745" s="5">
        <v>0</v>
      </c>
      <c r="H3745" s="5">
        <v>1650</v>
      </c>
      <c r="I3745" s="5">
        <v>55650</v>
      </c>
      <c r="J3745" s="263">
        <f t="shared" si="151"/>
        <v>0.17434210526315788</v>
      </c>
      <c r="K3745" s="24">
        <v>1871</v>
      </c>
      <c r="L3745" s="6">
        <v>1885</v>
      </c>
      <c r="M3745" s="270">
        <f t="shared" si="152"/>
        <v>14</v>
      </c>
      <c r="N3745" s="19"/>
      <c r="P3745" s="345">
        <v>14950</v>
      </c>
      <c r="Q3745" s="28">
        <f>177.99/1133.1</f>
        <v>0.15708234048186392</v>
      </c>
      <c r="U3745" s="29">
        <v>0.1</v>
      </c>
      <c r="W3745" s="741">
        <f t="shared" si="154"/>
        <v>2583.2190892242525</v>
      </c>
      <c r="Z3745" s="19"/>
    </row>
    <row r="3746" spans="1:26" ht="15" customHeight="1">
      <c r="A3746" s="3">
        <v>41141</v>
      </c>
      <c r="B3746" s="4">
        <v>48075</v>
      </c>
      <c r="C3746" s="4">
        <v>149500</v>
      </c>
      <c r="D3746" s="5">
        <v>67500</v>
      </c>
      <c r="E3746" s="5">
        <f t="shared" si="150"/>
        <v>52450</v>
      </c>
      <c r="F3746" s="5">
        <v>317525</v>
      </c>
      <c r="G3746" s="5">
        <v>100</v>
      </c>
      <c r="H3746" s="5">
        <v>1775</v>
      </c>
      <c r="I3746" s="5">
        <v>54125</v>
      </c>
      <c r="J3746" s="263">
        <f t="shared" si="151"/>
        <v>0.17045901897488386</v>
      </c>
      <c r="K3746" s="24">
        <v>1871</v>
      </c>
      <c r="L3746" s="6">
        <v>1883</v>
      </c>
      <c r="M3746" s="270">
        <f t="shared" si="152"/>
        <v>12</v>
      </c>
      <c r="N3746" s="19"/>
      <c r="O3746" s="280"/>
      <c r="P3746" s="345">
        <v>14950</v>
      </c>
      <c r="Q3746" s="28">
        <f>178.24/1133.3</f>
        <v>0.15727521397688168</v>
      </c>
      <c r="U3746" s="29">
        <v>0.1</v>
      </c>
      <c r="W3746" s="741">
        <f t="shared" si="154"/>
        <v>2586.3908938498198</v>
      </c>
      <c r="Z3746" s="19"/>
    </row>
    <row r="3747" spans="1:26" ht="15" customHeight="1">
      <c r="A3747" s="3">
        <v>41142</v>
      </c>
      <c r="B3747" s="4">
        <v>48075</v>
      </c>
      <c r="C3747" s="4">
        <v>149500</v>
      </c>
      <c r="D3747" s="5">
        <v>67975</v>
      </c>
      <c r="E3747" s="5">
        <f t="shared" si="150"/>
        <v>51700</v>
      </c>
      <c r="F3747" s="5">
        <v>317250</v>
      </c>
      <c r="G3747" s="5">
        <v>500</v>
      </c>
      <c r="H3747" s="5">
        <v>775</v>
      </c>
      <c r="I3747" s="5">
        <v>58750</v>
      </c>
      <c r="J3747" s="263">
        <f t="shared" si="151"/>
        <v>0.18518518518518517</v>
      </c>
      <c r="K3747" s="24">
        <v>1913</v>
      </c>
      <c r="L3747" s="6">
        <v>1922</v>
      </c>
      <c r="M3747" s="270">
        <f t="shared" si="152"/>
        <v>9</v>
      </c>
      <c r="N3747" s="19"/>
      <c r="O3747" s="280"/>
      <c r="P3747" s="345">
        <v>15000</v>
      </c>
      <c r="Q3747" s="28">
        <f>178.56/1135.5</f>
        <v>0.15725231175693527</v>
      </c>
      <c r="U3747" s="29">
        <v>0.1</v>
      </c>
      <c r="W3747" s="741">
        <f t="shared" si="154"/>
        <v>2594.6631439894322</v>
      </c>
      <c r="Z3747" s="19"/>
    </row>
    <row r="3748" spans="1:26" ht="15" customHeight="1">
      <c r="A3748" s="3">
        <v>41143</v>
      </c>
      <c r="B3748" s="4">
        <v>48075</v>
      </c>
      <c r="C3748" s="4">
        <v>149500</v>
      </c>
      <c r="D3748" s="5">
        <v>67950</v>
      </c>
      <c r="E3748" s="5">
        <f t="shared" si="150"/>
        <v>50875</v>
      </c>
      <c r="F3748" s="5">
        <v>316400</v>
      </c>
      <c r="G3748" s="5">
        <v>550</v>
      </c>
      <c r="H3748" s="5">
        <v>1400</v>
      </c>
      <c r="I3748" s="5">
        <v>65350</v>
      </c>
      <c r="J3748" s="263">
        <f t="shared" si="151"/>
        <v>0.20654235145385588</v>
      </c>
      <c r="K3748" s="24">
        <v>1905</v>
      </c>
      <c r="L3748" s="6">
        <v>1916</v>
      </c>
      <c r="M3748" s="270">
        <f t="shared" si="152"/>
        <v>11</v>
      </c>
      <c r="N3748" s="19"/>
      <c r="O3748" s="280"/>
      <c r="P3748" s="345">
        <v>15000</v>
      </c>
      <c r="Q3748" s="28">
        <f>178.18/1132.5</f>
        <v>0.15733333333333335</v>
      </c>
      <c r="U3748" s="29">
        <v>0.1</v>
      </c>
      <c r="W3748" s="741">
        <f t="shared" si="154"/>
        <v>2596.0000000000009</v>
      </c>
      <c r="Z3748" s="19">
        <v>2</v>
      </c>
    </row>
    <row r="3749" spans="1:26" ht="15" customHeight="1">
      <c r="A3749" s="3">
        <v>41144</v>
      </c>
      <c r="B3749" s="4">
        <v>48075</v>
      </c>
      <c r="C3749" s="4">
        <v>150050</v>
      </c>
      <c r="D3749" s="5">
        <v>67850</v>
      </c>
      <c r="E3749" s="5">
        <f t="shared" si="150"/>
        <v>49825</v>
      </c>
      <c r="F3749" s="5">
        <v>315800</v>
      </c>
      <c r="G3749" s="5">
        <v>0</v>
      </c>
      <c r="H3749" s="5">
        <v>600</v>
      </c>
      <c r="I3749" s="5">
        <v>76175</v>
      </c>
      <c r="J3749" s="263">
        <f t="shared" si="151"/>
        <v>0.24121279290690309</v>
      </c>
      <c r="K3749" s="24">
        <v>1921.5</v>
      </c>
      <c r="L3749" s="6">
        <v>1932</v>
      </c>
      <c r="M3749" s="270">
        <f t="shared" si="152"/>
        <v>10.5</v>
      </c>
      <c r="N3749" s="19"/>
      <c r="O3749" s="280"/>
      <c r="P3749" s="345">
        <v>15050</v>
      </c>
      <c r="Q3749" s="28">
        <f>178.46/1133.5</f>
        <v>0.15744155271283636</v>
      </c>
      <c r="U3749" s="29">
        <v>0.1</v>
      </c>
      <c r="W3749" s="741">
        <f t="shared" si="154"/>
        <v>2606.4449051610063</v>
      </c>
      <c r="Z3749" s="19"/>
    </row>
    <row r="3750" spans="1:26" ht="15" customHeight="1">
      <c r="A3750" s="3">
        <v>41145</v>
      </c>
      <c r="B3750" s="4">
        <v>48075</v>
      </c>
      <c r="C3750" s="4">
        <v>150050</v>
      </c>
      <c r="D3750" s="5">
        <v>67750</v>
      </c>
      <c r="E3750" s="5">
        <f t="shared" si="150"/>
        <v>49250</v>
      </c>
      <c r="F3750" s="5">
        <v>315125</v>
      </c>
      <c r="G3750" s="5">
        <v>0</v>
      </c>
      <c r="H3750" s="5">
        <v>675</v>
      </c>
      <c r="I3750" s="5">
        <v>76950</v>
      </c>
      <c r="J3750" s="263">
        <f t="shared" si="151"/>
        <v>0.24418881396271322</v>
      </c>
      <c r="K3750" s="24">
        <v>1942</v>
      </c>
      <c r="L3750" s="6">
        <v>1951</v>
      </c>
      <c r="M3750" s="270">
        <f t="shared" si="152"/>
        <v>9</v>
      </c>
      <c r="N3750" s="19"/>
      <c r="O3750" s="280"/>
      <c r="P3750" s="345">
        <v>15100</v>
      </c>
      <c r="Q3750" s="28">
        <f>177.97/1130.8</f>
        <v>0.15738415281216839</v>
      </c>
      <c r="U3750" s="29">
        <v>0.1</v>
      </c>
      <c r="W3750" s="741">
        <f t="shared" si="154"/>
        <v>2614.1507782101176</v>
      </c>
      <c r="Z3750" s="19"/>
    </row>
    <row r="3751" spans="1:26" ht="15" customHeight="1">
      <c r="A3751" s="3">
        <v>41148</v>
      </c>
      <c r="C3751" s="26"/>
      <c r="D3751" s="26"/>
      <c r="E3751" s="26"/>
      <c r="F3751" s="26"/>
      <c r="G3751" s="1003" t="s">
        <v>70</v>
      </c>
      <c r="H3751" s="1003"/>
      <c r="I3751" s="1003"/>
      <c r="J3751" s="1003"/>
      <c r="K3751" s="26"/>
      <c r="L3751" s="26"/>
      <c r="M3751" s="26"/>
      <c r="N3751" s="19"/>
      <c r="O3751" s="280"/>
      <c r="P3751" s="345">
        <v>15150</v>
      </c>
      <c r="Q3751" s="28">
        <f>178.4/1133.7</f>
        <v>0.15736085384140425</v>
      </c>
      <c r="U3751" s="29">
        <v>0.1</v>
      </c>
      <c r="W3751" s="741">
        <f t="shared" si="154"/>
        <v>2622.418629267002</v>
      </c>
      <c r="Z3751" s="19"/>
    </row>
    <row r="3752" spans="1:26" ht="15" customHeight="1">
      <c r="A3752" s="3">
        <v>41149</v>
      </c>
      <c r="B3752" s="4">
        <v>47325</v>
      </c>
      <c r="C3752" s="4">
        <v>150050</v>
      </c>
      <c r="D3752" s="5">
        <v>67750</v>
      </c>
      <c r="E3752" s="5">
        <f t="shared" si="150"/>
        <v>49075</v>
      </c>
      <c r="F3752" s="5">
        <v>314200</v>
      </c>
      <c r="G3752" s="5">
        <v>0</v>
      </c>
      <c r="H3752" s="5">
        <v>925</v>
      </c>
      <c r="I3752" s="5">
        <v>76550</v>
      </c>
      <c r="J3752" s="263">
        <f t="shared" si="151"/>
        <v>0.24363462762571611</v>
      </c>
      <c r="K3752" s="24">
        <v>1954.5</v>
      </c>
      <c r="L3752" s="6">
        <v>1967</v>
      </c>
      <c r="M3752" s="270">
        <f>L3752-K3752</f>
        <v>12.5</v>
      </c>
      <c r="N3752" s="19"/>
      <c r="O3752" s="280"/>
      <c r="P3752" s="345">
        <v>15100</v>
      </c>
      <c r="Q3752" s="28">
        <f>178.64/1135.6</f>
        <v>0.15730891158858754</v>
      </c>
      <c r="U3752" s="29">
        <v>0.1</v>
      </c>
      <c r="W3752" s="741">
        <f t="shared" si="154"/>
        <v>2612.9010214864388</v>
      </c>
      <c r="Z3752" s="19"/>
    </row>
    <row r="3753" spans="1:26" ht="15" customHeight="1">
      <c r="A3753" s="3">
        <v>41150</v>
      </c>
      <c r="B3753" s="4">
        <v>46325</v>
      </c>
      <c r="C3753" s="4">
        <v>150050</v>
      </c>
      <c r="D3753" s="5">
        <v>67600</v>
      </c>
      <c r="E3753" s="5">
        <f t="shared" si="150"/>
        <v>48600</v>
      </c>
      <c r="F3753" s="5">
        <v>312575</v>
      </c>
      <c r="G3753" s="5">
        <v>150</v>
      </c>
      <c r="H3753" s="5">
        <v>1775</v>
      </c>
      <c r="I3753" s="5">
        <v>74775</v>
      </c>
      <c r="J3753" s="263">
        <f t="shared" si="151"/>
        <v>0.23922258657922099</v>
      </c>
      <c r="K3753" s="24">
        <v>1959</v>
      </c>
      <c r="L3753" s="6">
        <v>1963</v>
      </c>
      <c r="M3753" s="270">
        <f t="shared" ref="M3753:M3814" si="155">L3753-K3753</f>
        <v>4</v>
      </c>
      <c r="N3753" s="19"/>
      <c r="O3753" s="280"/>
      <c r="P3753" s="345">
        <v>15100</v>
      </c>
      <c r="Q3753" s="28">
        <f>179/1137.2</f>
        <v>0.15740415054519874</v>
      </c>
      <c r="U3753" s="29">
        <v>0.1</v>
      </c>
      <c r="V3753" s="29"/>
      <c r="W3753" s="741">
        <f t="shared" si="154"/>
        <v>2614.4829405557516</v>
      </c>
      <c r="Z3753" s="19"/>
    </row>
    <row r="3754" spans="1:26" ht="15" customHeight="1">
      <c r="A3754" s="3">
        <v>41151</v>
      </c>
      <c r="B3754" s="4">
        <v>45825</v>
      </c>
      <c r="C3754" s="4">
        <v>150050</v>
      </c>
      <c r="D3754" s="5">
        <v>67425</v>
      </c>
      <c r="E3754" s="5">
        <f t="shared" si="150"/>
        <v>48175</v>
      </c>
      <c r="F3754" s="5">
        <v>311475</v>
      </c>
      <c r="G3754" s="5">
        <v>0</v>
      </c>
      <c r="H3754" s="5">
        <v>1100</v>
      </c>
      <c r="I3754" s="5">
        <v>78125</v>
      </c>
      <c r="J3754" s="263">
        <f t="shared" si="151"/>
        <v>0.25082269845091903</v>
      </c>
      <c r="K3754" s="24">
        <v>1963</v>
      </c>
      <c r="L3754" s="6">
        <v>1967</v>
      </c>
      <c r="M3754" s="270">
        <f t="shared" si="155"/>
        <v>4</v>
      </c>
      <c r="N3754" s="19"/>
      <c r="O3754" s="280"/>
      <c r="P3754" s="345">
        <v>15100</v>
      </c>
      <c r="Q3754" s="28">
        <f>178.54/1134</f>
        <v>0.15744268077601412</v>
      </c>
      <c r="U3754" s="29">
        <v>0.1</v>
      </c>
      <c r="W3754" s="741">
        <f t="shared" si="154"/>
        <v>2615.1229276895947</v>
      </c>
      <c r="Z3754" s="19"/>
    </row>
    <row r="3755" spans="1:26" ht="15" customHeight="1">
      <c r="A3755" s="3">
        <v>41152</v>
      </c>
      <c r="B3755" s="4">
        <v>45250</v>
      </c>
      <c r="C3755" s="4">
        <v>150050</v>
      </c>
      <c r="D3755" s="5">
        <v>67250</v>
      </c>
      <c r="E3755" s="5">
        <f t="shared" si="150"/>
        <v>47675</v>
      </c>
      <c r="F3755" s="5">
        <v>310225</v>
      </c>
      <c r="G3755" s="5">
        <v>0</v>
      </c>
      <c r="H3755" s="5">
        <v>1250</v>
      </c>
      <c r="I3755" s="5">
        <v>114025</v>
      </c>
      <c r="J3755" s="263">
        <f t="shared" ref="J3755:J3840" si="156">I3755/F3755</f>
        <v>0.36755580626964302</v>
      </c>
      <c r="K3755" s="24">
        <v>1963.5</v>
      </c>
      <c r="L3755" s="6">
        <v>1962</v>
      </c>
      <c r="M3755" s="270">
        <f t="shared" si="155"/>
        <v>-1.5</v>
      </c>
      <c r="N3755" s="255">
        <f>AVERAGE(K3733:K3755)</f>
        <v>1895.75</v>
      </c>
      <c r="O3755" s="290">
        <f>AVERAGE(K3575:K3755)</f>
        <v>1996.2916666666667</v>
      </c>
      <c r="P3755" s="345">
        <v>15100</v>
      </c>
      <c r="Q3755" s="28">
        <f>178.68/1134.6</f>
        <v>0.15748281332628242</v>
      </c>
      <c r="U3755" s="29">
        <v>0.1</v>
      </c>
      <c r="W3755" s="741">
        <f t="shared" ref="W3755:W3768" si="157">(P3755*Q3755)*(1+U3755)</f>
        <v>2615.7895293495512</v>
      </c>
      <c r="Z3755" s="19"/>
    </row>
    <row r="3756" spans="1:26" s="258" customFormat="1" ht="15" customHeight="1" thickBot="1">
      <c r="A3756" s="391"/>
      <c r="B3756" s="391"/>
      <c r="C3756" s="391" t="s">
        <v>102</v>
      </c>
      <c r="D3756" s="391"/>
      <c r="E3756" s="391"/>
      <c r="F3756" s="391"/>
      <c r="G3756" s="254">
        <f>SUM(G3733:G3755)</f>
        <v>8300</v>
      </c>
      <c r="H3756" s="254">
        <f>SUM(H3733:H3755)</f>
        <v>25025</v>
      </c>
      <c r="I3756" s="254"/>
      <c r="J3756" s="269"/>
      <c r="K3756" s="251"/>
      <c r="L3756" s="256"/>
      <c r="M3756" s="274"/>
      <c r="N3756" s="257"/>
      <c r="O3756" s="292"/>
      <c r="P3756" s="350"/>
      <c r="Q3756" s="299"/>
      <c r="R3756" s="299"/>
      <c r="S3756" s="299"/>
      <c r="T3756" s="299"/>
      <c r="U3756" s="300"/>
      <c r="V3756" s="298">
        <f>AVERAGE(P3735:P3755)</f>
        <v>15066.666666666666</v>
      </c>
      <c r="W3756" s="746"/>
    </row>
    <row r="3757" spans="1:26" ht="15" customHeight="1">
      <c r="A3757" s="36">
        <v>41155</v>
      </c>
      <c r="B3757" s="37">
        <v>43525</v>
      </c>
      <c r="C3757" s="37">
        <v>150050</v>
      </c>
      <c r="D3757" s="38">
        <v>67100</v>
      </c>
      <c r="E3757" s="38">
        <f t="shared" si="150"/>
        <v>47200</v>
      </c>
      <c r="F3757" s="38">
        <v>307875</v>
      </c>
      <c r="G3757" s="38">
        <v>0</v>
      </c>
      <c r="H3757" s="38">
        <v>2350</v>
      </c>
      <c r="I3757" s="38">
        <v>111675</v>
      </c>
      <c r="J3757" s="263">
        <f t="shared" si="156"/>
        <v>0.36272838002436053</v>
      </c>
      <c r="K3757" s="39">
        <v>1982</v>
      </c>
      <c r="L3757" s="40">
        <v>1982</v>
      </c>
      <c r="M3757" s="272">
        <f t="shared" si="155"/>
        <v>0</v>
      </c>
      <c r="N3757" s="21"/>
      <c r="O3757" s="283"/>
      <c r="P3757" s="348">
        <v>15150</v>
      </c>
      <c r="Q3757" s="41">
        <f>178.69/1134.4</f>
        <v>0.15751939351198871</v>
      </c>
      <c r="R3757" s="41"/>
      <c r="S3757" s="41"/>
      <c r="T3757" s="41"/>
      <c r="U3757" s="42">
        <v>0.1</v>
      </c>
      <c r="V3757" s="45"/>
      <c r="W3757" s="741">
        <f t="shared" si="157"/>
        <v>2625.0606928772918</v>
      </c>
      <c r="Z3757" s="19"/>
    </row>
    <row r="3758" spans="1:26" ht="15" customHeight="1">
      <c r="A3758" s="3">
        <v>41156</v>
      </c>
      <c r="B3758" s="4">
        <v>42000</v>
      </c>
      <c r="C3758" s="4">
        <v>150050</v>
      </c>
      <c r="D3758" s="5">
        <v>66950</v>
      </c>
      <c r="E3758" s="5">
        <f t="shared" si="150"/>
        <v>46725</v>
      </c>
      <c r="F3758" s="5">
        <v>305725</v>
      </c>
      <c r="G3758" s="5">
        <v>0</v>
      </c>
      <c r="H3758" s="5">
        <v>2150</v>
      </c>
      <c r="I3758" s="5">
        <v>112675</v>
      </c>
      <c r="J3758" s="263">
        <f t="shared" si="156"/>
        <v>0.36855016763431186</v>
      </c>
      <c r="K3758" s="24">
        <v>1999</v>
      </c>
      <c r="L3758" s="6">
        <v>1999.5</v>
      </c>
      <c r="M3758" s="270">
        <f t="shared" si="155"/>
        <v>0.5</v>
      </c>
      <c r="N3758" s="19"/>
      <c r="O3758" s="280"/>
      <c r="P3758" s="345">
        <v>15150</v>
      </c>
      <c r="Q3758" s="28">
        <f>178.5/1131.8</f>
        <v>0.15771337692171764</v>
      </c>
      <c r="U3758" s="29">
        <v>0.1</v>
      </c>
      <c r="W3758" s="741">
        <f t="shared" si="157"/>
        <v>2628.2934264004248</v>
      </c>
      <c r="Z3758" s="19"/>
    </row>
    <row r="3759" spans="1:26" ht="15" customHeight="1">
      <c r="A3759" s="3">
        <v>41157</v>
      </c>
      <c r="B3759" s="4">
        <v>41200</v>
      </c>
      <c r="C3759" s="4">
        <v>150050</v>
      </c>
      <c r="D3759" s="5">
        <v>66950</v>
      </c>
      <c r="E3759" s="5">
        <f t="shared" si="150"/>
        <v>46275</v>
      </c>
      <c r="F3759" s="5">
        <v>304475</v>
      </c>
      <c r="G3759" s="5">
        <v>0</v>
      </c>
      <c r="H3759" s="5">
        <v>1250</v>
      </c>
      <c r="I3759" s="5">
        <v>111425</v>
      </c>
      <c r="J3759" s="263">
        <f t="shared" si="156"/>
        <v>0.36595779620658508</v>
      </c>
      <c r="K3759" s="24">
        <v>1991.5</v>
      </c>
      <c r="L3759" s="6">
        <v>1996.5</v>
      </c>
      <c r="M3759" s="270">
        <f t="shared" si="155"/>
        <v>5</v>
      </c>
      <c r="N3759" s="19"/>
      <c r="O3759" s="280"/>
      <c r="P3759" s="345">
        <v>15150</v>
      </c>
      <c r="Q3759" s="28">
        <f>178.32/1131.8</f>
        <v>0.15755433822230075</v>
      </c>
      <c r="U3759" s="29">
        <v>0.1</v>
      </c>
      <c r="W3759" s="741">
        <f t="shared" si="157"/>
        <v>2625.6430464746422</v>
      </c>
      <c r="Z3759" s="19"/>
    </row>
    <row r="3760" spans="1:26" ht="15" customHeight="1">
      <c r="A3760" s="3">
        <v>41158</v>
      </c>
      <c r="B3760" s="4">
        <v>41200</v>
      </c>
      <c r="C3760" s="4">
        <v>150050</v>
      </c>
      <c r="D3760" s="5">
        <v>66900</v>
      </c>
      <c r="E3760" s="5">
        <f t="shared" si="150"/>
        <v>46600</v>
      </c>
      <c r="F3760" s="5">
        <v>304750</v>
      </c>
      <c r="G3760" s="5">
        <v>525</v>
      </c>
      <c r="H3760" s="5">
        <v>250</v>
      </c>
      <c r="I3760" s="5">
        <v>111175</v>
      </c>
      <c r="J3760" s="263">
        <f t="shared" si="156"/>
        <v>0.36480721903199342</v>
      </c>
      <c r="K3760" s="24">
        <v>2036</v>
      </c>
      <c r="L3760" s="6">
        <v>2045.5</v>
      </c>
      <c r="M3760" s="270">
        <f t="shared" si="155"/>
        <v>9.5</v>
      </c>
      <c r="N3760" s="19"/>
      <c r="O3760" s="280"/>
      <c r="P3760" s="345">
        <v>15250</v>
      </c>
      <c r="Q3760" s="28">
        <f>178.76/1135</f>
        <v>0.15749779735682817</v>
      </c>
      <c r="U3760" s="29">
        <v>0.1</v>
      </c>
      <c r="W3760" s="741">
        <f t="shared" si="157"/>
        <v>2642.0255506607928</v>
      </c>
      <c r="Z3760" s="19"/>
    </row>
    <row r="3761" spans="1:26" ht="15" customHeight="1">
      <c r="A3761" s="3">
        <v>41159</v>
      </c>
      <c r="B3761" s="4">
        <v>39925</v>
      </c>
      <c r="C3761" s="4">
        <v>150575</v>
      </c>
      <c r="D3761" s="5">
        <v>66900</v>
      </c>
      <c r="E3761" s="5">
        <f t="shared" si="150"/>
        <v>46050</v>
      </c>
      <c r="F3761" s="5">
        <v>303450</v>
      </c>
      <c r="G3761" s="5">
        <v>0</v>
      </c>
      <c r="H3761" s="5">
        <v>1300</v>
      </c>
      <c r="I3761" s="5">
        <v>109875</v>
      </c>
      <c r="J3761" s="263">
        <f t="shared" si="156"/>
        <v>0.36208601087493819</v>
      </c>
      <c r="K3761" s="24">
        <v>2061.5</v>
      </c>
      <c r="L3761" s="6">
        <v>2071</v>
      </c>
      <c r="M3761" s="270">
        <f t="shared" si="155"/>
        <v>9.5</v>
      </c>
      <c r="N3761" s="19"/>
      <c r="O3761" s="280"/>
      <c r="P3761" s="345">
        <v>15300</v>
      </c>
      <c r="Q3761" s="28">
        <f>178.88/1134.6</f>
        <v>0.15765908690287328</v>
      </c>
      <c r="U3761" s="29">
        <v>0.1</v>
      </c>
      <c r="W3761" s="741">
        <f t="shared" si="157"/>
        <v>2653.4024325753576</v>
      </c>
      <c r="Z3761" s="19"/>
    </row>
    <row r="3762" spans="1:26" ht="15" customHeight="1">
      <c r="A3762" s="3">
        <v>41162</v>
      </c>
      <c r="B3762" s="4">
        <v>39925</v>
      </c>
      <c r="C3762" s="4">
        <v>150575</v>
      </c>
      <c r="D3762" s="5">
        <v>66775</v>
      </c>
      <c r="E3762" s="5">
        <f t="shared" si="150"/>
        <v>45875</v>
      </c>
      <c r="F3762" s="5">
        <v>303150</v>
      </c>
      <c r="G3762" s="5">
        <v>475</v>
      </c>
      <c r="H3762" s="5">
        <v>775</v>
      </c>
      <c r="I3762" s="5">
        <v>112550</v>
      </c>
      <c r="J3762" s="263">
        <f t="shared" si="156"/>
        <v>0.37126834900214417</v>
      </c>
      <c r="K3762" s="24">
        <v>2117.5</v>
      </c>
      <c r="L3762" s="6">
        <v>2130.5</v>
      </c>
      <c r="M3762" s="270">
        <f t="shared" si="155"/>
        <v>13</v>
      </c>
      <c r="N3762" s="19"/>
      <c r="O3762" s="280"/>
      <c r="P3762" s="345">
        <v>15500</v>
      </c>
      <c r="Q3762" s="28">
        <f>178.23/1130.5</f>
        <v>0.15765590446704997</v>
      </c>
      <c r="U3762" s="29">
        <v>0.1</v>
      </c>
      <c r="W3762" s="741">
        <f t="shared" si="157"/>
        <v>2688.033171163202</v>
      </c>
      <c r="Z3762" s="19"/>
    </row>
    <row r="3763" spans="1:26" ht="15" customHeight="1">
      <c r="A3763" s="3">
        <v>41163</v>
      </c>
      <c r="B3763" s="4">
        <v>38425</v>
      </c>
      <c r="C3763" s="4">
        <v>151050</v>
      </c>
      <c r="D3763" s="5">
        <v>66725</v>
      </c>
      <c r="E3763" s="5">
        <f t="shared" si="150"/>
        <v>44450</v>
      </c>
      <c r="F3763" s="5">
        <v>300650</v>
      </c>
      <c r="G3763" s="5">
        <v>0</v>
      </c>
      <c r="H3763" s="5">
        <v>2500</v>
      </c>
      <c r="I3763" s="5">
        <v>110050</v>
      </c>
      <c r="J3763" s="263">
        <f t="shared" si="156"/>
        <v>0.36604024613337766</v>
      </c>
      <c r="K3763" s="24">
        <v>2101.5</v>
      </c>
      <c r="L3763" s="6">
        <v>2116</v>
      </c>
      <c r="M3763" s="270">
        <f t="shared" si="155"/>
        <v>14.5</v>
      </c>
      <c r="N3763" s="19"/>
      <c r="O3763" s="280"/>
      <c r="P3763" s="345">
        <v>15500</v>
      </c>
      <c r="Q3763" s="28">
        <f>178.07/1128.6</f>
        <v>0.15777954988481305</v>
      </c>
      <c r="U3763" s="29">
        <v>0.1</v>
      </c>
      <c r="W3763" s="741">
        <f t="shared" si="157"/>
        <v>2690.1413255360626</v>
      </c>
      <c r="Z3763" s="19"/>
    </row>
    <row r="3764" spans="1:26" ht="15" customHeight="1">
      <c r="A3764" s="3">
        <v>41164</v>
      </c>
      <c r="B3764" s="4">
        <v>36925</v>
      </c>
      <c r="C3764" s="4">
        <v>151050</v>
      </c>
      <c r="D3764" s="5">
        <v>66725</v>
      </c>
      <c r="E3764" s="5">
        <f t="shared" si="150"/>
        <v>43700</v>
      </c>
      <c r="F3764" s="5">
        <v>298400</v>
      </c>
      <c r="G3764" s="5">
        <v>0</v>
      </c>
      <c r="H3764" s="5">
        <v>2250</v>
      </c>
      <c r="I3764" s="5">
        <v>107800</v>
      </c>
      <c r="J3764" s="263">
        <f t="shared" si="156"/>
        <v>0.36126005361930297</v>
      </c>
      <c r="K3764" s="24">
        <v>2120.5</v>
      </c>
      <c r="L3764" s="6">
        <v>2133</v>
      </c>
      <c r="M3764" s="270">
        <f t="shared" si="155"/>
        <v>12.5</v>
      </c>
      <c r="N3764" s="19"/>
      <c r="P3764" s="345">
        <v>15500</v>
      </c>
      <c r="Q3764" s="28">
        <f>178.26/1129.3</f>
        <v>0.15784999557247853</v>
      </c>
      <c r="U3764" s="29">
        <v>0.1</v>
      </c>
      <c r="W3764" s="741">
        <f t="shared" si="157"/>
        <v>2691.342424510759</v>
      </c>
      <c r="Z3764" s="19"/>
    </row>
    <row r="3765" spans="1:26" ht="15" customHeight="1">
      <c r="A3765" s="3">
        <v>41165</v>
      </c>
      <c r="B3765" s="4">
        <v>35425</v>
      </c>
      <c r="C3765" s="4">
        <v>151050</v>
      </c>
      <c r="D3765" s="5">
        <v>66725</v>
      </c>
      <c r="E3765" s="5">
        <f t="shared" si="150"/>
        <v>42625</v>
      </c>
      <c r="F3765" s="5">
        <v>295825</v>
      </c>
      <c r="G3765" s="5">
        <v>0</v>
      </c>
      <c r="H3765" s="5">
        <v>2575</v>
      </c>
      <c r="I3765" s="5">
        <v>105225</v>
      </c>
      <c r="J3765" s="263">
        <f t="shared" si="156"/>
        <v>0.35570016056790332</v>
      </c>
      <c r="K3765" s="24">
        <v>2112.5</v>
      </c>
      <c r="L3765" s="6">
        <v>2128</v>
      </c>
      <c r="M3765" s="270">
        <f t="shared" si="155"/>
        <v>15.5</v>
      </c>
      <c r="N3765" s="19"/>
      <c r="O3765" s="280"/>
      <c r="P3765" s="345">
        <v>15550</v>
      </c>
      <c r="Q3765" s="28">
        <f>178.01/1126.2</f>
        <v>0.15806251109927189</v>
      </c>
      <c r="U3765" s="29">
        <v>0.1</v>
      </c>
      <c r="W3765" s="741">
        <f t="shared" si="157"/>
        <v>2703.6592523530458</v>
      </c>
      <c r="Z3765" s="19"/>
    </row>
    <row r="3766" spans="1:26" ht="15" customHeight="1">
      <c r="A3766" s="3">
        <v>41166</v>
      </c>
      <c r="B3766" s="4">
        <v>33925</v>
      </c>
      <c r="C3766" s="4">
        <v>151050</v>
      </c>
      <c r="D3766" s="5">
        <v>66725</v>
      </c>
      <c r="E3766" s="5">
        <f t="shared" si="150"/>
        <v>41500</v>
      </c>
      <c r="F3766" s="5">
        <v>293200</v>
      </c>
      <c r="G3766" s="5">
        <v>0</v>
      </c>
      <c r="H3766" s="5">
        <v>2625</v>
      </c>
      <c r="I3766" s="5">
        <v>109150</v>
      </c>
      <c r="J3766" s="263">
        <f t="shared" si="156"/>
        <v>0.37227148703956342</v>
      </c>
      <c r="K3766" s="24">
        <v>2243.5</v>
      </c>
      <c r="L3766" s="6">
        <v>2254</v>
      </c>
      <c r="M3766" s="270">
        <f t="shared" si="155"/>
        <v>10.5</v>
      </c>
      <c r="N3766" s="19"/>
      <c r="O3766" s="280"/>
      <c r="P3766" s="345">
        <v>15800</v>
      </c>
      <c r="Q3766" s="28">
        <f>178.18/1127.8</f>
        <v>0.15798900514275582</v>
      </c>
      <c r="U3766" s="29">
        <v>0.1</v>
      </c>
      <c r="W3766" s="741">
        <f t="shared" si="157"/>
        <v>2745.8489093810963</v>
      </c>
      <c r="Z3766" s="19"/>
    </row>
    <row r="3767" spans="1:26" ht="15" customHeight="1">
      <c r="A3767" s="3">
        <v>41169</v>
      </c>
      <c r="B3767" s="4">
        <v>32825</v>
      </c>
      <c r="C3767" s="4">
        <v>151050</v>
      </c>
      <c r="D3767" s="5">
        <v>66650</v>
      </c>
      <c r="E3767" s="5">
        <f t="shared" si="150"/>
        <v>40375</v>
      </c>
      <c r="F3767" s="5">
        <v>290900</v>
      </c>
      <c r="G3767" s="5">
        <v>0</v>
      </c>
      <c r="H3767" s="5">
        <v>2300</v>
      </c>
      <c r="I3767" s="5">
        <v>106850</v>
      </c>
      <c r="J3767" s="263">
        <f t="shared" si="156"/>
        <v>0.36730835338604334</v>
      </c>
      <c r="K3767" s="24">
        <v>2243</v>
      </c>
      <c r="L3767" s="6">
        <v>2251</v>
      </c>
      <c r="M3767" s="270">
        <f t="shared" si="155"/>
        <v>8</v>
      </c>
      <c r="N3767" s="19"/>
      <c r="O3767" s="280"/>
      <c r="P3767" s="345">
        <v>15800</v>
      </c>
      <c r="Q3767" s="28">
        <f>177.42/1120.4</f>
        <v>0.15835415922884682</v>
      </c>
      <c r="U3767" s="29">
        <v>0.1</v>
      </c>
      <c r="W3767" s="741">
        <f t="shared" si="157"/>
        <v>2752.1952873973582</v>
      </c>
      <c r="Z3767" s="19"/>
    </row>
    <row r="3768" spans="1:26" ht="15" customHeight="1">
      <c r="A3768" s="3">
        <v>41170</v>
      </c>
      <c r="B3768" s="4">
        <v>31675</v>
      </c>
      <c r="C3768" s="4">
        <v>151050</v>
      </c>
      <c r="D3768" s="5">
        <v>66375</v>
      </c>
      <c r="E3768" s="5">
        <f t="shared" si="150"/>
        <v>39450</v>
      </c>
      <c r="F3768" s="5">
        <v>288550</v>
      </c>
      <c r="G3768" s="5">
        <v>0</v>
      </c>
      <c r="H3768" s="5">
        <v>2350</v>
      </c>
      <c r="I3768" s="5">
        <v>104350</v>
      </c>
      <c r="J3768" s="263">
        <f t="shared" si="156"/>
        <v>0.36163576503205686</v>
      </c>
      <c r="K3768" s="24">
        <v>2235</v>
      </c>
      <c r="L3768" s="6">
        <v>2244</v>
      </c>
      <c r="M3768" s="270">
        <f t="shared" si="155"/>
        <v>9</v>
      </c>
      <c r="N3768" s="19"/>
      <c r="O3768" s="280"/>
      <c r="P3768" s="345">
        <v>15750</v>
      </c>
      <c r="Q3768" s="28">
        <f>176.49/1115</f>
        <v>0.15828699551569508</v>
      </c>
      <c r="U3768" s="29">
        <v>0.1</v>
      </c>
      <c r="W3768" s="741">
        <f t="shared" si="157"/>
        <v>2742.3221973094178</v>
      </c>
      <c r="Z3768" s="19"/>
    </row>
    <row r="3769" spans="1:26" ht="15" customHeight="1">
      <c r="A3769" s="3">
        <v>41171</v>
      </c>
      <c r="B3769" s="4">
        <v>30475</v>
      </c>
      <c r="C3769" s="4">
        <v>151050</v>
      </c>
      <c r="D3769" s="5">
        <v>65650</v>
      </c>
      <c r="E3769" s="5">
        <f t="shared" si="150"/>
        <v>38775</v>
      </c>
      <c r="F3769" s="5">
        <v>285950</v>
      </c>
      <c r="G3769" s="5">
        <v>0</v>
      </c>
      <c r="H3769" s="5">
        <v>2600</v>
      </c>
      <c r="I3769" s="5">
        <v>101750</v>
      </c>
      <c r="J3769" s="263">
        <f t="shared" si="156"/>
        <v>0.3558314390627732</v>
      </c>
      <c r="K3769" s="24">
        <v>2271.5</v>
      </c>
      <c r="L3769" s="6">
        <v>2281.5</v>
      </c>
      <c r="M3769" s="270">
        <f t="shared" si="155"/>
        <v>10</v>
      </c>
      <c r="N3769" s="19"/>
      <c r="O3769" s="280"/>
      <c r="P3769" s="345">
        <v>15750</v>
      </c>
      <c r="Q3769" s="28">
        <f>176.88/1117</f>
        <v>0.15835273052820054</v>
      </c>
      <c r="U3769" s="29">
        <v>0.1</v>
      </c>
      <c r="W3769" s="741">
        <f t="shared" ref="W3769:W3776" si="158">(P3769*Q3769)*(1+U3769)</f>
        <v>2743.4610564010745</v>
      </c>
      <c r="Z3769" s="19"/>
    </row>
    <row r="3770" spans="1:26" ht="15" customHeight="1">
      <c r="A3770" s="3">
        <v>41172</v>
      </c>
      <c r="B3770" s="4">
        <v>29300</v>
      </c>
      <c r="C3770" s="4">
        <v>151050</v>
      </c>
      <c r="D3770" s="5">
        <v>64950</v>
      </c>
      <c r="E3770" s="5">
        <f t="shared" si="150"/>
        <v>38575</v>
      </c>
      <c r="F3770" s="5">
        <v>283875</v>
      </c>
      <c r="G3770" s="5">
        <v>250</v>
      </c>
      <c r="H3770" s="5">
        <v>2325</v>
      </c>
      <c r="I3770" s="5">
        <v>99625</v>
      </c>
      <c r="J3770" s="263">
        <f t="shared" si="156"/>
        <v>0.35094671950682521</v>
      </c>
      <c r="K3770" s="24">
        <v>2229</v>
      </c>
      <c r="L3770" s="6">
        <v>2237</v>
      </c>
      <c r="M3770" s="270">
        <f t="shared" si="155"/>
        <v>8</v>
      </c>
      <c r="N3770" s="19"/>
      <c r="O3770" s="280"/>
      <c r="P3770" s="345">
        <v>15700</v>
      </c>
      <c r="Q3770" s="28">
        <f>177.06/1117.1</f>
        <v>0.15849968668874767</v>
      </c>
      <c r="U3770" s="29">
        <v>0.1</v>
      </c>
      <c r="W3770" s="741">
        <f t="shared" si="158"/>
        <v>2737.2895891146727</v>
      </c>
      <c r="Z3770" s="19"/>
    </row>
    <row r="3771" spans="1:26" ht="15" customHeight="1">
      <c r="A3771" s="3">
        <v>41173</v>
      </c>
      <c r="B3771" s="4">
        <v>27750</v>
      </c>
      <c r="C3771" s="4">
        <v>151300</v>
      </c>
      <c r="D3771" s="5">
        <v>64300</v>
      </c>
      <c r="E3771" s="5">
        <f t="shared" si="150"/>
        <v>40275</v>
      </c>
      <c r="F3771" s="5">
        <v>283625</v>
      </c>
      <c r="G3771" s="5">
        <v>2225</v>
      </c>
      <c r="H3771" s="5">
        <v>2475</v>
      </c>
      <c r="I3771" s="5">
        <v>97550</v>
      </c>
      <c r="J3771" s="263">
        <f t="shared" si="156"/>
        <v>0.34394006170118996</v>
      </c>
      <c r="K3771" s="24">
        <v>2276.5</v>
      </c>
      <c r="L3771" s="6">
        <v>2285</v>
      </c>
      <c r="M3771" s="270">
        <f t="shared" si="155"/>
        <v>8.5</v>
      </c>
      <c r="N3771" s="19"/>
      <c r="O3771" s="280"/>
      <c r="P3771" s="345">
        <v>15750</v>
      </c>
      <c r="Q3771" s="28">
        <f>177.39/1118.2</f>
        <v>0.15863888392058664</v>
      </c>
      <c r="U3771" s="29">
        <v>0.1</v>
      </c>
      <c r="W3771" s="741">
        <f t="shared" si="158"/>
        <v>2748.4186639241639</v>
      </c>
      <c r="Z3771" s="19"/>
    </row>
    <row r="3772" spans="1:26" ht="15" customHeight="1">
      <c r="A3772" s="3">
        <v>41176</v>
      </c>
      <c r="B3772" s="4">
        <v>26200</v>
      </c>
      <c r="C3772" s="4">
        <v>151300</v>
      </c>
      <c r="D3772" s="5">
        <v>63525</v>
      </c>
      <c r="E3772" s="5">
        <f t="shared" si="150"/>
        <v>40225</v>
      </c>
      <c r="F3772" s="5">
        <v>281250</v>
      </c>
      <c r="G3772" s="5">
        <v>0</v>
      </c>
      <c r="H3772" s="5">
        <v>2375</v>
      </c>
      <c r="I3772" s="5">
        <v>96250</v>
      </c>
      <c r="J3772" s="263">
        <f t="shared" si="156"/>
        <v>0.34222222222222221</v>
      </c>
      <c r="K3772" s="24">
        <v>2241.5</v>
      </c>
      <c r="L3772" s="6">
        <v>2250.5</v>
      </c>
      <c r="M3772" s="270">
        <f t="shared" si="155"/>
        <v>9</v>
      </c>
      <c r="N3772" s="19"/>
      <c r="O3772" s="280"/>
      <c r="P3772" s="345">
        <v>15700</v>
      </c>
      <c r="Q3772" s="28">
        <f>177.53/1119.4</f>
        <v>0.15859388958370554</v>
      </c>
      <c r="U3772" s="29">
        <v>0.1</v>
      </c>
      <c r="W3772" s="741">
        <f t="shared" si="158"/>
        <v>2738.9164731105948</v>
      </c>
      <c r="Z3772" s="19"/>
    </row>
    <row r="3773" spans="1:26" ht="15" customHeight="1">
      <c r="A3773" s="3">
        <v>41177</v>
      </c>
      <c r="B3773" s="4">
        <v>24725</v>
      </c>
      <c r="C3773" s="4">
        <v>151250</v>
      </c>
      <c r="D3773" s="5">
        <v>62875</v>
      </c>
      <c r="E3773" s="5">
        <f t="shared" si="150"/>
        <v>38750</v>
      </c>
      <c r="F3773" s="5">
        <v>277600</v>
      </c>
      <c r="G3773" s="5">
        <v>0</v>
      </c>
      <c r="H3773" s="5">
        <v>3650</v>
      </c>
      <c r="I3773" s="5">
        <v>92600</v>
      </c>
      <c r="J3773" s="263">
        <f t="shared" si="156"/>
        <v>0.33357348703170031</v>
      </c>
      <c r="K3773" s="24">
        <v>2285</v>
      </c>
      <c r="L3773" s="6">
        <v>2292.5</v>
      </c>
      <c r="M3773" s="270">
        <f t="shared" si="155"/>
        <v>7.5</v>
      </c>
      <c r="N3773" s="19"/>
      <c r="O3773" s="280"/>
      <c r="P3773" s="345">
        <v>15700</v>
      </c>
      <c r="Q3773" s="28">
        <f>177.48/1119.8</f>
        <v>0.15849258796213608</v>
      </c>
      <c r="U3773" s="29">
        <v>0.1</v>
      </c>
      <c r="W3773" s="741">
        <f t="shared" si="158"/>
        <v>2737.1669941060904</v>
      </c>
      <c r="Z3773" s="19"/>
    </row>
    <row r="3774" spans="1:26" ht="15" customHeight="1">
      <c r="A3774" s="3">
        <v>41178</v>
      </c>
      <c r="B3774" s="4">
        <v>23225</v>
      </c>
      <c r="C3774" s="4">
        <v>149750</v>
      </c>
      <c r="D3774" s="5">
        <v>62450</v>
      </c>
      <c r="E3774" s="5">
        <f t="shared" si="150"/>
        <v>38750</v>
      </c>
      <c r="F3774" s="5">
        <v>274175</v>
      </c>
      <c r="G3774" s="5">
        <v>0</v>
      </c>
      <c r="H3774" s="5">
        <v>3425</v>
      </c>
      <c r="I3774" s="5">
        <v>89175</v>
      </c>
      <c r="J3774" s="263">
        <f t="shared" si="156"/>
        <v>0.32524847269079965</v>
      </c>
      <c r="K3774" s="24">
        <v>2273</v>
      </c>
      <c r="L3774" s="6">
        <v>2283</v>
      </c>
      <c r="M3774" s="270">
        <f t="shared" si="155"/>
        <v>10</v>
      </c>
      <c r="N3774" s="19"/>
      <c r="P3774" s="345">
        <v>15750</v>
      </c>
      <c r="Q3774" s="28">
        <f>177.38/1118.6</f>
        <v>0.15857321652065082</v>
      </c>
      <c r="U3774" s="29">
        <v>0.1</v>
      </c>
      <c r="W3774" s="741">
        <f t="shared" si="158"/>
        <v>2747.280976220276</v>
      </c>
      <c r="Z3774" s="19"/>
    </row>
    <row r="3775" spans="1:26" ht="15" customHeight="1">
      <c r="A3775" s="3">
        <v>41179</v>
      </c>
      <c r="B3775" s="4">
        <v>21725</v>
      </c>
      <c r="C3775" s="4">
        <v>148250</v>
      </c>
      <c r="D3775" s="5">
        <v>61925</v>
      </c>
      <c r="E3775" s="5">
        <f t="shared" si="150"/>
        <v>38750</v>
      </c>
      <c r="F3775" s="5">
        <v>270650</v>
      </c>
      <c r="G3775" s="5">
        <v>0</v>
      </c>
      <c r="H3775" s="5">
        <v>3525</v>
      </c>
      <c r="I3775" s="5">
        <v>85650</v>
      </c>
      <c r="J3775" s="263">
        <f t="shared" si="156"/>
        <v>0.31646037317568815</v>
      </c>
      <c r="K3775" s="24">
        <v>2265.5</v>
      </c>
      <c r="L3775" s="6">
        <v>2274</v>
      </c>
      <c r="M3775" s="270">
        <f t="shared" si="155"/>
        <v>8.5</v>
      </c>
      <c r="N3775" s="19"/>
      <c r="O3775" s="280"/>
      <c r="P3775" s="345">
        <v>15700</v>
      </c>
      <c r="Q3775" s="28">
        <f>177.83/1120.7</f>
        <v>0.15867761220665655</v>
      </c>
      <c r="U3775" s="29">
        <v>0.1</v>
      </c>
      <c r="W3775" s="741">
        <f t="shared" si="158"/>
        <v>2740.362362808959</v>
      </c>
      <c r="Z3775" s="19"/>
    </row>
    <row r="3776" spans="1:26" ht="15" customHeight="1">
      <c r="A3776" s="3">
        <v>41180</v>
      </c>
      <c r="B3776" s="4">
        <v>20025</v>
      </c>
      <c r="C3776" s="4">
        <v>146750</v>
      </c>
      <c r="D3776" s="5">
        <v>61125</v>
      </c>
      <c r="E3776" s="5">
        <f t="shared" si="150"/>
        <v>39800</v>
      </c>
      <c r="F3776" s="5">
        <v>267700</v>
      </c>
      <c r="G3776" s="5">
        <v>0</v>
      </c>
      <c r="H3776" s="5">
        <v>2950</v>
      </c>
      <c r="I3776" s="5">
        <v>82700</v>
      </c>
      <c r="J3776" s="263">
        <f t="shared" si="156"/>
        <v>0.30892790437056405</v>
      </c>
      <c r="K3776" s="24">
        <v>2300</v>
      </c>
      <c r="L3776" s="6">
        <v>2301</v>
      </c>
      <c r="M3776" s="270">
        <f t="shared" si="155"/>
        <v>1</v>
      </c>
      <c r="N3776" s="255">
        <f>AVERAGE(K3757:K3776)</f>
        <v>2169.2750000000001</v>
      </c>
      <c r="O3776" s="290">
        <f>AVERAGE(K3575:K3776)</f>
        <v>2014.6941489361702</v>
      </c>
      <c r="P3776" s="345">
        <v>15700</v>
      </c>
      <c r="Q3776" s="28">
        <f>177.49/1118.6</f>
        <v>0.15867155372787414</v>
      </c>
      <c r="U3776" s="29">
        <v>0.1</v>
      </c>
      <c r="W3776" s="741">
        <f t="shared" si="158"/>
        <v>2740.2577328803868</v>
      </c>
      <c r="Z3776" s="19"/>
    </row>
    <row r="3777" spans="1:26" s="258" customFormat="1" ht="15" customHeight="1" thickBot="1">
      <c r="A3777" s="391"/>
      <c r="B3777" s="1002" t="s">
        <v>103</v>
      </c>
      <c r="C3777" s="1002"/>
      <c r="D3777" s="1002"/>
      <c r="E3777" s="1002"/>
      <c r="F3777" s="391"/>
      <c r="G3777" s="254">
        <f>SUM(G3757:G3776)</f>
        <v>3475</v>
      </c>
      <c r="H3777" s="254">
        <f>SUM(H3757:H3776)</f>
        <v>46000</v>
      </c>
      <c r="I3777" s="254"/>
      <c r="J3777" s="269"/>
      <c r="K3777" s="251"/>
      <c r="L3777" s="256"/>
      <c r="M3777" s="274"/>
      <c r="N3777" s="257"/>
      <c r="O3777" s="292"/>
      <c r="P3777" s="350"/>
      <c r="Q3777" s="299"/>
      <c r="R3777" s="299"/>
      <c r="S3777" s="299"/>
      <c r="T3777" s="299"/>
      <c r="U3777" s="300"/>
      <c r="V3777" s="298">
        <f>AVERAGE(P3757:P3776)</f>
        <v>15557.5</v>
      </c>
      <c r="W3777" s="746"/>
    </row>
    <row r="3778" spans="1:26" ht="15" customHeight="1">
      <c r="A3778" s="3">
        <v>41183</v>
      </c>
      <c r="B3778" s="4">
        <v>18525</v>
      </c>
      <c r="C3778" s="4">
        <v>146300</v>
      </c>
      <c r="D3778" s="5">
        <v>60625</v>
      </c>
      <c r="E3778" s="5">
        <f t="shared" si="150"/>
        <v>39625</v>
      </c>
      <c r="F3778" s="5">
        <v>265075</v>
      </c>
      <c r="G3778" s="5">
        <v>625</v>
      </c>
      <c r="H3778" s="5">
        <v>3250</v>
      </c>
      <c r="I3778" s="5">
        <v>79450</v>
      </c>
      <c r="J3778" s="263">
        <f t="shared" si="156"/>
        <v>0.29972649250212202</v>
      </c>
      <c r="K3778" s="24">
        <v>2238.5</v>
      </c>
      <c r="L3778" s="6">
        <v>2247.5</v>
      </c>
      <c r="M3778" s="270">
        <f t="shared" si="155"/>
        <v>9</v>
      </c>
      <c r="N3778" s="19"/>
      <c r="O3778" s="280"/>
      <c r="P3778" s="388"/>
      <c r="Q3778" s="1034" t="s">
        <v>122</v>
      </c>
      <c r="R3778" s="1034"/>
      <c r="S3778" s="1034"/>
      <c r="T3778" s="1034"/>
      <c r="U3778" s="1034"/>
      <c r="V3778" s="386"/>
      <c r="W3778" s="747"/>
      <c r="Z3778" s="19"/>
    </row>
    <row r="3779" spans="1:26" ht="15" customHeight="1">
      <c r="A3779" s="3">
        <v>41184</v>
      </c>
      <c r="B3779" s="4">
        <v>17375</v>
      </c>
      <c r="C3779" s="4">
        <v>145050</v>
      </c>
      <c r="D3779" s="5">
        <v>60175</v>
      </c>
      <c r="E3779" s="5">
        <f t="shared" si="150"/>
        <v>39375</v>
      </c>
      <c r="F3779" s="5">
        <v>261975</v>
      </c>
      <c r="G3779" s="5">
        <v>0</v>
      </c>
      <c r="H3779" s="5">
        <v>3100</v>
      </c>
      <c r="I3779" s="5">
        <v>76450</v>
      </c>
      <c r="J3779" s="263">
        <f t="shared" si="156"/>
        <v>0.2918217387155263</v>
      </c>
      <c r="K3779" s="24">
        <v>2315</v>
      </c>
      <c r="L3779" s="6">
        <v>2322</v>
      </c>
      <c r="M3779" s="270">
        <f t="shared" si="155"/>
        <v>7</v>
      </c>
      <c r="N3779" s="19"/>
      <c r="O3779" s="280"/>
      <c r="P3779" s="389"/>
      <c r="Q3779" s="1007"/>
      <c r="R3779" s="1007"/>
      <c r="S3779" s="1007"/>
      <c r="T3779" s="1007"/>
      <c r="U3779" s="1007"/>
      <c r="V3779" s="26"/>
      <c r="W3779" s="748"/>
      <c r="Z3779" s="19"/>
    </row>
    <row r="3780" spans="1:26" ht="15" customHeight="1">
      <c r="A3780" s="3">
        <v>41185</v>
      </c>
      <c r="B3780" s="4">
        <v>15850</v>
      </c>
      <c r="C3780" s="4">
        <v>143550</v>
      </c>
      <c r="D3780" s="5">
        <v>59825</v>
      </c>
      <c r="E3780" s="5">
        <f t="shared" si="150"/>
        <v>40675</v>
      </c>
      <c r="F3780" s="5">
        <v>259900</v>
      </c>
      <c r="G3780" s="5">
        <v>0</v>
      </c>
      <c r="H3780" s="5">
        <v>2075</v>
      </c>
      <c r="I3780" s="5">
        <v>74575</v>
      </c>
      <c r="J3780" s="263">
        <f t="shared" si="156"/>
        <v>0.28693728357060405</v>
      </c>
      <c r="K3780" s="24">
        <v>2293.5</v>
      </c>
      <c r="L3780" s="6">
        <v>2303</v>
      </c>
      <c r="M3780" s="270">
        <f t="shared" si="155"/>
        <v>9.5</v>
      </c>
      <c r="N3780" s="19"/>
      <c r="O3780" s="280"/>
      <c r="P3780" s="389"/>
      <c r="Q3780" s="1007"/>
      <c r="R3780" s="1007"/>
      <c r="S3780" s="1007"/>
      <c r="T3780" s="1007"/>
      <c r="U3780" s="1007"/>
      <c r="V3780" s="26"/>
      <c r="W3780" s="748"/>
      <c r="Z3780" s="19"/>
    </row>
    <row r="3781" spans="1:26" ht="15" customHeight="1">
      <c r="A3781" s="3">
        <v>41186</v>
      </c>
      <c r="B3781" s="4">
        <v>14350</v>
      </c>
      <c r="C3781" s="4">
        <v>143350</v>
      </c>
      <c r="D3781" s="5">
        <v>59350</v>
      </c>
      <c r="E3781" s="5">
        <f t="shared" si="150"/>
        <v>40725</v>
      </c>
      <c r="F3781" s="5">
        <v>257775</v>
      </c>
      <c r="G3781" s="5">
        <v>0</v>
      </c>
      <c r="H3781" s="5">
        <v>2125</v>
      </c>
      <c r="I3781" s="5">
        <v>72675</v>
      </c>
      <c r="J3781" s="263">
        <f t="shared" si="156"/>
        <v>0.28193191736979922</v>
      </c>
      <c r="K3781" s="24">
        <v>2308.5</v>
      </c>
      <c r="L3781" s="6">
        <v>2313</v>
      </c>
      <c r="M3781" s="270">
        <f t="shared" si="155"/>
        <v>4.5</v>
      </c>
      <c r="N3781" s="19"/>
      <c r="P3781" s="389"/>
      <c r="Q3781" s="1007"/>
      <c r="R3781" s="1007"/>
      <c r="S3781" s="1007"/>
      <c r="T3781" s="1007"/>
      <c r="U3781" s="1007"/>
      <c r="V3781" s="26"/>
      <c r="W3781" s="748"/>
      <c r="Z3781" s="19"/>
    </row>
    <row r="3782" spans="1:26" ht="15" customHeight="1">
      <c r="A3782" s="3">
        <v>41187</v>
      </c>
      <c r="B3782" s="4">
        <v>12850</v>
      </c>
      <c r="C3782" s="4">
        <v>143200</v>
      </c>
      <c r="D3782" s="5">
        <v>58800</v>
      </c>
      <c r="E3782" s="5">
        <f t="shared" si="150"/>
        <v>39725</v>
      </c>
      <c r="F3782" s="5">
        <v>254575</v>
      </c>
      <c r="G3782" s="5">
        <v>350</v>
      </c>
      <c r="H3782" s="5">
        <v>3550</v>
      </c>
      <c r="I3782" s="5">
        <v>106625</v>
      </c>
      <c r="J3782" s="263">
        <f t="shared" si="156"/>
        <v>0.41883531375822447</v>
      </c>
      <c r="K3782" s="24">
        <v>2265</v>
      </c>
      <c r="L3782" s="6">
        <v>2269</v>
      </c>
      <c r="M3782" s="270">
        <f t="shared" si="155"/>
        <v>4</v>
      </c>
      <c r="N3782" s="19"/>
      <c r="O3782" s="280"/>
      <c r="P3782" s="389"/>
      <c r="Q3782" s="1007"/>
      <c r="R3782" s="1007"/>
      <c r="S3782" s="1007"/>
      <c r="T3782" s="1007"/>
      <c r="U3782" s="1007"/>
      <c r="V3782" s="26"/>
      <c r="W3782" s="748"/>
      <c r="Z3782" s="19"/>
    </row>
    <row r="3783" spans="1:26" ht="15" customHeight="1">
      <c r="A3783" s="3">
        <v>41190</v>
      </c>
      <c r="B3783" s="4">
        <v>11600</v>
      </c>
      <c r="C3783" s="4">
        <v>142050</v>
      </c>
      <c r="D3783" s="5">
        <v>58325</v>
      </c>
      <c r="E3783" s="5">
        <f t="shared" si="150"/>
        <v>39375</v>
      </c>
      <c r="F3783" s="5">
        <v>251350</v>
      </c>
      <c r="G3783" s="5">
        <v>0</v>
      </c>
      <c r="H3783" s="5">
        <v>3225</v>
      </c>
      <c r="I3783" s="5">
        <v>103400</v>
      </c>
      <c r="J3783" s="263">
        <f t="shared" si="156"/>
        <v>0.4113785557986871</v>
      </c>
      <c r="K3783" s="24">
        <v>2243</v>
      </c>
      <c r="L3783" s="6">
        <v>2252</v>
      </c>
      <c r="M3783" s="270">
        <f t="shared" si="155"/>
        <v>9</v>
      </c>
      <c r="N3783" s="19"/>
      <c r="O3783" s="280"/>
      <c r="P3783" s="345">
        <v>15700</v>
      </c>
      <c r="Q3783" s="28">
        <f>176.72/1110.6</f>
        <v>0.15912119575004502</v>
      </c>
      <c r="U3783" s="29">
        <v>0.1</v>
      </c>
      <c r="W3783" s="741">
        <f t="shared" ref="W3783:W3800" si="159">(P3783*Q3783)*(1+U3783)</f>
        <v>2748.0230506032776</v>
      </c>
      <c r="Z3783" s="19"/>
    </row>
    <row r="3784" spans="1:26" ht="15" customHeight="1">
      <c r="A3784" s="3">
        <v>41191</v>
      </c>
      <c r="B3784" s="4">
        <v>10100</v>
      </c>
      <c r="C3784" s="4">
        <v>140550</v>
      </c>
      <c r="D3784" s="5">
        <v>57825</v>
      </c>
      <c r="E3784" s="5">
        <f t="shared" si="150"/>
        <v>39375</v>
      </c>
      <c r="F3784" s="5">
        <v>247850</v>
      </c>
      <c r="G3784" s="5">
        <v>0</v>
      </c>
      <c r="H3784" s="5">
        <v>3500</v>
      </c>
      <c r="I3784" s="5">
        <v>102900</v>
      </c>
      <c r="J3784" s="263">
        <f t="shared" si="156"/>
        <v>0.41517046600766594</v>
      </c>
      <c r="K3784" s="24">
        <v>2251</v>
      </c>
      <c r="L3784" s="6">
        <v>2257.5</v>
      </c>
      <c r="M3784" s="270">
        <f t="shared" si="155"/>
        <v>6.5</v>
      </c>
      <c r="N3784" s="19"/>
      <c r="O3784" s="280"/>
      <c r="P3784" s="345">
        <v>15700</v>
      </c>
      <c r="Q3784" s="28">
        <f>176.74/1111.3</f>
        <v>0.15903896337622606</v>
      </c>
      <c r="U3784" s="29">
        <v>0.1</v>
      </c>
      <c r="W3784" s="741">
        <f t="shared" si="159"/>
        <v>2746.6028975074246</v>
      </c>
      <c r="Z3784" s="19"/>
    </row>
    <row r="3785" spans="1:26" ht="15" customHeight="1">
      <c r="A3785" s="3">
        <v>41192</v>
      </c>
      <c r="B3785" s="4">
        <v>8575</v>
      </c>
      <c r="C3785" s="4">
        <v>139050</v>
      </c>
      <c r="D3785" s="5">
        <v>57525</v>
      </c>
      <c r="E3785" s="5">
        <f t="shared" si="150"/>
        <v>60525</v>
      </c>
      <c r="F3785" s="5">
        <v>265675</v>
      </c>
      <c r="G3785" s="5">
        <v>31100</v>
      </c>
      <c r="H3785" s="5">
        <v>3275</v>
      </c>
      <c r="I3785" s="5">
        <v>99800</v>
      </c>
      <c r="J3785" s="263">
        <f t="shared" si="156"/>
        <v>0.37564693704714408</v>
      </c>
      <c r="K3785" s="24">
        <v>2215</v>
      </c>
      <c r="L3785" s="6">
        <v>2221</v>
      </c>
      <c r="M3785" s="270">
        <f t="shared" si="155"/>
        <v>6</v>
      </c>
      <c r="N3785" s="19"/>
      <c r="O3785" s="280"/>
      <c r="P3785" s="345">
        <v>15650</v>
      </c>
      <c r="Q3785" s="28">
        <f>176.63/1110.6</f>
        <v>0.15904015847289754</v>
      </c>
      <c r="U3785" s="29">
        <v>0.1</v>
      </c>
      <c r="W3785" s="741">
        <f t="shared" si="159"/>
        <v>2737.8763281109314</v>
      </c>
      <c r="Z3785" s="19"/>
    </row>
    <row r="3786" spans="1:26" ht="15" customHeight="1">
      <c r="A3786" s="3">
        <v>41193</v>
      </c>
      <c r="B3786" s="4">
        <v>7075</v>
      </c>
      <c r="C3786" s="4">
        <v>138450</v>
      </c>
      <c r="D3786" s="5">
        <v>57075</v>
      </c>
      <c r="E3786" s="5">
        <f t="shared" si="150"/>
        <v>78575</v>
      </c>
      <c r="F3786" s="5">
        <v>281175</v>
      </c>
      <c r="G3786" s="5">
        <v>19100</v>
      </c>
      <c r="H3786" s="5">
        <v>3600</v>
      </c>
      <c r="I3786" s="5">
        <v>96300</v>
      </c>
      <c r="J3786" s="263">
        <f t="shared" si="156"/>
        <v>0.34249133102160578</v>
      </c>
      <c r="K3786" s="24">
        <v>2208</v>
      </c>
      <c r="L3786" s="6">
        <v>2213</v>
      </c>
      <c r="M3786" s="270">
        <f t="shared" si="155"/>
        <v>5</v>
      </c>
      <c r="N3786" s="19"/>
      <c r="O3786" s="280"/>
      <c r="P3786" s="345">
        <v>15600</v>
      </c>
      <c r="Q3786" s="28">
        <f>177.34/1114.3</f>
        <v>0.15914924167638878</v>
      </c>
      <c r="U3786" s="29">
        <v>0.1</v>
      </c>
      <c r="W3786" s="741">
        <f t="shared" si="159"/>
        <v>2731.0009871668317</v>
      </c>
      <c r="Z3786" s="19"/>
    </row>
    <row r="3787" spans="1:26" ht="15" customHeight="1">
      <c r="A3787" s="3">
        <v>41194</v>
      </c>
      <c r="B3787" s="4">
        <v>5375</v>
      </c>
      <c r="C3787" s="4">
        <v>136950</v>
      </c>
      <c r="D3787" s="5">
        <v>56525</v>
      </c>
      <c r="E3787" s="5">
        <f t="shared" si="150"/>
        <v>97875</v>
      </c>
      <c r="F3787" s="5">
        <v>296725</v>
      </c>
      <c r="G3787" s="5">
        <v>19175</v>
      </c>
      <c r="H3787" s="5">
        <v>3625</v>
      </c>
      <c r="I3787" s="5">
        <v>93100</v>
      </c>
      <c r="J3787" s="263">
        <f t="shared" si="156"/>
        <v>0.31375853062600051</v>
      </c>
      <c r="K3787" s="24">
        <v>2169</v>
      </c>
      <c r="L3787" s="6">
        <v>2166</v>
      </c>
      <c r="M3787" s="270">
        <f t="shared" si="155"/>
        <v>-3</v>
      </c>
      <c r="N3787" s="19"/>
      <c r="O3787" s="280"/>
      <c r="P3787" s="345">
        <v>15600</v>
      </c>
      <c r="Q3787" s="28">
        <f>177.7/1115.4</f>
        <v>0.15931504393042853</v>
      </c>
      <c r="U3787" s="29">
        <v>0.1</v>
      </c>
      <c r="W3787" s="741">
        <f t="shared" si="159"/>
        <v>2733.8461538461538</v>
      </c>
      <c r="Z3787" s="19"/>
    </row>
    <row r="3788" spans="1:26" ht="15" customHeight="1">
      <c r="A3788" s="3">
        <v>41197</v>
      </c>
      <c r="B3788" s="4">
        <v>3850</v>
      </c>
      <c r="C3788" s="4">
        <v>135975</v>
      </c>
      <c r="D3788" s="5">
        <v>56025</v>
      </c>
      <c r="E3788" s="5">
        <f t="shared" si="150"/>
        <v>105850</v>
      </c>
      <c r="F3788" s="5">
        <v>301700</v>
      </c>
      <c r="G3788" s="5">
        <v>19175</v>
      </c>
      <c r="H3788" s="5">
        <v>3625</v>
      </c>
      <c r="I3788" s="5">
        <v>93025</v>
      </c>
      <c r="J3788" s="263">
        <f t="shared" si="156"/>
        <v>0.30833609545906532</v>
      </c>
      <c r="K3788" s="24">
        <v>2139</v>
      </c>
      <c r="L3788" s="6">
        <v>2147</v>
      </c>
      <c r="M3788" s="270">
        <f t="shared" si="155"/>
        <v>8</v>
      </c>
      <c r="N3788" s="19"/>
      <c r="O3788" s="280"/>
      <c r="P3788" s="345">
        <v>15550</v>
      </c>
      <c r="Q3788" s="28">
        <f>177.29/1111.1</f>
        <v>0.15956259562595626</v>
      </c>
      <c r="U3788" s="29">
        <v>0.1</v>
      </c>
      <c r="W3788" s="741">
        <f t="shared" si="159"/>
        <v>2729.3181981819816</v>
      </c>
      <c r="Z3788" s="19"/>
    </row>
    <row r="3789" spans="1:26" ht="15" customHeight="1">
      <c r="A3789" s="3">
        <v>41198</v>
      </c>
      <c r="B3789" s="4">
        <v>2575</v>
      </c>
      <c r="C3789" s="4">
        <v>135975</v>
      </c>
      <c r="D3789" s="5">
        <v>55675</v>
      </c>
      <c r="E3789" s="5">
        <f t="shared" si="150"/>
        <v>106200</v>
      </c>
      <c r="F3789" s="5">
        <v>300425</v>
      </c>
      <c r="G3789" s="5">
        <v>1225</v>
      </c>
      <c r="H3789" s="5">
        <v>2500</v>
      </c>
      <c r="I3789" s="5">
        <v>109425</v>
      </c>
      <c r="J3789" s="263">
        <f t="shared" si="156"/>
        <v>0.36423400183073978</v>
      </c>
      <c r="K3789" s="24">
        <v>2128</v>
      </c>
      <c r="L3789" s="6">
        <v>2128</v>
      </c>
      <c r="M3789" s="270">
        <f t="shared" si="155"/>
        <v>0</v>
      </c>
      <c r="N3789" s="19"/>
      <c r="O3789" s="280"/>
      <c r="P3789" s="345">
        <v>15550</v>
      </c>
      <c r="Q3789" s="28">
        <f>177.36/1112.1</f>
        <v>0.15948206096574052</v>
      </c>
      <c r="U3789" s="29">
        <v>0.1</v>
      </c>
      <c r="W3789" s="741">
        <f t="shared" si="159"/>
        <v>2727.940652818992</v>
      </c>
      <c r="Z3789" s="19"/>
    </row>
    <row r="3790" spans="1:26" ht="15" customHeight="1">
      <c r="A3790" s="3">
        <v>41199</v>
      </c>
      <c r="B3790" s="4">
        <v>1525</v>
      </c>
      <c r="C3790" s="4">
        <v>135100</v>
      </c>
      <c r="D3790" s="5">
        <v>55125</v>
      </c>
      <c r="E3790" s="5">
        <f t="shared" si="150"/>
        <v>105500</v>
      </c>
      <c r="F3790" s="5">
        <v>297250</v>
      </c>
      <c r="G3790" s="5">
        <v>0</v>
      </c>
      <c r="H3790" s="5">
        <v>3175</v>
      </c>
      <c r="I3790" s="5">
        <v>109425</v>
      </c>
      <c r="J3790" s="263">
        <f t="shared" si="156"/>
        <v>0.36812447434819173</v>
      </c>
      <c r="K3790" s="24">
        <v>2112</v>
      </c>
      <c r="L3790" s="6">
        <v>2119</v>
      </c>
      <c r="M3790" s="270">
        <f t="shared" si="155"/>
        <v>7</v>
      </c>
      <c r="N3790" s="259"/>
      <c r="O3790" s="293"/>
      <c r="P3790" s="345">
        <v>15500</v>
      </c>
      <c r="Q3790" s="28">
        <f>176.74/1107.1</f>
        <v>0.15964230873453167</v>
      </c>
      <c r="U3790" s="29">
        <v>0.1</v>
      </c>
      <c r="W3790" s="741">
        <f t="shared" si="159"/>
        <v>2721.9013639237651</v>
      </c>
      <c r="Z3790" s="19"/>
    </row>
    <row r="3791" spans="1:26" ht="15" customHeight="1">
      <c r="A3791" s="3">
        <v>41200</v>
      </c>
      <c r="B3791" s="4">
        <v>1525</v>
      </c>
      <c r="C3791" s="4">
        <v>133600</v>
      </c>
      <c r="D3791" s="5">
        <v>54650</v>
      </c>
      <c r="E3791" s="5">
        <f t="shared" si="150"/>
        <v>105500</v>
      </c>
      <c r="F3791" s="5">
        <v>295275</v>
      </c>
      <c r="G3791" s="5">
        <v>0</v>
      </c>
      <c r="H3791" s="5">
        <v>1975</v>
      </c>
      <c r="I3791" s="5">
        <v>107450</v>
      </c>
      <c r="J3791" s="263">
        <f t="shared" si="156"/>
        <v>0.36389806112945561</v>
      </c>
      <c r="K3791" s="24">
        <v>2167</v>
      </c>
      <c r="L3791" s="6">
        <v>2170</v>
      </c>
      <c r="M3791" s="270">
        <f t="shared" si="155"/>
        <v>3</v>
      </c>
      <c r="N3791" s="259"/>
      <c r="O3791" s="293"/>
      <c r="P3791" s="345">
        <v>15550</v>
      </c>
      <c r="Q3791" s="28">
        <f>176.67/1105</f>
        <v>0.15988235294117645</v>
      </c>
      <c r="U3791" s="29">
        <v>0.1</v>
      </c>
      <c r="W3791" s="741">
        <f t="shared" si="159"/>
        <v>2734.7876470588235</v>
      </c>
      <c r="Z3791" s="19"/>
    </row>
    <row r="3792" spans="1:26" ht="15" customHeight="1">
      <c r="A3792" s="3">
        <v>41201</v>
      </c>
      <c r="B3792" s="4">
        <v>1525</v>
      </c>
      <c r="C3792" s="4">
        <v>132100</v>
      </c>
      <c r="D3792" s="5">
        <v>54350</v>
      </c>
      <c r="E3792" s="5">
        <f t="shared" si="150"/>
        <v>105700</v>
      </c>
      <c r="F3792" s="5">
        <v>293675</v>
      </c>
      <c r="G3792" s="5">
        <v>200</v>
      </c>
      <c r="H3792" s="5">
        <v>1800</v>
      </c>
      <c r="I3792" s="5">
        <v>111050</v>
      </c>
      <c r="J3792" s="263">
        <f t="shared" si="156"/>
        <v>0.37813909934451351</v>
      </c>
      <c r="K3792" s="24">
        <v>2134.5</v>
      </c>
      <c r="L3792" s="6">
        <v>2141</v>
      </c>
      <c r="M3792" s="270">
        <f t="shared" si="155"/>
        <v>6.5</v>
      </c>
      <c r="N3792" s="259"/>
      <c r="O3792" s="293"/>
      <c r="P3792" s="345">
        <v>15450</v>
      </c>
      <c r="Q3792" s="28">
        <f>176.76/1104.8</f>
        <v>0.15999275887038378</v>
      </c>
      <c r="U3792" s="29">
        <v>0.1</v>
      </c>
      <c r="W3792" s="741">
        <f t="shared" si="159"/>
        <v>2719.0769370021726</v>
      </c>
      <c r="Z3792" s="19"/>
    </row>
    <row r="3793" spans="1:26" ht="15" customHeight="1">
      <c r="A3793" s="3">
        <v>41204</v>
      </c>
      <c r="B3793" s="4">
        <v>1525</v>
      </c>
      <c r="C3793" s="4">
        <v>130600</v>
      </c>
      <c r="D3793" s="5">
        <v>54300</v>
      </c>
      <c r="E3793" s="5">
        <f t="shared" si="150"/>
        <v>113750</v>
      </c>
      <c r="F3793" s="5">
        <v>300175</v>
      </c>
      <c r="G3793" s="5">
        <v>8025</v>
      </c>
      <c r="H3793" s="5">
        <v>1525</v>
      </c>
      <c r="I3793" s="5">
        <v>109525</v>
      </c>
      <c r="J3793" s="263">
        <f t="shared" si="156"/>
        <v>0.36487049221287582</v>
      </c>
      <c r="K3793" s="24">
        <v>2093.5</v>
      </c>
      <c r="L3793" s="6">
        <v>2094</v>
      </c>
      <c r="M3793" s="270">
        <f t="shared" si="155"/>
        <v>0.5</v>
      </c>
      <c r="N3793" s="259"/>
      <c r="O3793" s="293"/>
      <c r="P3793" s="345">
        <v>15400</v>
      </c>
      <c r="Q3793" s="28">
        <f>176.74/1105.3</f>
        <v>0.15990228897132003</v>
      </c>
      <c r="U3793" s="29">
        <v>0.1</v>
      </c>
      <c r="W3793" s="741">
        <f t="shared" si="159"/>
        <v>2708.7447751741615</v>
      </c>
      <c r="Z3793" s="19"/>
    </row>
    <row r="3794" spans="1:26" ht="15" customHeight="1">
      <c r="A3794" s="3">
        <v>41205</v>
      </c>
      <c r="B3794" s="4">
        <v>1525</v>
      </c>
      <c r="C3794" s="4">
        <v>129125</v>
      </c>
      <c r="D3794" s="5">
        <v>54300</v>
      </c>
      <c r="E3794" s="5">
        <f t="shared" si="150"/>
        <v>127600</v>
      </c>
      <c r="F3794" s="5">
        <v>312550</v>
      </c>
      <c r="G3794" s="5">
        <v>13875</v>
      </c>
      <c r="H3794" s="5">
        <v>1500</v>
      </c>
      <c r="I3794" s="5">
        <v>109250</v>
      </c>
      <c r="J3794" s="263">
        <f t="shared" si="156"/>
        <v>0.34954407294832829</v>
      </c>
      <c r="K3794" s="24">
        <v>2024</v>
      </c>
      <c r="L3794" s="6">
        <v>2026</v>
      </c>
      <c r="M3794" s="270">
        <f t="shared" si="155"/>
        <v>2</v>
      </c>
      <c r="N3794" s="259"/>
      <c r="O3794" s="293"/>
      <c r="P3794" s="345">
        <v>15350</v>
      </c>
      <c r="Q3794" s="28">
        <f>176.69/1105.1</f>
        <v>0.15988598316894401</v>
      </c>
      <c r="U3794" s="29">
        <v>0.1</v>
      </c>
      <c r="W3794" s="741">
        <f t="shared" si="159"/>
        <v>2699.6748258076195</v>
      </c>
      <c r="Z3794" s="19"/>
    </row>
    <row r="3795" spans="1:26" ht="15" customHeight="1">
      <c r="A3795" s="3">
        <v>41206</v>
      </c>
      <c r="B3795" s="4">
        <v>1525</v>
      </c>
      <c r="C3795" s="4">
        <v>127625</v>
      </c>
      <c r="D3795" s="5">
        <v>54275</v>
      </c>
      <c r="E3795" s="5">
        <f t="shared" si="150"/>
        <v>127550</v>
      </c>
      <c r="F3795" s="5">
        <v>310975</v>
      </c>
      <c r="G3795" s="5">
        <v>0</v>
      </c>
      <c r="H3795" s="5">
        <v>1575</v>
      </c>
      <c r="I3795" s="5">
        <v>107675</v>
      </c>
      <c r="J3795" s="263">
        <f t="shared" si="156"/>
        <v>0.34624969852882065</v>
      </c>
      <c r="K3795" s="24">
        <v>2020</v>
      </c>
      <c r="L3795" s="6">
        <v>2016</v>
      </c>
      <c r="M3795" s="270">
        <f t="shared" si="155"/>
        <v>-4</v>
      </c>
      <c r="N3795" s="259"/>
      <c r="O3795" s="293"/>
      <c r="P3795" s="345">
        <v>15150</v>
      </c>
      <c r="Q3795" s="28">
        <f>176.43/1102.3</f>
        <v>0.16005624603102606</v>
      </c>
      <c r="U3795" s="29">
        <v>0.1</v>
      </c>
      <c r="W3795" s="741">
        <f t="shared" si="159"/>
        <v>2667.3373401070494</v>
      </c>
      <c r="Z3795" s="19"/>
    </row>
    <row r="3796" spans="1:26" ht="15" customHeight="1">
      <c r="A3796" s="3">
        <v>41207</v>
      </c>
      <c r="B3796" s="4">
        <v>1525</v>
      </c>
      <c r="C3796" s="4">
        <v>126125</v>
      </c>
      <c r="D3796" s="5">
        <v>54275</v>
      </c>
      <c r="E3796" s="5">
        <f t="shared" si="150"/>
        <v>127950</v>
      </c>
      <c r="F3796" s="5">
        <v>309875</v>
      </c>
      <c r="G3796" s="5">
        <v>525</v>
      </c>
      <c r="H3796" s="5">
        <v>1625</v>
      </c>
      <c r="I3796" s="5">
        <v>108330</v>
      </c>
      <c r="J3796" s="263">
        <f t="shared" si="156"/>
        <v>0.34959257765227914</v>
      </c>
      <c r="K3796" s="24">
        <v>2029.5</v>
      </c>
      <c r="L3796" s="6">
        <v>2025</v>
      </c>
      <c r="M3796" s="270">
        <f t="shared" si="155"/>
        <v>-4.5</v>
      </c>
      <c r="N3796" s="259"/>
      <c r="O3796" s="293"/>
      <c r="P3796" s="345">
        <v>15150</v>
      </c>
      <c r="Q3796" s="28">
        <f>176.65/1103.7</f>
        <v>0.16005255051191447</v>
      </c>
      <c r="U3796" s="29">
        <v>0.1</v>
      </c>
      <c r="W3796" s="741">
        <f t="shared" si="159"/>
        <v>2667.275754281055</v>
      </c>
      <c r="Z3796" s="19"/>
    </row>
    <row r="3797" spans="1:26" ht="15" customHeight="1">
      <c r="A3797" s="3">
        <v>41208</v>
      </c>
      <c r="B3797" s="4">
        <v>1500</v>
      </c>
      <c r="C3797" s="4">
        <v>125150</v>
      </c>
      <c r="D3797" s="5">
        <v>54200</v>
      </c>
      <c r="E3797" s="5">
        <f t="shared" si="150"/>
        <v>129475</v>
      </c>
      <c r="F3797" s="5">
        <v>310325</v>
      </c>
      <c r="G3797" s="5">
        <v>2075</v>
      </c>
      <c r="H3797" s="5">
        <v>1625</v>
      </c>
      <c r="I3797" s="5">
        <v>106825</v>
      </c>
      <c r="J3797" s="263">
        <f t="shared" si="156"/>
        <v>0.34423588173688874</v>
      </c>
      <c r="K3797" s="24">
        <v>2002</v>
      </c>
      <c r="L3797" s="6">
        <v>1997</v>
      </c>
      <c r="M3797" s="270">
        <f t="shared" si="155"/>
        <v>-5</v>
      </c>
      <c r="N3797" s="259"/>
      <c r="O3797" s="293"/>
      <c r="P3797" s="345">
        <v>15100</v>
      </c>
      <c r="Q3797" s="28">
        <f>176.46/1101.4</f>
        <v>0.16021427274378064</v>
      </c>
      <c r="U3797" s="29">
        <v>0.1</v>
      </c>
      <c r="W3797" s="741">
        <f t="shared" si="159"/>
        <v>2661.1590702741969</v>
      </c>
      <c r="Z3797" s="19"/>
    </row>
    <row r="3798" spans="1:26" ht="15" customHeight="1">
      <c r="A3798" s="3">
        <v>41211</v>
      </c>
      <c r="B3798" s="4">
        <v>1500</v>
      </c>
      <c r="C3798" s="4">
        <v>123650</v>
      </c>
      <c r="D3798" s="5">
        <v>54125</v>
      </c>
      <c r="E3798" s="5">
        <f t="shared" si="150"/>
        <v>147400</v>
      </c>
      <c r="F3798" s="5">
        <v>326675</v>
      </c>
      <c r="G3798" s="5">
        <v>16425</v>
      </c>
      <c r="H3798" s="5">
        <v>75</v>
      </c>
      <c r="I3798" s="5">
        <v>160750</v>
      </c>
      <c r="J3798" s="263">
        <f t="shared" si="156"/>
        <v>0.49207928369174253</v>
      </c>
      <c r="K3798" s="24">
        <v>2010</v>
      </c>
      <c r="L3798" s="6">
        <v>2006</v>
      </c>
      <c r="M3798" s="270">
        <f t="shared" si="155"/>
        <v>-4</v>
      </c>
      <c r="N3798" s="259"/>
      <c r="P3798" s="345">
        <v>15000</v>
      </c>
      <c r="Q3798" s="28">
        <f>175.48/1096.5</f>
        <v>0.16003647970816232</v>
      </c>
      <c r="U3798" s="29">
        <v>0.1</v>
      </c>
      <c r="W3798" s="741">
        <f t="shared" si="159"/>
        <v>2640.6019151846781</v>
      </c>
      <c r="Z3798" s="19"/>
    </row>
    <row r="3799" spans="1:26" ht="15" customHeight="1">
      <c r="A3799" s="3">
        <v>41212</v>
      </c>
      <c r="B3799" s="4">
        <v>1500</v>
      </c>
      <c r="C3799" s="4">
        <v>123650</v>
      </c>
      <c r="D3799" s="5">
        <v>53950</v>
      </c>
      <c r="E3799" s="5">
        <f t="shared" si="150"/>
        <v>145675</v>
      </c>
      <c r="F3799" s="5">
        <v>324775</v>
      </c>
      <c r="G3799" s="5">
        <v>0</v>
      </c>
      <c r="H3799" s="5">
        <v>1900</v>
      </c>
      <c r="I3799" s="5">
        <v>130275</v>
      </c>
      <c r="J3799" s="263">
        <f t="shared" si="156"/>
        <v>0.4011238549765222</v>
      </c>
      <c r="K3799" s="24">
        <v>2064.5</v>
      </c>
      <c r="L3799" s="6">
        <v>2052.5</v>
      </c>
      <c r="M3799" s="270">
        <f t="shared" si="155"/>
        <v>-12</v>
      </c>
      <c r="N3799" s="259"/>
      <c r="O3799" s="293"/>
      <c r="P3799" s="345">
        <v>14950</v>
      </c>
      <c r="Q3799" s="28">
        <f>175.52/1095.9</f>
        <v>0.16016059859476228</v>
      </c>
      <c r="U3799" s="29">
        <v>0.1</v>
      </c>
      <c r="W3799" s="741">
        <f t="shared" si="159"/>
        <v>2633.8410438908659</v>
      </c>
      <c r="Z3799" s="19"/>
    </row>
    <row r="3800" spans="1:26" ht="15" customHeight="1">
      <c r="A3800" s="3">
        <v>41213</v>
      </c>
      <c r="B3800" s="4">
        <v>1500</v>
      </c>
      <c r="C3800" s="4">
        <v>122150</v>
      </c>
      <c r="D3800" s="5">
        <v>53950</v>
      </c>
      <c r="E3800" s="5">
        <f t="shared" si="150"/>
        <v>146425</v>
      </c>
      <c r="F3800" s="5">
        <v>324025</v>
      </c>
      <c r="G3800" s="5">
        <v>0</v>
      </c>
      <c r="H3800" s="5">
        <v>750</v>
      </c>
      <c r="I3800" s="5">
        <v>129525</v>
      </c>
      <c r="J3800" s="263">
        <f t="shared" si="156"/>
        <v>0.39973767456214798</v>
      </c>
      <c r="K3800" s="24">
        <v>2095.5</v>
      </c>
      <c r="L3800" s="6">
        <v>2081</v>
      </c>
      <c r="M3800" s="270">
        <f t="shared" si="155"/>
        <v>-14.5</v>
      </c>
      <c r="N3800" s="255">
        <f>AVERAGE(K3778:K3800)</f>
        <v>2153.304347826087</v>
      </c>
      <c r="O3800" s="290">
        <f>AVERAGE(K3575:K3800)</f>
        <v>2029.8033175355449</v>
      </c>
      <c r="P3800" s="345">
        <v>15000</v>
      </c>
      <c r="Q3800" s="28">
        <f>175.32/1094.1</f>
        <v>0.16024129421442282</v>
      </c>
      <c r="U3800" s="29">
        <v>0.1</v>
      </c>
      <c r="W3800" s="741">
        <f t="shared" si="159"/>
        <v>2643.9813545379766</v>
      </c>
      <c r="Z3800" s="19"/>
    </row>
    <row r="3801" spans="1:26" s="258" customFormat="1" ht="15" customHeight="1" thickBot="1">
      <c r="A3801" s="391"/>
      <c r="B3801" s="1002" t="s">
        <v>102</v>
      </c>
      <c r="C3801" s="1002"/>
      <c r="D3801" s="1002"/>
      <c r="E3801" s="1002"/>
      <c r="F3801" s="391"/>
      <c r="G3801" s="307">
        <f>SUM(G3778:G3800)</f>
        <v>131875</v>
      </c>
      <c r="H3801" s="254">
        <f>SUM(H3778:H3800)</f>
        <v>54975</v>
      </c>
      <c r="I3801" s="254"/>
      <c r="J3801" s="269"/>
      <c r="K3801" s="251"/>
      <c r="L3801" s="256"/>
      <c r="M3801" s="274"/>
      <c r="N3801" s="257"/>
      <c r="O3801" s="292"/>
      <c r="P3801" s="350"/>
      <c r="Q3801" s="299"/>
      <c r="R3801" s="299"/>
      <c r="S3801" s="299"/>
      <c r="T3801" s="299"/>
      <c r="U3801" s="300"/>
      <c r="V3801" s="298">
        <f>AVERAGE(P3783:P3800)</f>
        <v>15386.111111111111</v>
      </c>
      <c r="W3801" s="746"/>
    </row>
    <row r="3802" spans="1:26" ht="15" customHeight="1">
      <c r="A3802" s="3">
        <v>41214</v>
      </c>
      <c r="B3802" s="4">
        <v>1500</v>
      </c>
      <c r="C3802" s="4">
        <v>121400</v>
      </c>
      <c r="D3802" s="5">
        <v>53950</v>
      </c>
      <c r="E3802" s="5">
        <f>F3802-(B3802+C3802+D3802)</f>
        <v>145675</v>
      </c>
      <c r="F3802" s="5">
        <v>322525</v>
      </c>
      <c r="G3802" s="5">
        <v>0</v>
      </c>
      <c r="H3802" s="5">
        <v>1500</v>
      </c>
      <c r="I3802" s="5">
        <v>128025</v>
      </c>
      <c r="J3802" s="263">
        <f t="shared" si="156"/>
        <v>0.39694597318037361</v>
      </c>
      <c r="K3802" s="24">
        <v>2123</v>
      </c>
      <c r="L3802" s="6">
        <v>2110</v>
      </c>
      <c r="M3802" s="270">
        <f t="shared" si="155"/>
        <v>-13</v>
      </c>
      <c r="N3802" s="259"/>
      <c r="O3802" s="293"/>
      <c r="P3802" s="345">
        <v>15000</v>
      </c>
      <c r="Q3802" s="28">
        <f>174.85/1090.6</f>
        <v>0.16032459196772419</v>
      </c>
      <c r="U3802" s="29">
        <v>0.1</v>
      </c>
      <c r="W3802" s="741">
        <f t="shared" ref="W3802:W3822" si="160">(P3802*Q3802)*(1+U3802)</f>
        <v>2645.3557674674494</v>
      </c>
      <c r="Z3802" s="19"/>
    </row>
    <row r="3803" spans="1:26" ht="15" customHeight="1">
      <c r="A3803" s="3">
        <v>41215</v>
      </c>
      <c r="B3803" s="4">
        <v>1500</v>
      </c>
      <c r="C3803" s="4">
        <v>119900</v>
      </c>
      <c r="D3803" s="5">
        <v>53775</v>
      </c>
      <c r="E3803" s="5">
        <f t="shared" si="150"/>
        <v>145525</v>
      </c>
      <c r="F3803" s="5">
        <v>320700</v>
      </c>
      <c r="G3803" s="5">
        <v>0</v>
      </c>
      <c r="H3803" s="5">
        <v>1825</v>
      </c>
      <c r="I3803" s="5">
        <v>136875</v>
      </c>
      <c r="J3803" s="263">
        <f t="shared" si="156"/>
        <v>0.42680074836295601</v>
      </c>
      <c r="K3803" s="24">
        <v>2148</v>
      </c>
      <c r="L3803" s="6">
        <v>2135</v>
      </c>
      <c r="M3803" s="270">
        <f t="shared" si="155"/>
        <v>-13</v>
      </c>
      <c r="N3803" s="259"/>
      <c r="O3803" s="293"/>
      <c r="P3803" s="345">
        <v>15050</v>
      </c>
      <c r="Q3803" s="28">
        <f>174.79/1090.9</f>
        <v>0.1602255018791823</v>
      </c>
      <c r="U3803" s="29">
        <v>0.1</v>
      </c>
      <c r="W3803" s="741">
        <f t="shared" si="160"/>
        <v>2652.533183609863</v>
      </c>
      <c r="Z3803" s="19"/>
    </row>
    <row r="3804" spans="1:26" ht="15" customHeight="1">
      <c r="A3804" s="3">
        <v>41218</v>
      </c>
      <c r="B3804" s="4">
        <v>1500</v>
      </c>
      <c r="C3804" s="4">
        <v>118400</v>
      </c>
      <c r="D3804" s="5">
        <v>53775</v>
      </c>
      <c r="E3804" s="5">
        <f t="shared" si="150"/>
        <v>145375</v>
      </c>
      <c r="F3804" s="5">
        <v>319050</v>
      </c>
      <c r="G3804" s="5">
        <v>0</v>
      </c>
      <c r="H3804" s="5">
        <v>1650</v>
      </c>
      <c r="I3804" s="5">
        <v>135225</v>
      </c>
      <c r="J3804" s="263">
        <f t="shared" si="156"/>
        <v>0.42383638928067702</v>
      </c>
      <c r="K3804" s="24">
        <v>2096.5</v>
      </c>
      <c r="L3804" s="6">
        <v>2093</v>
      </c>
      <c r="M3804" s="270">
        <f t="shared" si="155"/>
        <v>-3.5</v>
      </c>
      <c r="N3804" s="259"/>
      <c r="P3804" s="345">
        <v>14950</v>
      </c>
      <c r="Q3804" s="28">
        <f>174.83/1091.2</f>
        <v>0.16021810850439883</v>
      </c>
      <c r="U3804" s="29">
        <v>0.1</v>
      </c>
      <c r="W3804" s="741">
        <f t="shared" si="160"/>
        <v>2634.786794354839</v>
      </c>
      <c r="Z3804" s="19"/>
    </row>
    <row r="3805" spans="1:26" ht="15" customHeight="1">
      <c r="A3805" s="3">
        <v>41219</v>
      </c>
      <c r="B3805" s="4">
        <v>1500</v>
      </c>
      <c r="C3805" s="4">
        <v>116900</v>
      </c>
      <c r="D3805" s="5">
        <v>53775</v>
      </c>
      <c r="E3805" s="5">
        <f t="shared" si="150"/>
        <v>146350</v>
      </c>
      <c r="F3805" s="5">
        <v>318525</v>
      </c>
      <c r="G3805" s="5">
        <v>0</v>
      </c>
      <c r="H3805" s="5">
        <v>525</v>
      </c>
      <c r="I3805" s="5">
        <v>134700</v>
      </c>
      <c r="J3805" s="263">
        <f t="shared" si="156"/>
        <v>0.42288674358370615</v>
      </c>
      <c r="K3805" s="24">
        <v>2170</v>
      </c>
      <c r="L3805" s="6">
        <v>2156</v>
      </c>
      <c r="M3805" s="270">
        <f t="shared" si="155"/>
        <v>-14</v>
      </c>
      <c r="N3805" s="259"/>
      <c r="O3805" s="293"/>
      <c r="P3805" s="345">
        <v>15000</v>
      </c>
      <c r="Q3805" s="28">
        <f>174.8/1091.7</f>
        <v>0.16011724832829533</v>
      </c>
      <c r="U3805" s="29">
        <v>0.1</v>
      </c>
      <c r="W3805" s="741">
        <f t="shared" si="160"/>
        <v>2641.9345974168727</v>
      </c>
      <c r="Z3805" s="19"/>
    </row>
    <row r="3806" spans="1:26" ht="15" customHeight="1">
      <c r="A3806" s="3">
        <v>41220</v>
      </c>
      <c r="B3806" s="4">
        <v>1500</v>
      </c>
      <c r="C3806" s="4">
        <v>116500</v>
      </c>
      <c r="D3806" s="5">
        <v>53775</v>
      </c>
      <c r="E3806" s="5">
        <f t="shared" si="150"/>
        <v>145675</v>
      </c>
      <c r="F3806" s="5">
        <v>317450</v>
      </c>
      <c r="G3806" s="5">
        <v>0</v>
      </c>
      <c r="H3806" s="5">
        <v>1075</v>
      </c>
      <c r="I3806" s="5">
        <v>133625</v>
      </c>
      <c r="J3806" s="263">
        <f t="shared" si="156"/>
        <v>0.42093243030398486</v>
      </c>
      <c r="K3806" s="24">
        <v>2203</v>
      </c>
      <c r="L3806" s="6">
        <v>2177</v>
      </c>
      <c r="M3806" s="270">
        <f t="shared" si="155"/>
        <v>-26</v>
      </c>
      <c r="N3806" s="259"/>
      <c r="P3806" s="345">
        <v>15000</v>
      </c>
      <c r="Q3806" s="28">
        <f>174.76/1091.5</f>
        <v>0.16010994044892349</v>
      </c>
      <c r="U3806" s="29">
        <v>0.1</v>
      </c>
      <c r="W3806" s="741">
        <f t="shared" si="160"/>
        <v>2641.8140174072378</v>
      </c>
      <c r="Z3806" s="19"/>
    </row>
    <row r="3807" spans="1:26" ht="15" customHeight="1">
      <c r="A3807" s="3">
        <v>41221</v>
      </c>
      <c r="B3807" s="4">
        <v>1500</v>
      </c>
      <c r="C3807" s="4">
        <v>116500</v>
      </c>
      <c r="D3807" s="5">
        <v>53775</v>
      </c>
      <c r="E3807" s="5">
        <f t="shared" si="150"/>
        <v>143000</v>
      </c>
      <c r="F3807" s="5">
        <v>314775</v>
      </c>
      <c r="G3807" s="5">
        <v>0</v>
      </c>
      <c r="H3807" s="5">
        <v>2675</v>
      </c>
      <c r="I3807" s="5">
        <v>130950</v>
      </c>
      <c r="J3807" s="263">
        <f t="shared" si="156"/>
        <v>0.41601143674052893</v>
      </c>
      <c r="K3807" s="24">
        <v>2203</v>
      </c>
      <c r="L3807" s="6">
        <v>2185</v>
      </c>
      <c r="M3807" s="270">
        <f t="shared" si="155"/>
        <v>-18</v>
      </c>
      <c r="N3807" s="259"/>
      <c r="O3807" s="293"/>
      <c r="P3807" s="345">
        <v>15000</v>
      </c>
      <c r="Q3807" s="28">
        <f>174.11/1087.1</f>
        <v>0.16016005887222889</v>
      </c>
      <c r="U3807" s="29">
        <v>0.1</v>
      </c>
      <c r="W3807" s="741">
        <f t="shared" si="160"/>
        <v>2642.6409713917769</v>
      </c>
      <c r="Z3807" s="19"/>
    </row>
    <row r="3808" spans="1:26" ht="15" customHeight="1">
      <c r="A3808" s="3">
        <v>41222</v>
      </c>
      <c r="B3808" s="4">
        <v>1500</v>
      </c>
      <c r="C3808" s="4">
        <v>116500</v>
      </c>
      <c r="D3808" s="5">
        <v>53750</v>
      </c>
      <c r="E3808" s="5">
        <f t="shared" si="150"/>
        <v>162250</v>
      </c>
      <c r="F3808" s="5">
        <v>334000</v>
      </c>
      <c r="G3808" s="5">
        <v>22300</v>
      </c>
      <c r="H3808" s="5">
        <v>3075</v>
      </c>
      <c r="I3808" s="5">
        <v>127875</v>
      </c>
      <c r="J3808" s="263">
        <f t="shared" si="156"/>
        <v>0.38285928143712578</v>
      </c>
      <c r="K3808" s="24">
        <v>2180</v>
      </c>
      <c r="L3808" s="6">
        <v>2156.5</v>
      </c>
      <c r="M3808" s="270">
        <f t="shared" si="155"/>
        <v>-23.5</v>
      </c>
      <c r="N3808" s="259"/>
      <c r="O3808" s="293"/>
      <c r="P3808" s="345">
        <v>15050</v>
      </c>
      <c r="Q3808" s="28">
        <f>174.31/1088.2</f>
        <v>0.16018195184708692</v>
      </c>
      <c r="U3808" s="29">
        <v>0.1</v>
      </c>
      <c r="W3808" s="741">
        <f t="shared" si="160"/>
        <v>2651.812212828524</v>
      </c>
      <c r="Z3808" s="19"/>
    </row>
    <row r="3809" spans="1:26" ht="15" customHeight="1">
      <c r="A3809" s="3">
        <v>41225</v>
      </c>
      <c r="B3809" s="4">
        <v>1500</v>
      </c>
      <c r="C3809" s="4">
        <v>138800</v>
      </c>
      <c r="D3809" s="5">
        <v>53750</v>
      </c>
      <c r="E3809" s="5">
        <f t="shared" si="150"/>
        <v>136975</v>
      </c>
      <c r="F3809" s="5">
        <v>331025</v>
      </c>
      <c r="G3809" s="5">
        <v>0</v>
      </c>
      <c r="H3809" s="5">
        <v>2975</v>
      </c>
      <c r="I3809" s="5">
        <v>124900</v>
      </c>
      <c r="J3809" s="263">
        <f t="shared" si="156"/>
        <v>0.37731289177554567</v>
      </c>
      <c r="K3809" s="24">
        <v>2180</v>
      </c>
      <c r="L3809" s="6">
        <v>2150.5</v>
      </c>
      <c r="M3809" s="270">
        <f t="shared" si="155"/>
        <v>-29.5</v>
      </c>
      <c r="N3809" s="259"/>
      <c r="O3809" s="293"/>
      <c r="P3809" s="345">
        <v>14850</v>
      </c>
      <c r="Q3809" s="28">
        <f>174.47/1089.6</f>
        <v>0.16012298091042584</v>
      </c>
      <c r="U3809" s="29">
        <v>0.1</v>
      </c>
      <c r="W3809" s="741">
        <f t="shared" si="160"/>
        <v>2615.6088931718068</v>
      </c>
      <c r="Z3809" s="19"/>
    </row>
    <row r="3810" spans="1:26" ht="15" customHeight="1">
      <c r="A3810" s="3">
        <v>41226</v>
      </c>
      <c r="B3810" s="4">
        <v>1475</v>
      </c>
      <c r="C3810" s="4">
        <v>138800</v>
      </c>
      <c r="D3810" s="5">
        <v>53725</v>
      </c>
      <c r="E3810" s="5">
        <f t="shared" si="150"/>
        <v>133950</v>
      </c>
      <c r="F3810" s="5">
        <v>327950</v>
      </c>
      <c r="G3810" s="5">
        <v>0</v>
      </c>
      <c r="H3810" s="5">
        <v>3075</v>
      </c>
      <c r="I3810" s="5">
        <v>121825</v>
      </c>
      <c r="J3810" s="263">
        <f t="shared" si="156"/>
        <v>0.37147431010824822</v>
      </c>
      <c r="K3810" s="24">
        <v>2163.5</v>
      </c>
      <c r="L3810" s="6">
        <v>2149</v>
      </c>
      <c r="M3810" s="270">
        <f t="shared" si="155"/>
        <v>-14.5</v>
      </c>
      <c r="N3810" s="259"/>
      <c r="O3810" s="293"/>
      <c r="P3810" s="345">
        <v>14900</v>
      </c>
      <c r="Q3810" s="28">
        <f>174.73/1088.4</f>
        <v>0.16053840499816241</v>
      </c>
      <c r="U3810" s="29">
        <v>0.1</v>
      </c>
      <c r="W3810" s="741">
        <f t="shared" si="160"/>
        <v>2631.2244579198818</v>
      </c>
      <c r="Z3810" s="19"/>
    </row>
    <row r="3811" spans="1:26" ht="15" customHeight="1">
      <c r="A3811" s="3">
        <v>41227</v>
      </c>
      <c r="B3811" s="4">
        <v>1475</v>
      </c>
      <c r="C3811" s="4">
        <v>138800</v>
      </c>
      <c r="D3811" s="5">
        <v>53725</v>
      </c>
      <c r="E3811" s="5">
        <f t="shared" si="150"/>
        <v>132875</v>
      </c>
      <c r="F3811" s="5">
        <v>326875</v>
      </c>
      <c r="G3811" s="5">
        <v>0</v>
      </c>
      <c r="H3811" s="5">
        <v>1075</v>
      </c>
      <c r="I3811" s="5">
        <v>120750</v>
      </c>
      <c r="J3811" s="263">
        <f t="shared" si="156"/>
        <v>0.3694072657743786</v>
      </c>
      <c r="K3811" s="24">
        <v>2188</v>
      </c>
      <c r="L3811" s="6">
        <v>2168</v>
      </c>
      <c r="M3811" s="270">
        <f t="shared" si="155"/>
        <v>-20</v>
      </c>
      <c r="N3811" s="259"/>
      <c r="O3811" s="293"/>
      <c r="P3811" s="345">
        <v>14900</v>
      </c>
      <c r="Q3811" s="28">
        <f>175.12/1090.3</f>
        <v>0.16061634412547007</v>
      </c>
      <c r="U3811" s="29">
        <v>0.1</v>
      </c>
      <c r="W3811" s="741">
        <f t="shared" si="160"/>
        <v>2632.5018802164545</v>
      </c>
      <c r="Z3811" s="19"/>
    </row>
    <row r="3812" spans="1:26" ht="15" customHeight="1">
      <c r="A3812" s="3">
        <v>41228</v>
      </c>
      <c r="B3812" s="4">
        <v>1475</v>
      </c>
      <c r="C3812" s="4">
        <v>138800</v>
      </c>
      <c r="D3812" s="5">
        <v>53725</v>
      </c>
      <c r="E3812" s="5">
        <f t="shared" si="150"/>
        <v>129800</v>
      </c>
      <c r="F3812" s="5">
        <v>323800</v>
      </c>
      <c r="G3812" s="5">
        <v>0</v>
      </c>
      <c r="H3812" s="5">
        <v>3075</v>
      </c>
      <c r="I3812" s="5">
        <v>117675</v>
      </c>
      <c r="J3812" s="263">
        <f t="shared" si="156"/>
        <v>0.36341877702285363</v>
      </c>
      <c r="K3812" s="24">
        <v>2188</v>
      </c>
      <c r="L3812" s="6">
        <v>2177</v>
      </c>
      <c r="M3812" s="270">
        <f t="shared" si="155"/>
        <v>-11</v>
      </c>
      <c r="N3812" s="259"/>
      <c r="O3812" s="293"/>
      <c r="P3812" s="345">
        <v>14850</v>
      </c>
      <c r="Q3812" s="28">
        <f>174.66/1087.3</f>
        <v>0.16063643888531223</v>
      </c>
      <c r="U3812" s="29">
        <v>0.1</v>
      </c>
      <c r="W3812" s="741">
        <f t="shared" si="160"/>
        <v>2623.9962291915754</v>
      </c>
      <c r="Z3812" s="19"/>
    </row>
    <row r="3813" spans="1:26" ht="15" customHeight="1">
      <c r="A3813" s="3">
        <v>41229</v>
      </c>
      <c r="B3813" s="4">
        <v>1475</v>
      </c>
      <c r="C3813" s="4">
        <v>138800</v>
      </c>
      <c r="D3813" s="5">
        <v>53725</v>
      </c>
      <c r="E3813" s="5">
        <f t="shared" si="150"/>
        <v>138250</v>
      </c>
      <c r="F3813" s="5">
        <v>332250</v>
      </c>
      <c r="G3813" s="5">
        <v>11425</v>
      </c>
      <c r="H3813" s="5">
        <v>2975</v>
      </c>
      <c r="I3813" s="5">
        <v>114700</v>
      </c>
      <c r="J3813" s="263">
        <f t="shared" si="156"/>
        <v>0.345221971407073</v>
      </c>
      <c r="K3813" s="24">
        <v>2180</v>
      </c>
      <c r="L3813" s="6">
        <v>2163</v>
      </c>
      <c r="M3813" s="270">
        <f t="shared" si="155"/>
        <v>-17</v>
      </c>
      <c r="N3813" s="259"/>
      <c r="O3813" s="293"/>
      <c r="P3813" s="345">
        <v>14900</v>
      </c>
      <c r="Q3813" s="28">
        <f>174.34/1086.7</f>
        <v>0.16043066163614614</v>
      </c>
      <c r="U3813" s="29">
        <v>0.1</v>
      </c>
      <c r="W3813" s="741">
        <f t="shared" si="160"/>
        <v>2629.4585442164357</v>
      </c>
      <c r="Z3813" s="19"/>
    </row>
    <row r="3814" spans="1:26" ht="15" customHeight="1">
      <c r="A3814" s="3">
        <v>41232</v>
      </c>
      <c r="B3814" s="4">
        <v>1475</v>
      </c>
      <c r="C3814" s="4">
        <v>150225</v>
      </c>
      <c r="D3814" s="5">
        <v>53700</v>
      </c>
      <c r="E3814" s="5">
        <f t="shared" si="150"/>
        <v>133600</v>
      </c>
      <c r="F3814" s="5">
        <v>339000</v>
      </c>
      <c r="G3814" s="5">
        <v>9850</v>
      </c>
      <c r="H3814" s="5">
        <v>3100</v>
      </c>
      <c r="I3814" s="5">
        <v>111600</v>
      </c>
      <c r="J3814" s="263">
        <f t="shared" si="156"/>
        <v>0.32920353982300887</v>
      </c>
      <c r="K3814" s="24">
        <v>2174.5</v>
      </c>
      <c r="L3814" s="6">
        <v>2168</v>
      </c>
      <c r="M3814" s="270">
        <f t="shared" si="155"/>
        <v>-6.5</v>
      </c>
      <c r="N3814" s="259"/>
      <c r="O3814" s="293"/>
      <c r="P3814" s="345">
        <v>14900</v>
      </c>
      <c r="Q3814" s="28">
        <f>174.69/1089.3</f>
        <v>0.16036904434040211</v>
      </c>
      <c r="U3814" s="29">
        <v>0.1</v>
      </c>
      <c r="W3814" s="741">
        <f t="shared" si="160"/>
        <v>2628.448636739191</v>
      </c>
      <c r="Z3814" s="19"/>
    </row>
    <row r="3815" spans="1:26" ht="15" customHeight="1">
      <c r="A3815" s="3">
        <v>41233</v>
      </c>
      <c r="B3815" s="4">
        <v>1475</v>
      </c>
      <c r="C3815" s="4">
        <v>160075</v>
      </c>
      <c r="D3815" s="5">
        <v>53700</v>
      </c>
      <c r="E3815" s="5">
        <f t="shared" si="150"/>
        <v>121175</v>
      </c>
      <c r="F3815" s="5">
        <v>336425</v>
      </c>
      <c r="G3815" s="5">
        <v>0</v>
      </c>
      <c r="H3815" s="5">
        <v>2575</v>
      </c>
      <c r="I3815" s="5">
        <v>109025</v>
      </c>
      <c r="J3815" s="263">
        <f t="shared" si="156"/>
        <v>0.32406925763543137</v>
      </c>
      <c r="K3815" s="24">
        <v>2187</v>
      </c>
      <c r="L3815" s="6">
        <v>2183</v>
      </c>
      <c r="M3815" s="270">
        <f t="shared" ref="M3815:M3820" si="161">L3815-K3815</f>
        <v>-4</v>
      </c>
      <c r="N3815" s="259"/>
      <c r="O3815" s="293"/>
      <c r="P3815" s="345">
        <v>14850</v>
      </c>
      <c r="Q3815" s="28">
        <f>174.34/1086.9</f>
        <v>0.16040114085932466</v>
      </c>
      <c r="U3815" s="29">
        <v>0.1</v>
      </c>
      <c r="W3815" s="741">
        <f t="shared" si="160"/>
        <v>2620.1526359370687</v>
      </c>
      <c r="Z3815" s="19"/>
    </row>
    <row r="3816" spans="1:26" ht="15" customHeight="1">
      <c r="A3816" s="3">
        <v>41234</v>
      </c>
      <c r="B3816" s="4">
        <v>1475</v>
      </c>
      <c r="C3816" s="4">
        <v>160075</v>
      </c>
      <c r="D3816" s="5">
        <v>53475</v>
      </c>
      <c r="E3816" s="5">
        <f t="shared" si="150"/>
        <v>146600</v>
      </c>
      <c r="F3816" s="5">
        <v>361625</v>
      </c>
      <c r="G3816" s="5">
        <v>25425</v>
      </c>
      <c r="H3816" s="5">
        <v>225</v>
      </c>
      <c r="I3816" s="5">
        <v>140800</v>
      </c>
      <c r="J3816" s="263">
        <f t="shared" si="156"/>
        <v>0.38935361216730036</v>
      </c>
      <c r="K3816" s="24">
        <v>2147</v>
      </c>
      <c r="L3816" s="6">
        <v>2148</v>
      </c>
      <c r="M3816" s="270">
        <f t="shared" si="161"/>
        <v>1</v>
      </c>
      <c r="N3816" s="259"/>
      <c r="O3816" s="293"/>
      <c r="P3816" s="345">
        <v>14800</v>
      </c>
      <c r="Q3816" s="28">
        <f>173.76/1083</f>
        <v>0.16044321329639888</v>
      </c>
      <c r="U3816" s="29">
        <v>0.1</v>
      </c>
      <c r="W3816" s="741">
        <f t="shared" si="160"/>
        <v>2612.0155124653743</v>
      </c>
      <c r="Z3816" s="19"/>
    </row>
    <row r="3817" spans="1:26" ht="15" customHeight="1">
      <c r="A3817" s="3">
        <v>41235</v>
      </c>
      <c r="B3817" s="4">
        <v>1475</v>
      </c>
      <c r="C3817" s="4">
        <v>160075</v>
      </c>
      <c r="D3817" s="5">
        <v>53475</v>
      </c>
      <c r="E3817" s="5">
        <f t="shared" si="150"/>
        <v>146600</v>
      </c>
      <c r="F3817" s="5">
        <v>361625</v>
      </c>
      <c r="G3817" s="5">
        <v>0</v>
      </c>
      <c r="H3817" s="5">
        <v>0</v>
      </c>
      <c r="I3817" s="5">
        <v>140800</v>
      </c>
      <c r="J3817" s="263">
        <f t="shared" si="156"/>
        <v>0.38935361216730036</v>
      </c>
      <c r="K3817" s="24">
        <v>2166</v>
      </c>
      <c r="L3817" s="6">
        <v>2168</v>
      </c>
      <c r="M3817" s="270">
        <f t="shared" si="161"/>
        <v>2</v>
      </c>
      <c r="N3817" s="259"/>
      <c r="O3817" s="293"/>
      <c r="P3817" s="345">
        <v>14800</v>
      </c>
      <c r="Q3817" s="28">
        <f>173.86/1083.2</f>
        <v>0.1605059084194978</v>
      </c>
      <c r="U3817" s="29">
        <v>0.1</v>
      </c>
      <c r="W3817" s="741">
        <f t="shared" si="160"/>
        <v>2613.0361890694244</v>
      </c>
      <c r="Z3817" s="19"/>
    </row>
    <row r="3818" spans="1:26" ht="15" customHeight="1">
      <c r="A3818" s="3">
        <v>41236</v>
      </c>
      <c r="B3818" s="4">
        <v>1475</v>
      </c>
      <c r="C3818" s="4">
        <v>160075</v>
      </c>
      <c r="D3818" s="5">
        <v>53375</v>
      </c>
      <c r="E3818" s="5">
        <f t="shared" si="150"/>
        <v>146600</v>
      </c>
      <c r="F3818" s="5">
        <v>361525</v>
      </c>
      <c r="G3818" s="5">
        <v>0</v>
      </c>
      <c r="H3818" s="5">
        <v>100</v>
      </c>
      <c r="I3818" s="5">
        <v>159225</v>
      </c>
      <c r="J3818" s="263">
        <f t="shared" si="156"/>
        <v>0.44042597330751676</v>
      </c>
      <c r="K3818" s="24">
        <v>2170</v>
      </c>
      <c r="L3818" s="6">
        <v>2173</v>
      </c>
      <c r="M3818" s="270">
        <f t="shared" si="161"/>
        <v>3</v>
      </c>
      <c r="N3818" s="259"/>
      <c r="O3818" s="293"/>
      <c r="P3818" s="345">
        <v>14750</v>
      </c>
      <c r="Q3818" s="28">
        <f>174.04/1084.1</f>
        <v>0.16053869569227933</v>
      </c>
      <c r="U3818" s="29">
        <v>0.1</v>
      </c>
      <c r="W3818" s="741">
        <f t="shared" si="160"/>
        <v>2604.7403376072325</v>
      </c>
      <c r="Z3818" s="19"/>
    </row>
    <row r="3819" spans="1:26" ht="15" customHeight="1">
      <c r="A3819" s="3">
        <v>41239</v>
      </c>
      <c r="B3819" s="4">
        <v>1475</v>
      </c>
      <c r="C3819" s="4">
        <v>160075</v>
      </c>
      <c r="D3819" s="5">
        <v>53375</v>
      </c>
      <c r="E3819" s="5">
        <f t="shared" si="150"/>
        <v>146550</v>
      </c>
      <c r="F3819" s="5">
        <v>361475</v>
      </c>
      <c r="G3819" s="5">
        <v>0</v>
      </c>
      <c r="H3819" s="5">
        <v>50</v>
      </c>
      <c r="I3819" s="5">
        <v>159175</v>
      </c>
      <c r="J3819" s="263">
        <f t="shared" si="156"/>
        <v>0.44034857182377757</v>
      </c>
      <c r="K3819" s="24">
        <v>2201</v>
      </c>
      <c r="L3819" s="6">
        <v>2205</v>
      </c>
      <c r="M3819" s="270">
        <f t="shared" si="161"/>
        <v>4</v>
      </c>
      <c r="N3819" s="259"/>
      <c r="O3819" s="293"/>
      <c r="P3819" s="345">
        <v>14850</v>
      </c>
      <c r="Q3819" s="28">
        <f>174.4/1086.2</f>
        <v>0.16055974958571165</v>
      </c>
      <c r="U3819" s="29">
        <v>0.1</v>
      </c>
      <c r="W3819" s="741">
        <f t="shared" si="160"/>
        <v>2622.7435094826001</v>
      </c>
    </row>
    <row r="3820" spans="1:26" ht="15" customHeight="1">
      <c r="A3820" s="3">
        <v>41240</v>
      </c>
      <c r="B3820" s="4">
        <v>1475</v>
      </c>
      <c r="C3820" s="4">
        <v>160075</v>
      </c>
      <c r="D3820" s="5">
        <v>53375</v>
      </c>
      <c r="E3820" s="5">
        <f t="shared" si="150"/>
        <v>146550</v>
      </c>
      <c r="F3820" s="5">
        <v>361475</v>
      </c>
      <c r="G3820" s="5">
        <v>0</v>
      </c>
      <c r="H3820" s="5">
        <v>0</v>
      </c>
      <c r="I3820" s="5">
        <v>159200</v>
      </c>
      <c r="J3820" s="263">
        <f t="shared" si="156"/>
        <v>0.44041773289992392</v>
      </c>
      <c r="K3820" s="24">
        <v>2198.5</v>
      </c>
      <c r="L3820" s="6">
        <v>2201.5</v>
      </c>
      <c r="M3820" s="270">
        <f t="shared" si="161"/>
        <v>3</v>
      </c>
      <c r="N3820" s="259"/>
      <c r="O3820" s="293"/>
      <c r="P3820" s="345">
        <v>14800</v>
      </c>
      <c r="Q3820" s="28">
        <f>174.27/1084.9</f>
        <v>0.16063231634252004</v>
      </c>
      <c r="U3820" s="29">
        <v>0.1</v>
      </c>
      <c r="W3820" s="741">
        <f t="shared" si="160"/>
        <v>2615.0941100562263</v>
      </c>
      <c r="Z3820" s="19"/>
    </row>
    <row r="3821" spans="1:26" ht="15" customHeight="1">
      <c r="A3821" s="3">
        <v>41241</v>
      </c>
      <c r="B3821" s="4">
        <v>1475</v>
      </c>
      <c r="C3821" s="4">
        <v>160075</v>
      </c>
      <c r="D3821" s="5">
        <v>53375</v>
      </c>
      <c r="E3821" s="5">
        <f t="shared" si="150"/>
        <v>146550</v>
      </c>
      <c r="F3821" s="5">
        <v>361475</v>
      </c>
      <c r="G3821" s="5">
        <v>0</v>
      </c>
      <c r="H3821" s="5">
        <v>0</v>
      </c>
      <c r="I3821" s="5">
        <v>159200</v>
      </c>
      <c r="J3821" s="263">
        <f t="shared" si="156"/>
        <v>0.44041773289992392</v>
      </c>
      <c r="K3821" s="24">
        <v>2188</v>
      </c>
      <c r="L3821" s="6">
        <v>2187</v>
      </c>
      <c r="M3821" s="270">
        <f>L3821-K3821</f>
        <v>-1</v>
      </c>
      <c r="N3821" s="259"/>
      <c r="O3821" s="293"/>
      <c r="P3821" s="345">
        <v>14800</v>
      </c>
      <c r="Q3821" s="28">
        <f>174.23/1084.1</f>
        <v>0.16071395627709623</v>
      </c>
      <c r="U3821" s="29">
        <v>0.1</v>
      </c>
      <c r="W3821" s="741">
        <f t="shared" si="160"/>
        <v>2616.4232081911268</v>
      </c>
      <c r="Z3821" s="19"/>
    </row>
    <row r="3822" spans="1:26" ht="15" customHeight="1">
      <c r="A3822" s="3">
        <v>41242</v>
      </c>
      <c r="B3822" s="4">
        <v>1475</v>
      </c>
      <c r="C3822" s="4">
        <v>160075</v>
      </c>
      <c r="D3822" s="5">
        <v>53375</v>
      </c>
      <c r="E3822" s="5">
        <f t="shared" si="150"/>
        <v>147425</v>
      </c>
      <c r="F3822" s="5">
        <v>362350</v>
      </c>
      <c r="G3822" s="5">
        <v>875</v>
      </c>
      <c r="H3822" s="5">
        <v>0</v>
      </c>
      <c r="I3822" s="5">
        <v>159200</v>
      </c>
      <c r="J3822" s="263">
        <f t="shared" si="156"/>
        <v>0.43935421553746379</v>
      </c>
      <c r="K3822" s="24">
        <v>2239</v>
      </c>
      <c r="L3822" s="6">
        <v>2239</v>
      </c>
      <c r="M3822" s="270">
        <f>L3822-K3822</f>
        <v>0</v>
      </c>
      <c r="N3822" s="259"/>
      <c r="O3822" s="293"/>
      <c r="P3822" s="345">
        <v>14800</v>
      </c>
      <c r="Q3822" s="28">
        <f>174.29/1085.4</f>
        <v>0.16057674590012896</v>
      </c>
      <c r="U3822" s="29">
        <v>0.1</v>
      </c>
      <c r="W3822" s="741">
        <f t="shared" si="160"/>
        <v>2614.1894232540994</v>
      </c>
      <c r="Z3822" s="19"/>
    </row>
    <row r="3823" spans="1:26" ht="15" customHeight="1">
      <c r="A3823" s="3">
        <v>41243</v>
      </c>
      <c r="B3823" s="4">
        <v>1475</v>
      </c>
      <c r="C3823" s="4">
        <v>160075</v>
      </c>
      <c r="D3823" s="5">
        <v>53350</v>
      </c>
      <c r="E3823" s="5">
        <f t="shared" si="150"/>
        <v>147375</v>
      </c>
      <c r="F3823" s="5">
        <v>362275</v>
      </c>
      <c r="G3823" s="5">
        <v>0</v>
      </c>
      <c r="H3823" s="5">
        <v>75</v>
      </c>
      <c r="I3823" s="5">
        <v>159125</v>
      </c>
      <c r="J3823" s="263">
        <f t="shared" si="156"/>
        <v>0.43923814781588572</v>
      </c>
      <c r="K3823" s="24">
        <v>2254.5</v>
      </c>
      <c r="L3823" s="6">
        <v>2254</v>
      </c>
      <c r="M3823" s="270">
        <f>L3823-K3823</f>
        <v>-0.5</v>
      </c>
      <c r="N3823" s="255">
        <f>AVERAGE(K3802:K3823)</f>
        <v>2179.4772727272725</v>
      </c>
      <c r="O3823" s="290">
        <f>AVERAGE(K3575:K3823)</f>
        <v>2043.9356223175967</v>
      </c>
      <c r="P3823" s="345">
        <v>14800</v>
      </c>
      <c r="Q3823" s="28">
        <f>174.16/1084.7</f>
        <v>0.16056052364709136</v>
      </c>
      <c r="U3823" s="29">
        <v>0.1</v>
      </c>
      <c r="W3823" s="741">
        <f>(P3823*Q3823)*(1+U3823)</f>
        <v>2613.9253249746475</v>
      </c>
      <c r="Z3823" s="19"/>
    </row>
    <row r="3824" spans="1:26" s="258" customFormat="1" ht="15" customHeight="1" thickBot="1">
      <c r="A3824" s="391"/>
      <c r="B3824" s="1002" t="s">
        <v>102</v>
      </c>
      <c r="C3824" s="1002"/>
      <c r="D3824" s="1002"/>
      <c r="E3824" s="1002"/>
      <c r="F3824" s="391"/>
      <c r="G3824" s="254">
        <f>SUM(G3802:G3823)</f>
        <v>69875</v>
      </c>
      <c r="H3824" s="254">
        <f>SUM(H3802:H3823)</f>
        <v>31625</v>
      </c>
      <c r="I3824" s="254"/>
      <c r="J3824" s="269"/>
      <c r="K3824" s="251"/>
      <c r="L3824" s="256"/>
      <c r="M3824" s="274"/>
      <c r="N3824" s="257"/>
      <c r="O3824" s="292"/>
      <c r="P3824" s="350"/>
      <c r="Q3824" s="299"/>
      <c r="R3824" s="299"/>
      <c r="S3824" s="299"/>
      <c r="T3824" s="299"/>
      <c r="U3824" s="300"/>
      <c r="V3824" s="298">
        <f>AVERAGE(P3802:P3823)</f>
        <v>14890.90909090909</v>
      </c>
      <c r="W3824" s="746"/>
      <c r="Z3824" s="19"/>
    </row>
    <row r="3825" spans="1:26" ht="15" customHeight="1">
      <c r="A3825" s="3">
        <v>41246</v>
      </c>
      <c r="B3825" s="4">
        <v>1475</v>
      </c>
      <c r="C3825" s="4">
        <v>160075</v>
      </c>
      <c r="D3825" s="5">
        <v>53350</v>
      </c>
      <c r="E3825" s="5">
        <f t="shared" si="150"/>
        <v>147375</v>
      </c>
      <c r="F3825" s="5">
        <v>362275</v>
      </c>
      <c r="G3825" s="5">
        <v>0</v>
      </c>
      <c r="H3825" s="5">
        <v>0</v>
      </c>
      <c r="I3825" s="5">
        <v>159325</v>
      </c>
      <c r="J3825" s="263">
        <f t="shared" si="156"/>
        <v>0.43979021461596851</v>
      </c>
      <c r="K3825" s="24">
        <v>2244</v>
      </c>
      <c r="L3825" s="6">
        <v>2241</v>
      </c>
      <c r="M3825" s="270">
        <f t="shared" ref="M3825:M3830" si="162">L3825-K3825</f>
        <v>-3</v>
      </c>
      <c r="N3825" s="259"/>
      <c r="O3825" s="293"/>
      <c r="P3825" s="345">
        <v>14800</v>
      </c>
      <c r="Q3825" s="28">
        <f>173.96/1083.2</f>
        <v>0.16059822747415067</v>
      </c>
      <c r="U3825" s="29">
        <v>0.1</v>
      </c>
      <c r="W3825" s="741">
        <f t="shared" ref="W3825:W3845" si="163">(P3825*Q3825)*(1+U3825)</f>
        <v>2614.539143279173</v>
      </c>
      <c r="Z3825" s="19"/>
    </row>
    <row r="3826" spans="1:26" ht="15" customHeight="1">
      <c r="A3826" s="3">
        <v>41247</v>
      </c>
      <c r="B3826" s="4">
        <v>1475</v>
      </c>
      <c r="C3826" s="4">
        <v>160075</v>
      </c>
      <c r="D3826" s="5">
        <v>53350</v>
      </c>
      <c r="E3826" s="5">
        <f t="shared" si="150"/>
        <v>147375</v>
      </c>
      <c r="F3826" s="5">
        <v>362275</v>
      </c>
      <c r="G3826" s="5">
        <v>0</v>
      </c>
      <c r="H3826" s="5">
        <v>0</v>
      </c>
      <c r="I3826" s="5">
        <v>159525</v>
      </c>
      <c r="J3826" s="263">
        <f t="shared" si="156"/>
        <v>0.44034228141605136</v>
      </c>
      <c r="K3826" s="24">
        <v>2230</v>
      </c>
      <c r="L3826" s="6">
        <v>2239</v>
      </c>
      <c r="M3826" s="270">
        <f t="shared" si="162"/>
        <v>9</v>
      </c>
      <c r="N3826" s="259"/>
      <c r="O3826" s="293"/>
      <c r="P3826" s="345">
        <v>14750</v>
      </c>
      <c r="Q3826" s="28">
        <f>173.98/1083.5</f>
        <v>0.16057221965851406</v>
      </c>
      <c r="U3826" s="29">
        <v>0.1</v>
      </c>
      <c r="W3826" s="741">
        <f t="shared" si="163"/>
        <v>2605.284263959391</v>
      </c>
      <c r="Z3826" s="19"/>
    </row>
    <row r="3827" spans="1:26" ht="15" customHeight="1">
      <c r="A3827" s="3">
        <v>41248</v>
      </c>
      <c r="B3827" s="4">
        <v>1450</v>
      </c>
      <c r="C3827" s="4">
        <v>160075</v>
      </c>
      <c r="D3827" s="5">
        <v>53350</v>
      </c>
      <c r="E3827" s="5">
        <f t="shared" si="150"/>
        <v>146650</v>
      </c>
      <c r="F3827" s="5">
        <v>361525</v>
      </c>
      <c r="G3827" s="5">
        <v>400</v>
      </c>
      <c r="H3827" s="5">
        <v>1150</v>
      </c>
      <c r="I3827" s="5">
        <v>162400</v>
      </c>
      <c r="J3827" s="263">
        <f t="shared" si="156"/>
        <v>0.4492082151995021</v>
      </c>
      <c r="K3827" s="24">
        <v>2232</v>
      </c>
      <c r="L3827" s="6">
        <v>2238</v>
      </c>
      <c r="M3827" s="270">
        <f t="shared" si="162"/>
        <v>6</v>
      </c>
      <c r="N3827" s="259"/>
      <c r="O3827" s="293"/>
      <c r="P3827" s="345">
        <v>14750</v>
      </c>
      <c r="Q3827" s="28">
        <f>174.07/1083.7</f>
        <v>0.16062563440066438</v>
      </c>
      <c r="U3827" s="29">
        <v>0.1</v>
      </c>
      <c r="W3827" s="741">
        <f t="shared" si="163"/>
        <v>2606.1509181507799</v>
      </c>
      <c r="Z3827" s="19"/>
    </row>
    <row r="3828" spans="1:26" ht="15" customHeight="1">
      <c r="A3828" s="3">
        <v>41249</v>
      </c>
      <c r="B3828" s="4">
        <v>1450</v>
      </c>
      <c r="C3828" s="4">
        <v>160075</v>
      </c>
      <c r="D3828" s="5">
        <v>53350</v>
      </c>
      <c r="E3828" s="5">
        <f t="shared" si="150"/>
        <v>144650</v>
      </c>
      <c r="F3828" s="5">
        <v>359525</v>
      </c>
      <c r="G3828" s="5">
        <v>0</v>
      </c>
      <c r="H3828" s="5">
        <v>2000</v>
      </c>
      <c r="I3828" s="5">
        <v>168400</v>
      </c>
      <c r="J3828" s="263">
        <f t="shared" si="156"/>
        <v>0.46839580001390724</v>
      </c>
      <c r="K3828" s="24">
        <v>2224</v>
      </c>
      <c r="L3828" s="6">
        <v>2235</v>
      </c>
      <c r="M3828" s="270">
        <f t="shared" si="162"/>
        <v>11</v>
      </c>
      <c r="N3828" s="259"/>
      <c r="O3828" s="293"/>
      <c r="P3828" s="345">
        <v>14700</v>
      </c>
      <c r="Q3828" s="28">
        <f>173.89/1082.5</f>
        <v>0.16063741339491916</v>
      </c>
      <c r="U3828" s="29">
        <v>0.1</v>
      </c>
      <c r="W3828" s="741">
        <f t="shared" si="163"/>
        <v>2597.5069745958426</v>
      </c>
      <c r="Z3828" s="19"/>
    </row>
    <row r="3829" spans="1:26" ht="15" customHeight="1">
      <c r="A3829" s="3">
        <v>41250</v>
      </c>
      <c r="B3829" s="4">
        <v>1250</v>
      </c>
      <c r="C3829" s="4">
        <v>160075</v>
      </c>
      <c r="D3829" s="5">
        <v>53350</v>
      </c>
      <c r="E3829" s="5">
        <f t="shared" si="150"/>
        <v>142250</v>
      </c>
      <c r="F3829" s="5">
        <v>356925</v>
      </c>
      <c r="G3829" s="5">
        <v>0</v>
      </c>
      <c r="H3829" s="5">
        <v>2600</v>
      </c>
      <c r="I3829" s="5">
        <v>165800</v>
      </c>
      <c r="J3829" s="263">
        <f t="shared" si="156"/>
        <v>0.46452335924914195</v>
      </c>
      <c r="K3829" s="24">
        <v>2179</v>
      </c>
      <c r="L3829" s="6">
        <v>2193.5</v>
      </c>
      <c r="M3829" s="270">
        <f t="shared" si="162"/>
        <v>14.5</v>
      </c>
      <c r="N3829" s="259"/>
      <c r="O3829" s="293"/>
      <c r="P3829" s="345">
        <v>14700</v>
      </c>
      <c r="Q3829" s="28">
        <f>173.84/1082.7</f>
        <v>0.1605615590652997</v>
      </c>
      <c r="U3829" s="29">
        <v>0.1</v>
      </c>
      <c r="W3829" s="741">
        <f t="shared" si="163"/>
        <v>2596.2804100858962</v>
      </c>
      <c r="Z3829" s="19"/>
    </row>
    <row r="3830" spans="1:26" ht="15" customHeight="1">
      <c r="A3830" s="3">
        <v>41253</v>
      </c>
      <c r="B3830" s="4">
        <v>1250</v>
      </c>
      <c r="C3830" s="4">
        <v>159675</v>
      </c>
      <c r="D3830" s="5">
        <v>53350</v>
      </c>
      <c r="E3830" s="5">
        <f t="shared" si="150"/>
        <v>140650</v>
      </c>
      <c r="F3830" s="5">
        <v>354925</v>
      </c>
      <c r="G3830" s="5">
        <v>0</v>
      </c>
      <c r="H3830" s="5">
        <v>2000</v>
      </c>
      <c r="I3830" s="5">
        <v>163800</v>
      </c>
      <c r="J3830" s="263">
        <f t="shared" si="156"/>
        <v>0.46150595196168204</v>
      </c>
      <c r="K3830" s="24">
        <v>2258</v>
      </c>
      <c r="L3830" s="6">
        <v>2271</v>
      </c>
      <c r="M3830" s="270">
        <f t="shared" si="162"/>
        <v>13</v>
      </c>
      <c r="N3830" s="259"/>
      <c r="O3830" s="293"/>
      <c r="P3830" s="345">
        <v>14700</v>
      </c>
      <c r="Q3830" s="28">
        <f>173.77/1082.6</f>
        <v>0.16051173101791985</v>
      </c>
      <c r="U3830" s="29">
        <v>0.1</v>
      </c>
      <c r="W3830" s="741">
        <f t="shared" si="163"/>
        <v>2595.4746905597644</v>
      </c>
      <c r="Z3830" s="19"/>
    </row>
    <row r="3831" spans="1:26" ht="15" customHeight="1">
      <c r="A3831" s="3">
        <v>41254</v>
      </c>
      <c r="B3831" s="4">
        <v>1225</v>
      </c>
      <c r="C3831" s="4">
        <v>159675</v>
      </c>
      <c r="D3831" s="5">
        <v>53350</v>
      </c>
      <c r="E3831" s="5">
        <f t="shared" si="150"/>
        <v>138650</v>
      </c>
      <c r="F3831" s="5">
        <v>352900</v>
      </c>
      <c r="G3831" s="5">
        <v>0</v>
      </c>
      <c r="H3831" s="5">
        <v>2025</v>
      </c>
      <c r="I3831" s="5">
        <v>161775</v>
      </c>
      <c r="J3831" s="263">
        <f t="shared" si="156"/>
        <v>0.45841598186455085</v>
      </c>
      <c r="K3831" s="24">
        <v>2279</v>
      </c>
      <c r="L3831" s="6">
        <v>2295.5</v>
      </c>
      <c r="M3831" s="270">
        <f t="shared" ref="M3831:M3843" si="164">L3831-K3831</f>
        <v>16.5</v>
      </c>
      <c r="N3831" s="259"/>
      <c r="P3831" s="345">
        <v>14700</v>
      </c>
      <c r="Q3831" s="28">
        <f>173.26/1079.4</f>
        <v>0.16051510098202704</v>
      </c>
      <c r="U3831" s="29">
        <v>0.1</v>
      </c>
      <c r="W3831" s="741">
        <f t="shared" si="163"/>
        <v>2595.529182879377</v>
      </c>
      <c r="Z3831" s="19"/>
    </row>
    <row r="3832" spans="1:26" ht="15" customHeight="1">
      <c r="A3832" s="3">
        <v>41255</v>
      </c>
      <c r="B3832" s="4">
        <v>1225</v>
      </c>
      <c r="C3832" s="4">
        <v>159675</v>
      </c>
      <c r="D3832" s="5">
        <v>53350</v>
      </c>
      <c r="E3832" s="5">
        <f t="shared" si="150"/>
        <v>136675</v>
      </c>
      <c r="F3832" s="5">
        <v>350925</v>
      </c>
      <c r="G3832" s="5">
        <v>25</v>
      </c>
      <c r="H3832" s="5">
        <v>2000</v>
      </c>
      <c r="I3832" s="5">
        <v>160050</v>
      </c>
      <c r="J3832" s="263">
        <f t="shared" si="156"/>
        <v>0.4560803590510793</v>
      </c>
      <c r="K3832" s="24">
        <v>2287</v>
      </c>
      <c r="L3832" s="6">
        <v>2304</v>
      </c>
      <c r="M3832" s="270">
        <f t="shared" si="164"/>
        <v>17</v>
      </c>
      <c r="N3832" s="259"/>
      <c r="O3832" s="293"/>
      <c r="P3832" s="345">
        <v>14700</v>
      </c>
      <c r="Q3832" s="28">
        <f>172.46/1077.3</f>
        <v>0.16008539868188992</v>
      </c>
      <c r="U3832" s="29">
        <v>0.1</v>
      </c>
      <c r="W3832" s="741">
        <f t="shared" si="163"/>
        <v>2588.5808966861605</v>
      </c>
      <c r="Z3832" s="19">
        <f>AVERAGE(L3825:L3845)</f>
        <v>2288.3684210526317</v>
      </c>
    </row>
    <row r="3833" spans="1:26" ht="15" customHeight="1">
      <c r="A3833" s="3">
        <v>41256</v>
      </c>
      <c r="B3833" s="4">
        <v>1225</v>
      </c>
      <c r="C3833" s="4">
        <v>159675</v>
      </c>
      <c r="D3833" s="5">
        <v>53350</v>
      </c>
      <c r="E3833" s="5">
        <f t="shared" si="150"/>
        <v>134675</v>
      </c>
      <c r="F3833" s="5">
        <v>348925</v>
      </c>
      <c r="G3833" s="5">
        <v>0</v>
      </c>
      <c r="H3833" s="5">
        <v>2000</v>
      </c>
      <c r="I3833" s="5">
        <v>158050</v>
      </c>
      <c r="J3833" s="263">
        <f t="shared" si="156"/>
        <v>0.45296267106111626</v>
      </c>
      <c r="K3833" s="24">
        <v>2279</v>
      </c>
      <c r="L3833" s="6">
        <v>2293</v>
      </c>
      <c r="M3833" s="270">
        <f t="shared" si="164"/>
        <v>14</v>
      </c>
      <c r="N3833" s="259"/>
      <c r="O3833" s="293"/>
      <c r="P3833" s="345">
        <v>14700</v>
      </c>
      <c r="Q3833" s="28">
        <f>172.08/1075.7</f>
        <v>0.15997025192897649</v>
      </c>
      <c r="U3833" s="29">
        <v>0.1</v>
      </c>
      <c r="W3833" s="741">
        <f t="shared" si="163"/>
        <v>2586.7189736915502</v>
      </c>
    </row>
    <row r="3834" spans="1:26" ht="15" customHeight="1">
      <c r="A3834" s="3">
        <v>41257</v>
      </c>
      <c r="B3834" s="4">
        <v>1225</v>
      </c>
      <c r="C3834" s="4">
        <v>159675</v>
      </c>
      <c r="D3834" s="5">
        <v>53350</v>
      </c>
      <c r="E3834" s="5">
        <f t="shared" si="150"/>
        <v>132675</v>
      </c>
      <c r="F3834" s="5">
        <v>346925</v>
      </c>
      <c r="G3834" s="5">
        <v>0</v>
      </c>
      <c r="H3834" s="5">
        <v>2000</v>
      </c>
      <c r="I3834" s="5">
        <v>156050</v>
      </c>
      <c r="J3834" s="263">
        <f t="shared" si="156"/>
        <v>0.44980903653527421</v>
      </c>
      <c r="K3834" s="24">
        <v>2293</v>
      </c>
      <c r="L3834" s="6">
        <v>2303</v>
      </c>
      <c r="M3834" s="270">
        <f t="shared" si="164"/>
        <v>10</v>
      </c>
      <c r="N3834" s="259"/>
      <c r="O3834" s="293"/>
      <c r="P3834" s="345">
        <v>14700</v>
      </c>
      <c r="Q3834" s="28">
        <f>172.06/1072.3</f>
        <v>0.16045882682085238</v>
      </c>
      <c r="U3834" s="29">
        <v>0.1</v>
      </c>
      <c r="W3834" s="741">
        <f t="shared" si="163"/>
        <v>2594.6192296931831</v>
      </c>
    </row>
    <row r="3835" spans="1:26" ht="15" customHeight="1" thickBot="1">
      <c r="A3835" s="3">
        <v>41260</v>
      </c>
      <c r="B3835" s="4">
        <v>1225</v>
      </c>
      <c r="C3835" s="4">
        <v>159375</v>
      </c>
      <c r="D3835" s="5">
        <v>53350</v>
      </c>
      <c r="E3835" s="5">
        <f t="shared" si="150"/>
        <v>128700</v>
      </c>
      <c r="F3835" s="5">
        <v>342650</v>
      </c>
      <c r="G3835" s="5">
        <v>0</v>
      </c>
      <c r="H3835" s="5">
        <v>4275</v>
      </c>
      <c r="I3835" s="5">
        <v>151675</v>
      </c>
      <c r="J3835" s="263">
        <f t="shared" si="156"/>
        <v>0.44265285276521232</v>
      </c>
      <c r="K3835" s="24">
        <v>2270</v>
      </c>
      <c r="L3835" s="6">
        <v>2287</v>
      </c>
      <c r="M3835" s="270">
        <f t="shared" si="164"/>
        <v>17</v>
      </c>
      <c r="N3835" s="259"/>
      <c r="O3835" s="293"/>
      <c r="P3835" s="345">
        <v>14700</v>
      </c>
      <c r="Q3835" s="28">
        <f>172.06/1062.79</f>
        <v>0.16189463581704758</v>
      </c>
      <c r="U3835" s="29">
        <v>0.1</v>
      </c>
      <c r="W3835" s="741">
        <f t="shared" si="163"/>
        <v>2617.8362611616594</v>
      </c>
    </row>
    <row r="3836" spans="1:26" ht="15" customHeight="1">
      <c r="A3836" s="3">
        <v>41261</v>
      </c>
      <c r="B3836" s="4">
        <v>1225</v>
      </c>
      <c r="C3836" s="4">
        <v>157400</v>
      </c>
      <c r="D3836" s="5">
        <v>53350</v>
      </c>
      <c r="E3836" s="5">
        <f t="shared" si="150"/>
        <v>126175</v>
      </c>
      <c r="F3836" s="5">
        <v>338150</v>
      </c>
      <c r="G3836" s="5">
        <v>0</v>
      </c>
      <c r="H3836" s="5">
        <v>4500</v>
      </c>
      <c r="I3836" s="5">
        <v>147175</v>
      </c>
      <c r="J3836" s="263">
        <f t="shared" si="156"/>
        <v>0.43523584208191629</v>
      </c>
      <c r="K3836" s="24">
        <v>2292.5</v>
      </c>
      <c r="L3836" s="6">
        <v>2310</v>
      </c>
      <c r="M3836" s="270">
        <f t="shared" si="164"/>
        <v>17.5</v>
      </c>
      <c r="N3836" s="259"/>
      <c r="O3836" s="309">
        <f>AVERAGE(K3575:K3843)</f>
        <v>2059.2539999999999</v>
      </c>
      <c r="P3836" s="345">
        <v>14750</v>
      </c>
      <c r="Q3836" s="28">
        <f>172.03/1072.9</f>
        <v>0.16034113151272253</v>
      </c>
      <c r="U3836" s="29">
        <v>0.1</v>
      </c>
      <c r="W3836" s="741">
        <f t="shared" si="163"/>
        <v>2601.5348587939229</v>
      </c>
    </row>
    <row r="3837" spans="1:26" ht="15" customHeight="1">
      <c r="A3837" s="3">
        <v>41262</v>
      </c>
      <c r="B3837" s="4">
        <v>1225</v>
      </c>
      <c r="C3837" s="4">
        <v>154900</v>
      </c>
      <c r="D3837" s="5">
        <v>53350</v>
      </c>
      <c r="E3837" s="5">
        <f t="shared" si="150"/>
        <v>126275</v>
      </c>
      <c r="F3837" s="5">
        <v>335750</v>
      </c>
      <c r="G3837" s="5">
        <v>0</v>
      </c>
      <c r="H3837" s="5">
        <v>2400</v>
      </c>
      <c r="I3837" s="5">
        <v>144775</v>
      </c>
      <c r="J3837" s="263">
        <f t="shared" si="156"/>
        <v>0.43119880863737903</v>
      </c>
      <c r="K3837" s="24">
        <v>2311</v>
      </c>
      <c r="L3837" s="6">
        <v>2333</v>
      </c>
      <c r="M3837" s="270">
        <f t="shared" si="164"/>
        <v>22</v>
      </c>
      <c r="N3837" s="259"/>
      <c r="O3837" s="293"/>
      <c r="P3837" s="345">
        <v>14750</v>
      </c>
      <c r="Q3837" s="28">
        <f>172.03/1072.9</f>
        <v>0.16034113151272253</v>
      </c>
      <c r="U3837" s="29">
        <v>0.1</v>
      </c>
      <c r="W3837" s="741">
        <f t="shared" si="163"/>
        <v>2601.5348587939229</v>
      </c>
    </row>
    <row r="3838" spans="1:26" ht="15" customHeight="1">
      <c r="A3838" s="3">
        <v>41263</v>
      </c>
      <c r="B3838" s="4">
        <v>1225</v>
      </c>
      <c r="C3838" s="4">
        <v>153925</v>
      </c>
      <c r="D3838" s="5">
        <v>53350</v>
      </c>
      <c r="E3838" s="5">
        <f t="shared" si="150"/>
        <v>125000</v>
      </c>
      <c r="F3838" s="5">
        <v>333500</v>
      </c>
      <c r="G3838" s="5">
        <v>0</v>
      </c>
      <c r="H3838" s="5">
        <v>2250</v>
      </c>
      <c r="I3838" s="5">
        <v>142525</v>
      </c>
      <c r="J3838" s="263">
        <f t="shared" si="156"/>
        <v>0.42736131934032984</v>
      </c>
      <c r="K3838" s="24">
        <v>2312</v>
      </c>
      <c r="L3838" s="6">
        <v>2331</v>
      </c>
      <c r="M3838" s="270">
        <f t="shared" si="164"/>
        <v>19</v>
      </c>
      <c r="N3838" s="259"/>
      <c r="O3838" s="293"/>
      <c r="P3838" s="345">
        <v>14750</v>
      </c>
      <c r="Q3838" s="28">
        <f>172.03/1071.8</f>
        <v>0.16050569136032844</v>
      </c>
      <c r="U3838" s="29">
        <v>0.1</v>
      </c>
      <c r="W3838" s="741">
        <f t="shared" si="163"/>
        <v>2604.2048423213291</v>
      </c>
    </row>
    <row r="3839" spans="1:26" ht="15" customHeight="1">
      <c r="A3839" s="3">
        <v>41264</v>
      </c>
      <c r="B3839" s="4">
        <v>1225</v>
      </c>
      <c r="C3839" s="4">
        <v>151675</v>
      </c>
      <c r="D3839" s="5">
        <v>53350</v>
      </c>
      <c r="E3839" s="5">
        <f t="shared" si="150"/>
        <v>124300</v>
      </c>
      <c r="F3839" s="5">
        <v>330550</v>
      </c>
      <c r="G3839" s="5">
        <v>50</v>
      </c>
      <c r="H3839" s="5">
        <v>3000</v>
      </c>
      <c r="I3839" s="5">
        <v>139525</v>
      </c>
      <c r="J3839" s="263">
        <f t="shared" si="156"/>
        <v>0.42209953108455606</v>
      </c>
      <c r="K3839" s="24">
        <v>2276</v>
      </c>
      <c r="L3839" s="6">
        <v>2294</v>
      </c>
      <c r="M3839" s="270">
        <f t="shared" si="164"/>
        <v>18</v>
      </c>
      <c r="N3839" s="259"/>
      <c r="O3839" s="293"/>
      <c r="P3839" s="345">
        <v>14750</v>
      </c>
      <c r="Q3839" s="28">
        <f>172.29/1073.4</f>
        <v>0.16050866405813302</v>
      </c>
      <c r="U3839" s="29">
        <v>0.1</v>
      </c>
      <c r="W3839" s="741">
        <f t="shared" si="163"/>
        <v>2604.2530743432085</v>
      </c>
    </row>
    <row r="3840" spans="1:26" ht="15" customHeight="1">
      <c r="A3840" s="3">
        <v>41267</v>
      </c>
      <c r="B3840" s="26">
        <v>1225</v>
      </c>
      <c r="C3840" s="26">
        <v>148675</v>
      </c>
      <c r="D3840" s="26">
        <v>53350</v>
      </c>
      <c r="E3840" s="5">
        <f t="shared" si="150"/>
        <v>125900</v>
      </c>
      <c r="F3840" s="26">
        <v>329150</v>
      </c>
      <c r="G3840" s="26"/>
      <c r="H3840" s="26"/>
      <c r="I3840" s="26">
        <v>167825</v>
      </c>
      <c r="J3840" s="263">
        <f t="shared" si="156"/>
        <v>0.5098739176667173</v>
      </c>
      <c r="K3840" s="24">
        <v>2299</v>
      </c>
      <c r="L3840" s="6">
        <v>2319</v>
      </c>
      <c r="M3840" s="270">
        <f t="shared" si="164"/>
        <v>20</v>
      </c>
      <c r="N3840" s="259"/>
      <c r="O3840" s="293"/>
      <c r="P3840" s="345">
        <v>14700</v>
      </c>
      <c r="Q3840" s="28">
        <f>172.66/1075.4</f>
        <v>0.16055421238608888</v>
      </c>
      <c r="U3840" s="29">
        <v>0.1</v>
      </c>
      <c r="W3840" s="741">
        <f t="shared" si="163"/>
        <v>2596.1616142830576</v>
      </c>
    </row>
    <row r="3841" spans="1:26" ht="15" customHeight="1">
      <c r="A3841" s="3">
        <v>41268</v>
      </c>
      <c r="C3841" s="26"/>
      <c r="D3841" s="26"/>
      <c r="E3841" s="26"/>
      <c r="F3841" s="26"/>
      <c r="G3841" s="1003" t="s">
        <v>70</v>
      </c>
      <c r="H3841" s="1003"/>
      <c r="I3841" s="1003"/>
      <c r="J3841" s="1003"/>
      <c r="K3841" s="26"/>
      <c r="L3841" s="26"/>
      <c r="M3841" s="26"/>
      <c r="N3841" s="259"/>
      <c r="O3841" s="293"/>
      <c r="P3841" s="345">
        <v>14700</v>
      </c>
      <c r="Q3841" s="28">
        <f>172.66/1075.4</f>
        <v>0.16055421238608888</v>
      </c>
      <c r="U3841" s="29">
        <v>0.1</v>
      </c>
      <c r="W3841" s="741">
        <f t="shared" si="163"/>
        <v>2596.1616142830576</v>
      </c>
    </row>
    <row r="3842" spans="1:26" ht="15" customHeight="1">
      <c r="A3842" s="3">
        <v>41269</v>
      </c>
      <c r="B3842" s="26"/>
      <c r="C3842" s="26"/>
      <c r="D3842" s="26"/>
      <c r="E3842" s="26"/>
      <c r="F3842" s="26"/>
      <c r="G3842" s="1003"/>
      <c r="H3842" s="1003"/>
      <c r="I3842" s="1003"/>
      <c r="J3842" s="1003"/>
      <c r="K3842" s="26"/>
      <c r="L3842" s="26"/>
      <c r="M3842" s="26"/>
      <c r="N3842" s="259"/>
      <c r="O3842" s="293"/>
      <c r="P3842" s="345">
        <v>14700</v>
      </c>
      <c r="Q3842" s="28">
        <f>172.66/1075.4</f>
        <v>0.16055421238608888</v>
      </c>
      <c r="U3842" s="29">
        <v>0.1</v>
      </c>
      <c r="W3842" s="741">
        <f t="shared" si="163"/>
        <v>2596.1616142830576</v>
      </c>
    </row>
    <row r="3843" spans="1:26" ht="15" customHeight="1">
      <c r="A3843" s="3">
        <v>41270</v>
      </c>
      <c r="B3843" s="4">
        <v>1225</v>
      </c>
      <c r="C3843" s="4">
        <v>147175</v>
      </c>
      <c r="D3843" s="5">
        <v>53350</v>
      </c>
      <c r="E3843" s="5">
        <f>F3843-(B3843+C3843+D3843)</f>
        <v>125900</v>
      </c>
      <c r="F3843" s="5">
        <v>327650</v>
      </c>
      <c r="G3843" s="5">
        <v>0</v>
      </c>
      <c r="H3843" s="5">
        <v>1500</v>
      </c>
      <c r="I3843" s="5">
        <v>166475</v>
      </c>
      <c r="J3843" s="263">
        <f>I3843/F3843</f>
        <v>0.50808789867236381</v>
      </c>
      <c r="K3843" s="24">
        <v>2311</v>
      </c>
      <c r="L3843" s="6">
        <v>2326</v>
      </c>
      <c r="M3843" s="270">
        <f t="shared" si="164"/>
        <v>15</v>
      </c>
      <c r="N3843" s="259"/>
      <c r="O3843" s="293"/>
      <c r="P3843" s="345">
        <v>14700</v>
      </c>
      <c r="Q3843" s="28">
        <f>172.41/1074.8</f>
        <v>0.16041123930033496</v>
      </c>
      <c r="R3843" s="312">
        <f>P3843*Q3843</f>
        <v>2358.0452177149241</v>
      </c>
      <c r="S3843" s="313" t="e">
        <f>R3843*#REF!</f>
        <v>#REF!</v>
      </c>
      <c r="T3843" s="312" t="e">
        <f>(R3843+S3843)*U3843</f>
        <v>#REF!</v>
      </c>
      <c r="U3843" s="29">
        <v>0.1</v>
      </c>
      <c r="W3843" s="741">
        <f t="shared" si="163"/>
        <v>2593.8497394864166</v>
      </c>
    </row>
    <row r="3844" spans="1:26" ht="15" customHeight="1">
      <c r="A3844" s="3">
        <v>41271</v>
      </c>
      <c r="B3844" s="4">
        <v>1225</v>
      </c>
      <c r="C3844" s="4">
        <v>145675</v>
      </c>
      <c r="D3844" s="5">
        <v>53350</v>
      </c>
      <c r="E3844" s="5">
        <f>F3844-(B3844+C3844+D3844)</f>
        <v>123150</v>
      </c>
      <c r="F3844" s="5">
        <v>323400</v>
      </c>
      <c r="G3844" s="5">
        <v>750</v>
      </c>
      <c r="H3844" s="5">
        <v>5000</v>
      </c>
      <c r="I3844" s="5">
        <v>161675</v>
      </c>
      <c r="J3844" s="263">
        <f>I3844/F3844</f>
        <v>0.49992269635126779</v>
      </c>
      <c r="K3844" s="24">
        <v>2318</v>
      </c>
      <c r="L3844" s="6">
        <v>2324</v>
      </c>
      <c r="M3844" s="270">
        <f>L3844-K3844</f>
        <v>6</v>
      </c>
      <c r="N3844" s="259"/>
      <c r="O3844" s="293"/>
      <c r="P3844" s="345">
        <v>14750</v>
      </c>
      <c r="Q3844" s="28">
        <f>172.21/1073.8</f>
        <v>0.16037437139132055</v>
      </c>
      <c r="R3844" s="312">
        <f>P3844*Q3844</f>
        <v>2365.5219780219782</v>
      </c>
      <c r="S3844" s="313" t="e">
        <f>R3844*#REF!</f>
        <v>#REF!</v>
      </c>
      <c r="T3844" s="313" t="e">
        <f>(R3844+S3844)*U3844</f>
        <v>#REF!</v>
      </c>
      <c r="U3844" s="29">
        <v>0.1</v>
      </c>
      <c r="W3844" s="741">
        <f t="shared" si="163"/>
        <v>2602.0741758241761</v>
      </c>
    </row>
    <row r="3845" spans="1:26" ht="15" customHeight="1">
      <c r="A3845" s="3">
        <v>41274</v>
      </c>
      <c r="B3845" s="4">
        <v>1225</v>
      </c>
      <c r="C3845" s="4">
        <v>140675</v>
      </c>
      <c r="D3845" s="5">
        <v>53350</v>
      </c>
      <c r="E3845" s="5">
        <f>F3845-(B3845+C3845+D3845)</f>
        <v>125075</v>
      </c>
      <c r="F3845" s="5">
        <v>320325</v>
      </c>
      <c r="G3845" s="5">
        <v>0</v>
      </c>
      <c r="H3845" s="5">
        <v>3075</v>
      </c>
      <c r="I3845" s="5">
        <v>183600</v>
      </c>
      <c r="J3845" s="263">
        <f>I3845/F3845</f>
        <v>0.57316787637555611</v>
      </c>
      <c r="K3845" s="24">
        <v>2340</v>
      </c>
      <c r="L3845" s="6">
        <v>2342</v>
      </c>
      <c r="M3845" s="270">
        <f>L3845-K3845</f>
        <v>2</v>
      </c>
      <c r="N3845" s="255">
        <f>AVERAGE(K3825:K3845)</f>
        <v>2275.5</v>
      </c>
      <c r="O3845" s="290">
        <f>AVERAGE(K3575:K3845)</f>
        <v>2061.3948412698414</v>
      </c>
      <c r="P3845" s="345">
        <v>14750</v>
      </c>
      <c r="Q3845" s="28">
        <f>171.88/1071.1</f>
        <v>0.16047054430025209</v>
      </c>
      <c r="R3845" s="312">
        <f>P3845*Q3845</f>
        <v>2366.9405284287186</v>
      </c>
      <c r="S3845" s="313" t="e">
        <f>R3845*#REF!</f>
        <v>#REF!</v>
      </c>
      <c r="T3845" s="313" t="e">
        <f>(R3845+S3845)*U3845</f>
        <v>#REF!</v>
      </c>
      <c r="U3845" s="29">
        <v>0.1</v>
      </c>
      <c r="W3845" s="741">
        <f t="shared" si="163"/>
        <v>2603.6345812715908</v>
      </c>
    </row>
    <row r="3846" spans="1:26" ht="15" customHeight="1" thickBot="1">
      <c r="A3846" s="392"/>
      <c r="B3846" s="995" t="s">
        <v>102</v>
      </c>
      <c r="C3846" s="995"/>
      <c r="D3846" s="995"/>
      <c r="E3846" s="995"/>
      <c r="F3846" s="392"/>
      <c r="G3846" s="332">
        <f>SUM(G3825:G3845)</f>
        <v>1225</v>
      </c>
      <c r="H3846" s="332">
        <f>SUM(H3825:H3845)</f>
        <v>41775</v>
      </c>
      <c r="I3846" s="332"/>
      <c r="J3846" s="333"/>
      <c r="K3846" s="334"/>
      <c r="L3846" s="335"/>
      <c r="M3846" s="336"/>
      <c r="N3846" s="337"/>
      <c r="O3846" s="338"/>
      <c r="P3846" s="351"/>
      <c r="Q3846" s="299"/>
      <c r="R3846" s="339"/>
      <c r="S3846" s="340"/>
      <c r="T3846" s="340"/>
      <c r="U3846" s="302"/>
      <c r="V3846" s="298">
        <f>AVERAGE(P3825:P3845)</f>
        <v>14723.809523809523</v>
      </c>
      <c r="W3846" s="745"/>
    </row>
    <row r="3847" spans="1:26" ht="15" customHeight="1">
      <c r="A3847" s="3">
        <v>41275</v>
      </c>
      <c r="C3847" s="386"/>
      <c r="D3847" s="386"/>
      <c r="E3847" s="386"/>
      <c r="F3847" s="386"/>
      <c r="G3847" s="1033" t="s">
        <v>70</v>
      </c>
      <c r="H3847" s="1033"/>
      <c r="I3847" s="1033"/>
      <c r="J3847" s="1033"/>
      <c r="K3847" s="386"/>
      <c r="L3847" s="386"/>
      <c r="M3847" s="386"/>
      <c r="N3847" s="419"/>
      <c r="O3847" s="310"/>
      <c r="P3847" s="384"/>
      <c r="Q3847" s="1010" t="s">
        <v>114</v>
      </c>
      <c r="R3847" s="1010"/>
      <c r="S3847" s="1010"/>
      <c r="T3847" s="1010"/>
      <c r="U3847" s="1010"/>
      <c r="V3847" s="45"/>
      <c r="W3847" s="743"/>
    </row>
    <row r="3848" spans="1:26" ht="15" customHeight="1">
      <c r="A3848" s="3">
        <v>41276</v>
      </c>
      <c r="B3848" s="4">
        <v>1225</v>
      </c>
      <c r="C3848" s="4">
        <v>137600</v>
      </c>
      <c r="D3848" s="5">
        <v>53225</v>
      </c>
      <c r="E3848" s="5">
        <f>F3848-(B3848+C3848+D3848)</f>
        <v>125650</v>
      </c>
      <c r="F3848" s="5">
        <v>317700</v>
      </c>
      <c r="G3848" s="5">
        <v>0</v>
      </c>
      <c r="H3848" s="5">
        <v>2625</v>
      </c>
      <c r="I3848" s="5">
        <v>180975</v>
      </c>
      <c r="J3848" s="263">
        <f>I3848/F3848</f>
        <v>0.56964117091595845</v>
      </c>
      <c r="K3848" s="24">
        <v>2385</v>
      </c>
      <c r="L3848" s="6">
        <v>2390</v>
      </c>
      <c r="M3848" s="270">
        <f>L3848-K3848</f>
        <v>5</v>
      </c>
      <c r="N3848" s="419"/>
      <c r="O3848" s="311"/>
      <c r="P3848" s="383"/>
      <c r="Q3848" s="996"/>
      <c r="R3848" s="996"/>
      <c r="S3848" s="996"/>
      <c r="T3848" s="996"/>
      <c r="U3848" s="996"/>
      <c r="W3848" s="744"/>
    </row>
    <row r="3849" spans="1:26" ht="15" customHeight="1">
      <c r="A3849" s="3">
        <v>41277</v>
      </c>
      <c r="B3849" s="4">
        <v>1075</v>
      </c>
      <c r="C3849" s="4">
        <v>135100</v>
      </c>
      <c r="D3849" s="5">
        <v>53225</v>
      </c>
      <c r="E3849" s="5">
        <f>F3849-(B3849+C3849+D3849)</f>
        <v>125150</v>
      </c>
      <c r="F3849" s="5">
        <v>314550</v>
      </c>
      <c r="G3849" s="5">
        <v>0</v>
      </c>
      <c r="H3849" s="5">
        <v>3150</v>
      </c>
      <c r="I3849" s="5">
        <v>177825</v>
      </c>
      <c r="J3849" s="263">
        <f>I3849/F3849</f>
        <v>0.56533142584644736</v>
      </c>
      <c r="K3849" s="24">
        <v>2412.5</v>
      </c>
      <c r="L3849" s="6">
        <v>2419.5</v>
      </c>
      <c r="M3849" s="270">
        <f>L3849-K3849</f>
        <v>7</v>
      </c>
      <c r="N3849" s="259"/>
      <c r="O3849" s="293"/>
      <c r="P3849" s="383"/>
      <c r="Q3849" s="996"/>
      <c r="R3849" s="996"/>
      <c r="S3849" s="996"/>
      <c r="T3849" s="996"/>
      <c r="U3849" s="996"/>
      <c r="W3849" s="744"/>
      <c r="Z3849" s="19">
        <f>AVERAGE(L3848:L3869)</f>
        <v>2348.590909090909</v>
      </c>
    </row>
    <row r="3850" spans="1:26" ht="15" customHeight="1">
      <c r="A3850" s="3">
        <v>41278</v>
      </c>
      <c r="B3850" s="4">
        <v>1075</v>
      </c>
      <c r="C3850" s="4">
        <v>132100</v>
      </c>
      <c r="D3850" s="5">
        <v>53175</v>
      </c>
      <c r="E3850" s="5">
        <f>F3850-(B3850+C3850+D3850)</f>
        <v>126275</v>
      </c>
      <c r="F3850" s="5">
        <v>312625</v>
      </c>
      <c r="G3850" s="5">
        <v>0</v>
      </c>
      <c r="H3850" s="5">
        <v>1925</v>
      </c>
      <c r="I3850" s="5">
        <v>175900</v>
      </c>
      <c r="J3850" s="263">
        <f>I3850/F3850</f>
        <v>0.56265493802479005</v>
      </c>
      <c r="K3850" s="24">
        <v>2343</v>
      </c>
      <c r="L3850" s="6">
        <v>2355</v>
      </c>
      <c r="M3850" s="270">
        <f>L3850-K3850</f>
        <v>12</v>
      </c>
      <c r="N3850" s="259"/>
      <c r="P3850" s="345">
        <v>14750</v>
      </c>
      <c r="Q3850" s="28">
        <f>170.75/1063.8</f>
        <v>0.16050949426583946</v>
      </c>
      <c r="R3850" s="312">
        <f>P3850*Q3850</f>
        <v>2367.5150404211322</v>
      </c>
      <c r="S3850" s="313" t="e">
        <f>R3850*#REF!</f>
        <v>#REF!</v>
      </c>
      <c r="T3850" s="313" t="e">
        <f>(R3850+S3850)*U3850</f>
        <v>#REF!</v>
      </c>
      <c r="U3850" s="29">
        <v>0.1</v>
      </c>
      <c r="W3850" s="741">
        <f>(P3850*Q3850)*(1+U3850)</f>
        <v>2604.2665444632457</v>
      </c>
    </row>
    <row r="3851" spans="1:26" ht="15" customHeight="1">
      <c r="A3851" s="3">
        <v>41281</v>
      </c>
      <c r="B3851" s="4">
        <v>975</v>
      </c>
      <c r="C3851" s="4">
        <v>130425</v>
      </c>
      <c r="D3851" s="5">
        <v>53000</v>
      </c>
      <c r="E3851" s="5">
        <f>F3851-(B3851+C3851+D3851)</f>
        <v>125275</v>
      </c>
      <c r="F3851" s="5">
        <v>309675</v>
      </c>
      <c r="I3851" s="5">
        <v>172950</v>
      </c>
      <c r="J3851" s="263">
        <f>I3851/F3851</f>
        <v>0.55848873819326716</v>
      </c>
      <c r="K3851" s="24">
        <v>2289</v>
      </c>
      <c r="L3851" s="6">
        <v>2295.5</v>
      </c>
      <c r="M3851" s="270">
        <f>L3851-K3851</f>
        <v>6.5</v>
      </c>
      <c r="N3851" s="259"/>
      <c r="O3851" s="293"/>
      <c r="P3851" s="345">
        <v>14750</v>
      </c>
      <c r="R3851" s="312"/>
      <c r="S3851" s="313"/>
      <c r="T3851" s="313"/>
    </row>
    <row r="3852" spans="1:26" ht="15" customHeight="1">
      <c r="A3852" s="3">
        <v>41282</v>
      </c>
      <c r="B3852" s="4">
        <v>875</v>
      </c>
      <c r="C3852" s="4">
        <v>128050</v>
      </c>
      <c r="D3852" s="5">
        <v>52925</v>
      </c>
      <c r="E3852" s="5">
        <f>F3852-(B3852+C3852+D3852)</f>
        <v>126500</v>
      </c>
      <c r="F3852" s="5">
        <v>308350</v>
      </c>
      <c r="I3852" s="5">
        <v>171625</v>
      </c>
      <c r="J3852" s="263">
        <f>I3852/F3852</f>
        <v>0.55659153559267072</v>
      </c>
      <c r="K3852" s="24">
        <v>2297</v>
      </c>
      <c r="L3852" s="6">
        <v>2328.5</v>
      </c>
      <c r="M3852" s="270">
        <f>L3852-K3852</f>
        <v>31.5</v>
      </c>
      <c r="N3852" s="259"/>
      <c r="O3852" s="293"/>
      <c r="P3852" s="345">
        <v>14750</v>
      </c>
      <c r="R3852" s="312"/>
      <c r="S3852" s="313"/>
      <c r="T3852" s="313"/>
    </row>
    <row r="3853" spans="1:26" ht="15" customHeight="1">
      <c r="A3853" s="3">
        <v>41283</v>
      </c>
      <c r="B3853" s="4">
        <v>875</v>
      </c>
      <c r="C3853" s="4">
        <v>127050</v>
      </c>
      <c r="D3853" s="5">
        <v>52750</v>
      </c>
      <c r="E3853" s="5">
        <f t="shared" ref="E3853:E3911" si="165">F3853-(B3853+C3853+D3853)</f>
        <v>148375</v>
      </c>
      <c r="F3853" s="5">
        <v>329050</v>
      </c>
      <c r="G3853" s="5">
        <v>0</v>
      </c>
      <c r="H3853" s="5">
        <v>2100</v>
      </c>
      <c r="I3853" s="5">
        <v>169525</v>
      </c>
      <c r="J3853" s="263">
        <f t="shared" ref="J3853:J3868" si="166">I3853/F3853</f>
        <v>0.5151952590791673</v>
      </c>
      <c r="K3853" s="24">
        <v>2323.5</v>
      </c>
      <c r="L3853" s="6">
        <v>2340</v>
      </c>
      <c r="M3853" s="270">
        <f t="shared" ref="M3853:M3911" si="167">L3853-K3853</f>
        <v>16.5</v>
      </c>
      <c r="N3853" s="259"/>
      <c r="O3853" s="293"/>
      <c r="P3853" s="345">
        <v>14750</v>
      </c>
      <c r="Q3853" s="28">
        <f>170.59/1062.1</f>
        <v>0.16061576122775634</v>
      </c>
      <c r="R3853" s="312">
        <f>P3853*Q3853</f>
        <v>2369.0824781094061</v>
      </c>
      <c r="S3853" s="313" t="e">
        <f>R3853*#REF!</f>
        <v>#REF!</v>
      </c>
      <c r="T3853" s="313" t="e">
        <f t="shared" ref="T3853:T3869" si="168">(R3853+S3853)*U3853</f>
        <v>#REF!</v>
      </c>
      <c r="U3853" s="29">
        <v>0.1</v>
      </c>
      <c r="W3853" s="741">
        <f t="shared" ref="W3853:W3869" si="169">(P3853*Q3853)*(1+U3853)</f>
        <v>2605.9907259203469</v>
      </c>
    </row>
    <row r="3854" spans="1:26" ht="15" customHeight="1">
      <c r="A3854" s="3">
        <v>41284</v>
      </c>
      <c r="B3854" s="4">
        <v>875</v>
      </c>
      <c r="C3854" s="4">
        <v>125125</v>
      </c>
      <c r="D3854" s="5">
        <v>52650</v>
      </c>
      <c r="E3854" s="5">
        <f t="shared" si="165"/>
        <v>126000</v>
      </c>
      <c r="F3854" s="5">
        <v>304650</v>
      </c>
      <c r="G3854" s="5">
        <v>0</v>
      </c>
      <c r="H3854" s="5">
        <v>1600</v>
      </c>
      <c r="I3854" s="5">
        <v>167925</v>
      </c>
      <c r="J3854" s="263">
        <f t="shared" si="166"/>
        <v>0.55120630231413092</v>
      </c>
      <c r="K3854" s="24">
        <v>2332</v>
      </c>
      <c r="L3854" s="6">
        <v>2347</v>
      </c>
      <c r="M3854" s="270">
        <f t="shared" si="167"/>
        <v>15</v>
      </c>
      <c r="N3854" s="259"/>
      <c r="P3854" s="345">
        <v>14750</v>
      </c>
      <c r="Q3854" s="28">
        <f>170.48/1061</f>
        <v>0.16067860508953816</v>
      </c>
      <c r="R3854" s="312">
        <f>P3854*Q3854</f>
        <v>2370.0094250706879</v>
      </c>
      <c r="S3854" s="313" t="e">
        <f>R3854*#REF!</f>
        <v>#REF!</v>
      </c>
      <c r="T3854" s="313" t="e">
        <f t="shared" si="168"/>
        <v>#REF!</v>
      </c>
      <c r="U3854" s="29">
        <v>0.1</v>
      </c>
      <c r="W3854" s="741">
        <f t="shared" si="169"/>
        <v>2607.0103675777568</v>
      </c>
    </row>
    <row r="3855" spans="1:26" ht="15" customHeight="1">
      <c r="A3855" s="3">
        <v>41285</v>
      </c>
      <c r="B3855" s="4">
        <v>875</v>
      </c>
      <c r="C3855" s="4">
        <v>123625</v>
      </c>
      <c r="D3855" s="5">
        <v>52575</v>
      </c>
      <c r="E3855" s="5">
        <f t="shared" si="165"/>
        <v>126000</v>
      </c>
      <c r="F3855" s="5">
        <v>303075</v>
      </c>
      <c r="G3855" s="5">
        <v>0</v>
      </c>
      <c r="H3855" s="5">
        <v>1575</v>
      </c>
      <c r="I3855" s="5">
        <v>166350</v>
      </c>
      <c r="J3855" s="263">
        <f t="shared" si="166"/>
        <v>0.54887404107894089</v>
      </c>
      <c r="K3855" s="24">
        <v>2323</v>
      </c>
      <c r="L3855" s="6">
        <v>2333</v>
      </c>
      <c r="M3855" s="270">
        <f t="shared" si="167"/>
        <v>10</v>
      </c>
      <c r="N3855" s="259"/>
      <c r="O3855" s="293"/>
      <c r="P3855" s="345">
        <v>14750</v>
      </c>
      <c r="Q3855" s="28">
        <f>169.96/1056.5</f>
        <v>0.16087079981069571</v>
      </c>
      <c r="R3855" s="312">
        <f>P3855*Q3855</f>
        <v>2372.8442972077619</v>
      </c>
      <c r="S3855" s="313" t="e">
        <f>R3855*#REF!</f>
        <v>#REF!</v>
      </c>
      <c r="T3855" s="313" t="e">
        <f t="shared" si="168"/>
        <v>#REF!</v>
      </c>
      <c r="U3855" s="29">
        <v>0.1</v>
      </c>
      <c r="W3855" s="741">
        <f t="shared" si="169"/>
        <v>2610.1287269285381</v>
      </c>
    </row>
    <row r="3856" spans="1:26" ht="15" customHeight="1">
      <c r="A3856" s="3">
        <v>41288</v>
      </c>
      <c r="B3856" s="4">
        <v>875</v>
      </c>
      <c r="C3856" s="4">
        <v>122125</v>
      </c>
      <c r="D3856" s="5">
        <v>52525</v>
      </c>
      <c r="E3856" s="5">
        <f t="shared" si="165"/>
        <v>126000</v>
      </c>
      <c r="F3856" s="5">
        <v>301525</v>
      </c>
      <c r="G3856" s="5">
        <v>0</v>
      </c>
      <c r="H3856" s="5">
        <v>1550</v>
      </c>
      <c r="I3856" s="5">
        <v>164800</v>
      </c>
      <c r="J3856" s="263">
        <f t="shared" si="166"/>
        <v>0.54655501202222034</v>
      </c>
      <c r="K3856" s="24">
        <v>2305</v>
      </c>
      <c r="L3856" s="6">
        <v>2313</v>
      </c>
      <c r="M3856" s="270">
        <f t="shared" si="167"/>
        <v>8</v>
      </c>
      <c r="N3856" s="259"/>
      <c r="O3856" s="293"/>
      <c r="P3856" s="345">
        <v>14700</v>
      </c>
      <c r="Q3856" s="28">
        <f>169.81/1056.1</f>
        <v>0.16078969794527034</v>
      </c>
      <c r="R3856" s="312">
        <f>P3856*Q3856</f>
        <v>2363.6085597954739</v>
      </c>
      <c r="S3856" s="313" t="e">
        <f>R3856*#REF!</f>
        <v>#REF!</v>
      </c>
      <c r="T3856" s="313" t="e">
        <f t="shared" si="168"/>
        <v>#REF!</v>
      </c>
      <c r="U3856" s="29">
        <v>0.1</v>
      </c>
      <c r="W3856" s="741">
        <f t="shared" si="169"/>
        <v>2599.9694157750214</v>
      </c>
    </row>
    <row r="3857" spans="1:23" ht="15" customHeight="1">
      <c r="A3857" s="3">
        <v>41289</v>
      </c>
      <c r="B3857" s="4">
        <v>875</v>
      </c>
      <c r="C3857" s="4">
        <v>120625</v>
      </c>
      <c r="D3857" s="5">
        <v>52475</v>
      </c>
      <c r="E3857" s="5">
        <f t="shared" si="165"/>
        <v>127550</v>
      </c>
      <c r="F3857" s="5">
        <v>301525</v>
      </c>
      <c r="G3857" s="5">
        <v>0</v>
      </c>
      <c r="H3857" s="5">
        <v>1550</v>
      </c>
      <c r="I3857" s="5">
        <v>163250</v>
      </c>
      <c r="J3857" s="263">
        <f t="shared" si="166"/>
        <v>0.54141447641157447</v>
      </c>
      <c r="K3857" s="24">
        <v>2257.5</v>
      </c>
      <c r="L3857" s="6">
        <v>2267</v>
      </c>
      <c r="M3857" s="270">
        <f t="shared" si="167"/>
        <v>9.5</v>
      </c>
      <c r="N3857" s="259"/>
      <c r="O3857" s="293"/>
      <c r="P3857" s="345">
        <v>14700</v>
      </c>
      <c r="Q3857" s="28">
        <f>170.6/1061.95</f>
        <v>0.16064786477706106</v>
      </c>
      <c r="R3857" s="312">
        <f t="shared" ref="R3857:R3890" si="170">P3857*Q3857</f>
        <v>2361.5236122227975</v>
      </c>
      <c r="S3857" s="313" t="e">
        <f>R3857*#REF!</f>
        <v>#REF!</v>
      </c>
      <c r="T3857" s="313" t="e">
        <f t="shared" si="168"/>
        <v>#REF!</v>
      </c>
      <c r="U3857" s="29">
        <v>0.1</v>
      </c>
      <c r="W3857" s="741">
        <f t="shared" si="169"/>
        <v>2597.6759734450775</v>
      </c>
    </row>
    <row r="3858" spans="1:23" ht="15" customHeight="1">
      <c r="A3858" s="3">
        <v>41290</v>
      </c>
      <c r="B3858" s="4">
        <v>875</v>
      </c>
      <c r="C3858" s="4">
        <v>119125</v>
      </c>
      <c r="D3858" s="5">
        <v>52425</v>
      </c>
      <c r="E3858" s="5">
        <f t="shared" si="165"/>
        <v>126000</v>
      </c>
      <c r="F3858" s="5">
        <v>298425</v>
      </c>
      <c r="G3858" s="5">
        <v>0</v>
      </c>
      <c r="H3858" s="5">
        <v>1550</v>
      </c>
      <c r="I3858" s="5">
        <v>161700</v>
      </c>
      <c r="J3858" s="263">
        <f t="shared" si="166"/>
        <v>0.54184468459411916</v>
      </c>
      <c r="K3858" s="24">
        <v>2254.5</v>
      </c>
      <c r="L3858" s="6">
        <v>2260</v>
      </c>
      <c r="M3858" s="270">
        <f t="shared" si="167"/>
        <v>5.5</v>
      </c>
      <c r="N3858" s="7"/>
      <c r="O3858" s="277"/>
      <c r="P3858" s="345">
        <v>14700</v>
      </c>
      <c r="Q3858" s="28">
        <f>170.34/1058.9</f>
        <v>0.16086504863537632</v>
      </c>
      <c r="R3858" s="312">
        <f t="shared" si="170"/>
        <v>2364.7162149400319</v>
      </c>
      <c r="S3858" s="313" t="e">
        <f>R3858*#REF!</f>
        <v>#REF!</v>
      </c>
      <c r="T3858" s="313" t="e">
        <f t="shared" si="168"/>
        <v>#REF!</v>
      </c>
      <c r="U3858" s="29">
        <v>0.1</v>
      </c>
      <c r="W3858" s="741">
        <f t="shared" si="169"/>
        <v>2601.1878364340355</v>
      </c>
    </row>
    <row r="3859" spans="1:23" ht="15" customHeight="1">
      <c r="A3859" s="3">
        <v>41291</v>
      </c>
      <c r="B3859" s="4">
        <v>875</v>
      </c>
      <c r="C3859" s="4">
        <v>117625</v>
      </c>
      <c r="D3859" s="5">
        <v>52350</v>
      </c>
      <c r="E3859" s="5">
        <f t="shared" si="165"/>
        <v>124600</v>
      </c>
      <c r="F3859" s="5">
        <v>295450</v>
      </c>
      <c r="G3859" s="5">
        <v>0</v>
      </c>
      <c r="H3859" s="5">
        <v>2975</v>
      </c>
      <c r="I3859" s="5">
        <v>158725</v>
      </c>
      <c r="J3859" s="263">
        <f t="shared" si="166"/>
        <v>0.53723134202064649</v>
      </c>
      <c r="K3859" s="24">
        <v>2270</v>
      </c>
      <c r="L3859" s="6">
        <v>2267</v>
      </c>
      <c r="M3859" s="270">
        <f t="shared" si="167"/>
        <v>-3</v>
      </c>
      <c r="N3859" s="7"/>
      <c r="O3859" s="277"/>
      <c r="P3859" s="345">
        <v>14700</v>
      </c>
      <c r="Q3859" s="28">
        <f>170.24/1058.2</f>
        <v>0.16087696087696088</v>
      </c>
      <c r="R3859" s="312">
        <f t="shared" si="170"/>
        <v>2364.891324891325</v>
      </c>
      <c r="S3859" s="313" t="e">
        <f>R3859*#REF!</f>
        <v>#REF!</v>
      </c>
      <c r="T3859" s="313" t="e">
        <f t="shared" si="168"/>
        <v>#REF!</v>
      </c>
      <c r="U3859" s="29">
        <v>0.1</v>
      </c>
      <c r="W3859" s="741">
        <f t="shared" si="169"/>
        <v>2601.3804573804578</v>
      </c>
    </row>
    <row r="3860" spans="1:23" ht="15" customHeight="1">
      <c r="A3860" s="3">
        <v>41292</v>
      </c>
      <c r="B3860" s="4">
        <v>875</v>
      </c>
      <c r="C3860" s="4">
        <v>114725</v>
      </c>
      <c r="D3860" s="5">
        <v>52250</v>
      </c>
      <c r="E3860" s="5">
        <f t="shared" si="165"/>
        <v>128200</v>
      </c>
      <c r="F3860" s="5">
        <v>296050</v>
      </c>
      <c r="G3860" s="5">
        <v>2200</v>
      </c>
      <c r="H3860" s="5">
        <v>1600</v>
      </c>
      <c r="I3860" s="5">
        <v>157125</v>
      </c>
      <c r="J3860" s="263">
        <f t="shared" si="166"/>
        <v>0.53073805100489779</v>
      </c>
      <c r="K3860" s="24">
        <v>2320</v>
      </c>
      <c r="L3860" s="6">
        <v>2321</v>
      </c>
      <c r="M3860" s="270">
        <f t="shared" si="167"/>
        <v>1</v>
      </c>
      <c r="N3860" s="7"/>
      <c r="O3860" s="277"/>
      <c r="P3860" s="345">
        <v>14750</v>
      </c>
      <c r="Q3860" s="28">
        <f>169.92/1056.1</f>
        <v>0.16089385474860335</v>
      </c>
      <c r="R3860" s="312">
        <f t="shared" si="170"/>
        <v>2373.1843575418993</v>
      </c>
      <c r="S3860" s="313" t="e">
        <f>R3860*#REF!</f>
        <v>#REF!</v>
      </c>
      <c r="T3860" s="313" t="e">
        <f t="shared" si="168"/>
        <v>#REF!</v>
      </c>
      <c r="U3860" s="29">
        <v>0.1</v>
      </c>
      <c r="W3860" s="741">
        <f t="shared" si="169"/>
        <v>2610.5027932960893</v>
      </c>
    </row>
    <row r="3861" spans="1:23" ht="15" customHeight="1">
      <c r="A3861" s="3">
        <v>41295</v>
      </c>
      <c r="B3861" s="4">
        <v>875</v>
      </c>
      <c r="C3861" s="4">
        <v>115425</v>
      </c>
      <c r="D3861" s="5">
        <v>52200</v>
      </c>
      <c r="E3861" s="5">
        <f t="shared" si="165"/>
        <v>126000</v>
      </c>
      <c r="F3861" s="5">
        <v>294500</v>
      </c>
      <c r="G3861" s="5">
        <v>0</v>
      </c>
      <c r="H3861" s="5">
        <v>1550</v>
      </c>
      <c r="I3861" s="5">
        <v>155625</v>
      </c>
      <c r="J3861" s="263">
        <f t="shared" si="166"/>
        <v>0.52843803056027161</v>
      </c>
      <c r="K3861" s="24">
        <v>2296</v>
      </c>
      <c r="L3861" s="6">
        <v>2303</v>
      </c>
      <c r="M3861" s="270">
        <f t="shared" si="167"/>
        <v>7</v>
      </c>
      <c r="N3861" s="7"/>
      <c r="O3861" s="277"/>
      <c r="P3861" s="345">
        <v>14750</v>
      </c>
      <c r="Q3861" s="28">
        <f>170.38/1060</f>
        <v>0.16073584905660376</v>
      </c>
      <c r="R3861" s="312">
        <f t="shared" si="170"/>
        <v>2370.8537735849054</v>
      </c>
      <c r="S3861" s="313" t="e">
        <f>R3861*#REF!</f>
        <v>#REF!</v>
      </c>
      <c r="T3861" s="313" t="e">
        <f t="shared" si="168"/>
        <v>#REF!</v>
      </c>
      <c r="U3861" s="29">
        <v>0.1</v>
      </c>
      <c r="W3861" s="741">
        <f t="shared" si="169"/>
        <v>2607.9391509433963</v>
      </c>
    </row>
    <row r="3862" spans="1:23" ht="15" customHeight="1">
      <c r="A3862" s="3">
        <v>41296</v>
      </c>
      <c r="B3862" s="4">
        <v>875</v>
      </c>
      <c r="C3862" s="4">
        <v>113925</v>
      </c>
      <c r="D3862" s="5">
        <v>52125</v>
      </c>
      <c r="E3862" s="5">
        <f t="shared" si="165"/>
        <v>127075</v>
      </c>
      <c r="F3862" s="5">
        <v>294000</v>
      </c>
      <c r="G3862" s="5">
        <v>0</v>
      </c>
      <c r="H3862" s="5">
        <v>500</v>
      </c>
      <c r="I3862" s="5">
        <v>155125</v>
      </c>
      <c r="J3862" s="263">
        <f t="shared" si="166"/>
        <v>0.52763605442176875</v>
      </c>
      <c r="K3862" s="24">
        <v>2315.5</v>
      </c>
      <c r="L3862" s="6">
        <v>2320</v>
      </c>
      <c r="M3862" s="270">
        <f t="shared" si="167"/>
        <v>4.5</v>
      </c>
      <c r="N3862" s="7"/>
      <c r="O3862" s="277"/>
      <c r="P3862" s="345">
        <v>14750</v>
      </c>
      <c r="Q3862" s="28">
        <f>171.13/1064.4</f>
        <v>0.16077602405110858</v>
      </c>
      <c r="R3862" s="312">
        <f t="shared" si="170"/>
        <v>2371.4463547538517</v>
      </c>
      <c r="S3862" s="313" t="e">
        <f>R3862*#REF!</f>
        <v>#REF!</v>
      </c>
      <c r="T3862" s="313" t="e">
        <f t="shared" si="168"/>
        <v>#REF!</v>
      </c>
      <c r="U3862" s="29">
        <v>0.1</v>
      </c>
      <c r="W3862" s="741">
        <f t="shared" si="169"/>
        <v>2608.5909902292369</v>
      </c>
    </row>
    <row r="3863" spans="1:23" ht="15" customHeight="1">
      <c r="A3863" s="3">
        <v>41297</v>
      </c>
      <c r="B3863" s="4">
        <v>875</v>
      </c>
      <c r="C3863" s="4">
        <v>113500</v>
      </c>
      <c r="D3863" s="5">
        <v>52125</v>
      </c>
      <c r="E3863" s="5">
        <f t="shared" si="165"/>
        <v>127450</v>
      </c>
      <c r="F3863" s="5">
        <v>293950</v>
      </c>
      <c r="G3863" s="5">
        <v>0</v>
      </c>
      <c r="H3863" s="5">
        <v>50</v>
      </c>
      <c r="I3863" s="5">
        <v>155075</v>
      </c>
      <c r="J3863" s="263">
        <f t="shared" si="166"/>
        <v>0.52755570675284913</v>
      </c>
      <c r="K3863" s="24">
        <v>2372.5</v>
      </c>
      <c r="L3863" s="6">
        <v>2380</v>
      </c>
      <c r="M3863" s="270">
        <f t="shared" si="167"/>
        <v>7.5</v>
      </c>
      <c r="N3863" s="259"/>
      <c r="O3863" s="277"/>
      <c r="P3863" s="345">
        <v>14750</v>
      </c>
      <c r="Q3863" s="28">
        <f>171.34/1065.4</f>
        <v>0.16082222639384267</v>
      </c>
      <c r="R3863" s="312">
        <f t="shared" si="170"/>
        <v>2372.1278393091793</v>
      </c>
      <c r="S3863" s="313" t="e">
        <f>R3863*#REF!</f>
        <v>#REF!</v>
      </c>
      <c r="T3863" s="313" t="e">
        <f t="shared" si="168"/>
        <v>#REF!</v>
      </c>
      <c r="U3863" s="29">
        <v>0.1</v>
      </c>
      <c r="W3863" s="741">
        <f t="shared" si="169"/>
        <v>2609.3406232400976</v>
      </c>
    </row>
    <row r="3864" spans="1:23" ht="15" customHeight="1">
      <c r="A3864" s="3">
        <v>41298</v>
      </c>
      <c r="B3864" s="4">
        <v>875</v>
      </c>
      <c r="C3864" s="4">
        <v>113500</v>
      </c>
      <c r="D3864" s="5">
        <v>52050</v>
      </c>
      <c r="E3864" s="5">
        <f t="shared" si="165"/>
        <v>127450</v>
      </c>
      <c r="F3864" s="5">
        <v>293875</v>
      </c>
      <c r="G3864" s="5">
        <v>0</v>
      </c>
      <c r="H3864" s="5">
        <v>75</v>
      </c>
      <c r="I3864" s="5">
        <v>159625</v>
      </c>
      <c r="J3864" s="263">
        <f t="shared" si="166"/>
        <v>0.54317311782220334</v>
      </c>
      <c r="K3864" s="24">
        <v>2369</v>
      </c>
      <c r="L3864" s="6">
        <v>2375</v>
      </c>
      <c r="M3864" s="270">
        <f t="shared" si="167"/>
        <v>6</v>
      </c>
      <c r="N3864" s="7"/>
      <c r="O3864" s="277"/>
      <c r="P3864" s="345">
        <v>14750</v>
      </c>
      <c r="Q3864" s="28">
        <f>171.82/1068.4</f>
        <v>0.16081991763384498</v>
      </c>
      <c r="R3864" s="312">
        <f t="shared" si="170"/>
        <v>2372.0937850992136</v>
      </c>
      <c r="S3864" s="313" t="e">
        <f>R3864*#REF!</f>
        <v>#REF!</v>
      </c>
      <c r="T3864" s="313" t="e">
        <f t="shared" si="168"/>
        <v>#REF!</v>
      </c>
      <c r="U3864" s="29">
        <v>0.1</v>
      </c>
      <c r="W3864" s="741">
        <f t="shared" si="169"/>
        <v>2609.303163609135</v>
      </c>
    </row>
    <row r="3865" spans="1:23" ht="15" customHeight="1">
      <c r="A3865" s="3">
        <v>41299</v>
      </c>
      <c r="B3865" s="4">
        <v>875</v>
      </c>
      <c r="C3865" s="4">
        <v>113500</v>
      </c>
      <c r="D3865" s="5">
        <v>51975</v>
      </c>
      <c r="E3865" s="5">
        <f t="shared" si="165"/>
        <v>127450</v>
      </c>
      <c r="F3865" s="5">
        <v>293800</v>
      </c>
      <c r="G3865" s="5">
        <v>0</v>
      </c>
      <c r="H3865" s="5">
        <v>75</v>
      </c>
      <c r="I3865" s="5">
        <v>159550</v>
      </c>
      <c r="J3865" s="263">
        <f t="shared" si="166"/>
        <v>0.54305650102110281</v>
      </c>
      <c r="K3865" s="24">
        <v>2399.5</v>
      </c>
      <c r="L3865" s="6">
        <v>2401.5</v>
      </c>
      <c r="M3865" s="270">
        <f t="shared" si="167"/>
        <v>2</v>
      </c>
      <c r="N3865" s="7"/>
      <c r="O3865" s="277"/>
      <c r="P3865" s="345">
        <v>14800</v>
      </c>
      <c r="Q3865" s="28">
        <f>172.3/1071.8</f>
        <v>0.16075760403060274</v>
      </c>
      <c r="R3865" s="312">
        <f t="shared" si="170"/>
        <v>2379.2125396529204</v>
      </c>
      <c r="S3865" s="313" t="e">
        <f>R3865*#REF!</f>
        <v>#REF!</v>
      </c>
      <c r="T3865" s="313" t="e">
        <f t="shared" si="168"/>
        <v>#REF!</v>
      </c>
      <c r="U3865" s="29">
        <v>0.1</v>
      </c>
      <c r="W3865" s="741">
        <f t="shared" si="169"/>
        <v>2617.1337936182126</v>
      </c>
    </row>
    <row r="3866" spans="1:23" ht="15" customHeight="1">
      <c r="A3866" s="3">
        <v>41302</v>
      </c>
      <c r="B3866" s="4">
        <v>875</v>
      </c>
      <c r="C3866" s="4">
        <v>113500</v>
      </c>
      <c r="D3866" s="5">
        <v>51900</v>
      </c>
      <c r="E3866" s="5">
        <f t="shared" si="165"/>
        <v>127450</v>
      </c>
      <c r="F3866" s="5">
        <v>293725</v>
      </c>
      <c r="G3866" s="5">
        <v>0</v>
      </c>
      <c r="H3866" s="5">
        <v>75</v>
      </c>
      <c r="I3866" s="5">
        <v>159475</v>
      </c>
      <c r="J3866" s="263">
        <f t="shared" si="166"/>
        <v>0.54293982466592905</v>
      </c>
      <c r="K3866" s="24">
        <v>2367</v>
      </c>
      <c r="L3866" s="6">
        <v>2376</v>
      </c>
      <c r="M3866" s="270">
        <f t="shared" si="167"/>
        <v>9</v>
      </c>
      <c r="N3866" s="7"/>
      <c r="O3866" s="277"/>
      <c r="P3866" s="345">
        <v>14800</v>
      </c>
      <c r="Q3866" s="28">
        <f>173.96/1082.5</f>
        <v>0.16070207852193996</v>
      </c>
      <c r="R3866" s="312">
        <f t="shared" si="170"/>
        <v>2378.3907621247113</v>
      </c>
      <c r="S3866" s="313" t="e">
        <f>R3866*#REF!</f>
        <v>#REF!</v>
      </c>
      <c r="T3866" s="313" t="e">
        <f t="shared" si="168"/>
        <v>#REF!</v>
      </c>
      <c r="U3866" s="29">
        <v>0.1</v>
      </c>
      <c r="W3866" s="741">
        <f t="shared" si="169"/>
        <v>2616.2298383371826</v>
      </c>
    </row>
    <row r="3867" spans="1:23" ht="15" customHeight="1">
      <c r="A3867" s="3">
        <v>41303</v>
      </c>
      <c r="B3867" s="4">
        <v>875</v>
      </c>
      <c r="C3867" s="4">
        <v>113500</v>
      </c>
      <c r="D3867" s="5">
        <v>51825</v>
      </c>
      <c r="E3867" s="5">
        <f t="shared" si="165"/>
        <v>126450</v>
      </c>
      <c r="F3867" s="5">
        <v>292650</v>
      </c>
      <c r="G3867" s="5">
        <v>0</v>
      </c>
      <c r="H3867" s="5">
        <v>1075</v>
      </c>
      <c r="I3867" s="5">
        <v>158400</v>
      </c>
      <c r="J3867" s="263">
        <f t="shared" si="166"/>
        <v>0.54126089185033321</v>
      </c>
      <c r="K3867" s="24">
        <v>2378</v>
      </c>
      <c r="L3867" s="6">
        <v>2386</v>
      </c>
      <c r="M3867" s="270">
        <f t="shared" si="167"/>
        <v>8</v>
      </c>
      <c r="N3867" s="7"/>
      <c r="O3867" s="277"/>
      <c r="P3867" s="345">
        <v>14800</v>
      </c>
      <c r="Q3867" s="28">
        <f>174.8/1088</f>
        <v>0.16066176470588237</v>
      </c>
      <c r="R3867" s="312">
        <f t="shared" si="170"/>
        <v>2377.794117647059</v>
      </c>
      <c r="S3867" s="313" t="e">
        <f>R3867*#REF!</f>
        <v>#REF!</v>
      </c>
      <c r="T3867" s="313" t="e">
        <f t="shared" si="168"/>
        <v>#REF!</v>
      </c>
      <c r="U3867" s="29">
        <v>0.1</v>
      </c>
      <c r="W3867" s="741">
        <f t="shared" si="169"/>
        <v>2615.5735294117653</v>
      </c>
    </row>
    <row r="3868" spans="1:23" ht="15" customHeight="1">
      <c r="A3868" s="3">
        <v>41304</v>
      </c>
      <c r="B3868" s="4">
        <v>875</v>
      </c>
      <c r="C3868" s="4">
        <v>112500</v>
      </c>
      <c r="D3868" s="5">
        <v>51750</v>
      </c>
      <c r="E3868" s="5">
        <f t="shared" si="165"/>
        <v>127475</v>
      </c>
      <c r="F3868" s="5">
        <v>292600</v>
      </c>
      <c r="G3868" s="5">
        <v>250</v>
      </c>
      <c r="H3868" s="5">
        <v>300</v>
      </c>
      <c r="I3868" s="5">
        <v>158100</v>
      </c>
      <c r="J3868" s="263">
        <f t="shared" si="166"/>
        <v>0.54032809295967188</v>
      </c>
      <c r="K3868" s="24">
        <v>2438.5</v>
      </c>
      <c r="L3868" s="6">
        <v>2449</v>
      </c>
      <c r="M3868" s="270">
        <f t="shared" si="167"/>
        <v>10.5</v>
      </c>
      <c r="N3868" s="7"/>
      <c r="O3868" s="277"/>
      <c r="P3868" s="345">
        <v>14800</v>
      </c>
      <c r="Q3868" s="28">
        <f>174.05/1082.7</f>
        <v>0.16075551861088022</v>
      </c>
      <c r="R3868" s="312">
        <f t="shared" si="170"/>
        <v>2379.1816754410274</v>
      </c>
      <c r="S3868" s="313" t="e">
        <f>R3868*#REF!</f>
        <v>#REF!</v>
      </c>
      <c r="T3868" s="313" t="e">
        <f t="shared" si="168"/>
        <v>#REF!</v>
      </c>
      <c r="U3868" s="29">
        <v>0.1</v>
      </c>
      <c r="W3868" s="741">
        <f t="shared" si="169"/>
        <v>2617.0998429851302</v>
      </c>
    </row>
    <row r="3869" spans="1:23" ht="15" customHeight="1">
      <c r="A3869" s="3">
        <v>41305</v>
      </c>
      <c r="B3869" s="4">
        <v>875</v>
      </c>
      <c r="C3869" s="4">
        <v>112275</v>
      </c>
      <c r="D3869" s="5">
        <v>51700</v>
      </c>
      <c r="E3869" s="5">
        <f t="shared" si="165"/>
        <v>126000</v>
      </c>
      <c r="F3869" s="5">
        <v>290850</v>
      </c>
      <c r="G3869" s="5">
        <v>0</v>
      </c>
      <c r="H3869" s="5">
        <v>1750</v>
      </c>
      <c r="I3869" s="5">
        <v>156350</v>
      </c>
      <c r="J3869" s="263">
        <f>I3869/F3869</f>
        <v>0.53756231734571081</v>
      </c>
      <c r="K3869" s="24">
        <v>2438</v>
      </c>
      <c r="L3869" s="6">
        <v>2442</v>
      </c>
      <c r="M3869" s="270">
        <f t="shared" si="167"/>
        <v>4</v>
      </c>
      <c r="N3869" s="255">
        <f>AVERAGE(K3848:K3869)</f>
        <v>2340.2727272727275</v>
      </c>
      <c r="O3869" s="290">
        <f>AVERAGE(K3848:K3869)</f>
        <v>2340.2727272727275</v>
      </c>
      <c r="P3869" s="345">
        <v>14800</v>
      </c>
      <c r="Q3869" s="28">
        <f>175.1/1088.9</f>
        <v>0.16080448158692257</v>
      </c>
      <c r="R3869" s="312">
        <f t="shared" si="170"/>
        <v>2379.9063274864538</v>
      </c>
      <c r="S3869" s="313" t="e">
        <f>R3869*#REF!</f>
        <v>#REF!</v>
      </c>
      <c r="T3869" s="313" t="e">
        <f t="shared" si="168"/>
        <v>#REF!</v>
      </c>
      <c r="U3869" s="29">
        <v>0.1</v>
      </c>
      <c r="W3869" s="741">
        <f t="shared" si="169"/>
        <v>2617.8969602350994</v>
      </c>
    </row>
    <row r="3870" spans="1:23" ht="15" customHeight="1" thickBot="1">
      <c r="A3870" s="392"/>
      <c r="B3870" s="995" t="s">
        <v>102</v>
      </c>
      <c r="C3870" s="995"/>
      <c r="D3870" s="995"/>
      <c r="E3870" s="995"/>
      <c r="F3870" s="392"/>
      <c r="G3870" s="332">
        <f>SUM(G3848:G3869)</f>
        <v>2450</v>
      </c>
      <c r="H3870" s="332">
        <f>SUM(H3848:H3869)</f>
        <v>27650</v>
      </c>
      <c r="I3870" s="332"/>
      <c r="J3870" s="333"/>
      <c r="K3870" s="334"/>
      <c r="L3870" s="335"/>
      <c r="M3870" s="336"/>
      <c r="N3870" s="337"/>
      <c r="O3870" s="353"/>
      <c r="P3870" s="351"/>
      <c r="Q3870" s="299"/>
      <c r="R3870" s="453"/>
      <c r="S3870" s="454"/>
      <c r="T3870" s="454"/>
      <c r="U3870" s="302"/>
      <c r="V3870" s="298">
        <f>AVERAGE(P3850:P3869)</f>
        <v>14752.5</v>
      </c>
      <c r="W3870" s="745"/>
    </row>
    <row r="3871" spans="1:23" ht="15" customHeight="1">
      <c r="A3871" s="3">
        <v>41306</v>
      </c>
      <c r="B3871" s="4">
        <v>875</v>
      </c>
      <c r="C3871" s="4">
        <v>110575</v>
      </c>
      <c r="D3871" s="5">
        <v>51650</v>
      </c>
      <c r="E3871" s="5">
        <f t="shared" si="165"/>
        <v>127025</v>
      </c>
      <c r="F3871" s="5">
        <v>290125</v>
      </c>
      <c r="G3871" s="5">
        <v>0</v>
      </c>
      <c r="H3871" s="5">
        <v>725</v>
      </c>
      <c r="I3871" s="5">
        <v>155625</v>
      </c>
      <c r="J3871" s="263">
        <f t="shared" ref="J3871:J3911" si="171">I3871/F3871</f>
        <v>0.53640672124084443</v>
      </c>
      <c r="K3871" s="24">
        <v>2426</v>
      </c>
      <c r="L3871" s="6">
        <v>2437</v>
      </c>
      <c r="M3871" s="270">
        <f t="shared" si="167"/>
        <v>11</v>
      </c>
      <c r="N3871" s="7"/>
      <c r="O3871" s="277"/>
      <c r="P3871" s="345">
        <v>14850</v>
      </c>
      <c r="Q3871" s="28">
        <f>175.5/1092.9</f>
        <v>0.16058193796321713</v>
      </c>
      <c r="R3871" s="312">
        <f t="shared" si="170"/>
        <v>2384.6417787537744</v>
      </c>
      <c r="S3871" s="313" t="e">
        <f>R3871*#REF!</f>
        <v>#REF!</v>
      </c>
      <c r="T3871" s="313" t="e">
        <f t="shared" ref="T3871:T3876" si="172">(R3871+S3871)*U3871</f>
        <v>#REF!</v>
      </c>
      <c r="U3871" s="29">
        <v>0.1</v>
      </c>
      <c r="W3871" s="741" t="e">
        <f>(P3871*Q3871)*(1+#REF!)*(1+U3871)</f>
        <v>#REF!</v>
      </c>
    </row>
    <row r="3872" spans="1:23" ht="15" customHeight="1">
      <c r="A3872" s="3">
        <v>41309</v>
      </c>
      <c r="B3872" s="4">
        <v>875</v>
      </c>
      <c r="C3872" s="4">
        <v>109900</v>
      </c>
      <c r="D3872" s="5">
        <v>51600</v>
      </c>
      <c r="E3872" s="5">
        <f t="shared" si="165"/>
        <v>127700</v>
      </c>
      <c r="F3872" s="5">
        <v>290075</v>
      </c>
      <c r="G3872" s="5">
        <v>0</v>
      </c>
      <c r="H3872" s="5">
        <v>50</v>
      </c>
      <c r="I3872" s="5">
        <v>155575</v>
      </c>
      <c r="J3872" s="263">
        <f t="shared" si="171"/>
        <v>0.53632681203137123</v>
      </c>
      <c r="K3872" s="24">
        <v>2443</v>
      </c>
      <c r="L3872" s="6">
        <v>2454</v>
      </c>
      <c r="M3872" s="270">
        <f t="shared" si="167"/>
        <v>11</v>
      </c>
      <c r="N3872" s="7"/>
      <c r="O3872" s="277"/>
      <c r="P3872" s="345">
        <v>14950</v>
      </c>
      <c r="Q3872" s="28">
        <f>174.72/1089</f>
        <v>0.16044077134986226</v>
      </c>
      <c r="R3872" s="312">
        <f t="shared" si="170"/>
        <v>2398.5895316804408</v>
      </c>
      <c r="S3872" s="313" t="e">
        <f>R3872*#REF!</f>
        <v>#REF!</v>
      </c>
      <c r="T3872" s="313" t="e">
        <f t="shared" si="172"/>
        <v>#REF!</v>
      </c>
      <c r="U3872" s="29">
        <v>0.1</v>
      </c>
      <c r="W3872" s="741">
        <f>(P3872*Q3872)*(1+U3872)</f>
        <v>2638.4484848484849</v>
      </c>
    </row>
    <row r="3873" spans="1:23" ht="15" customHeight="1">
      <c r="A3873" s="3">
        <v>41310</v>
      </c>
      <c r="B3873" s="4">
        <v>875</v>
      </c>
      <c r="C3873" s="4">
        <v>109900</v>
      </c>
      <c r="D3873" s="5">
        <v>51525</v>
      </c>
      <c r="E3873" s="5">
        <f t="shared" si="165"/>
        <v>127700</v>
      </c>
      <c r="F3873" s="5">
        <v>290000</v>
      </c>
      <c r="G3873" s="5">
        <v>0</v>
      </c>
      <c r="H3873" s="5">
        <v>75</v>
      </c>
      <c r="I3873" s="5">
        <v>155500</v>
      </c>
      <c r="J3873" s="263">
        <f t="shared" si="171"/>
        <v>0.53620689655172415</v>
      </c>
      <c r="K3873" s="24">
        <v>2448</v>
      </c>
      <c r="L3873" s="6">
        <v>2455</v>
      </c>
      <c r="M3873" s="270">
        <f t="shared" si="167"/>
        <v>7</v>
      </c>
      <c r="N3873" s="7"/>
      <c r="O3873" s="277"/>
      <c r="P3873" s="345">
        <v>14900</v>
      </c>
      <c r="Q3873" s="28">
        <f>174.46/1086.8</f>
        <v>0.16052631578947371</v>
      </c>
      <c r="R3873" s="312">
        <f t="shared" si="170"/>
        <v>2391.8421052631584</v>
      </c>
      <c r="S3873" s="313" t="e">
        <f>R3873*#REF!</f>
        <v>#REF!</v>
      </c>
      <c r="T3873" s="313" t="e">
        <f t="shared" si="172"/>
        <v>#REF!</v>
      </c>
      <c r="U3873" s="29">
        <v>0.1</v>
      </c>
      <c r="W3873" s="741">
        <f>(P3873*Q3873)*(1+U3873)</f>
        <v>2631.0263157894742</v>
      </c>
    </row>
    <row r="3874" spans="1:23" ht="15" customHeight="1">
      <c r="A3874" s="3">
        <v>41311</v>
      </c>
      <c r="B3874" s="4">
        <v>875</v>
      </c>
      <c r="C3874" s="4">
        <v>109900</v>
      </c>
      <c r="D3874" s="5">
        <v>51425</v>
      </c>
      <c r="E3874" s="5">
        <f t="shared" si="165"/>
        <v>127700</v>
      </c>
      <c r="F3874" s="5">
        <v>289900</v>
      </c>
      <c r="G3874" s="5">
        <v>0</v>
      </c>
      <c r="H3874" s="5">
        <v>100</v>
      </c>
      <c r="I3874" s="5">
        <v>155400</v>
      </c>
      <c r="J3874" s="263">
        <f t="shared" si="171"/>
        <v>0.53604691272852711</v>
      </c>
      <c r="K3874" s="24">
        <v>2424.5</v>
      </c>
      <c r="L3874" s="6">
        <v>2436</v>
      </c>
      <c r="M3874" s="270">
        <f t="shared" si="167"/>
        <v>11.5</v>
      </c>
      <c r="N3874" s="7"/>
      <c r="P3874" s="345">
        <v>14900</v>
      </c>
      <c r="Q3874" s="28">
        <f>174.72/1088.8</f>
        <v>0.16047024246877298</v>
      </c>
      <c r="R3874" s="312">
        <f t="shared" si="170"/>
        <v>2391.0066127847172</v>
      </c>
      <c r="S3874" s="313" t="e">
        <f>R3874*#REF!</f>
        <v>#REF!</v>
      </c>
      <c r="T3874" s="313" t="e">
        <f t="shared" si="172"/>
        <v>#REF!</v>
      </c>
      <c r="U3874" s="29">
        <v>0.1</v>
      </c>
      <c r="W3874" s="741">
        <f>(P3874*Q3874)*(1+U3874)</f>
        <v>2630.1072740631889</v>
      </c>
    </row>
    <row r="3875" spans="1:23" ht="15" customHeight="1">
      <c r="A3875" s="3">
        <v>41312</v>
      </c>
      <c r="B3875" s="4">
        <v>875</v>
      </c>
      <c r="C3875" s="4">
        <v>109900</v>
      </c>
      <c r="D3875" s="5">
        <v>51375</v>
      </c>
      <c r="E3875" s="5">
        <f t="shared" si="165"/>
        <v>125350</v>
      </c>
      <c r="F3875" s="5">
        <v>287500</v>
      </c>
      <c r="G3875" s="5">
        <v>0</v>
      </c>
      <c r="H3875" s="5">
        <v>2400</v>
      </c>
      <c r="I3875" s="5">
        <v>153125</v>
      </c>
      <c r="J3875" s="263">
        <f t="shared" si="171"/>
        <v>0.53260869565217395</v>
      </c>
      <c r="K3875" s="24">
        <v>2406.5</v>
      </c>
      <c r="L3875" s="6">
        <v>2418</v>
      </c>
      <c r="M3875" s="270">
        <f t="shared" si="167"/>
        <v>11.5</v>
      </c>
      <c r="N3875" s="7"/>
      <c r="O3875" s="277"/>
      <c r="P3875" s="345">
        <v>14800</v>
      </c>
      <c r="Q3875" s="28">
        <f>174.78/1089.3</f>
        <v>0.1604516662076563</v>
      </c>
      <c r="R3875" s="312">
        <f t="shared" si="170"/>
        <v>2374.6846598733132</v>
      </c>
      <c r="S3875" s="313" t="e">
        <f>R3875*#REF!</f>
        <v>#REF!</v>
      </c>
      <c r="T3875" s="313" t="e">
        <f t="shared" si="172"/>
        <v>#REF!</v>
      </c>
      <c r="U3875" s="29">
        <v>0.1</v>
      </c>
      <c r="W3875" s="741">
        <f>(P3875*Q3875)*(1+U3875)</f>
        <v>2612.1531258606446</v>
      </c>
    </row>
    <row r="3876" spans="1:23" ht="15" customHeight="1">
      <c r="A3876" s="3">
        <v>41313</v>
      </c>
      <c r="B3876" s="4">
        <v>875</v>
      </c>
      <c r="C3876" s="4">
        <v>107550</v>
      </c>
      <c r="D3876" s="5">
        <v>51300</v>
      </c>
      <c r="E3876" s="5">
        <f t="shared" si="165"/>
        <v>128375</v>
      </c>
      <c r="F3876" s="5">
        <v>288100</v>
      </c>
      <c r="G3876" s="5">
        <v>675</v>
      </c>
      <c r="H3876" s="5">
        <v>75</v>
      </c>
      <c r="I3876" s="5">
        <v>153050</v>
      </c>
      <c r="J3876" s="263">
        <f t="shared" si="171"/>
        <v>0.5312391530718501</v>
      </c>
      <c r="K3876" s="24">
        <v>2409</v>
      </c>
      <c r="L3876" s="6">
        <v>2420</v>
      </c>
      <c r="M3876" s="270">
        <f t="shared" si="167"/>
        <v>11</v>
      </c>
      <c r="N3876" s="7"/>
      <c r="O3876" s="277"/>
      <c r="P3876" s="345">
        <v>14850</v>
      </c>
      <c r="Q3876" s="28">
        <f>174.78/1089.3</f>
        <v>0.1604516662076563</v>
      </c>
      <c r="R3876" s="312">
        <f t="shared" si="170"/>
        <v>2382.7072431836959</v>
      </c>
      <c r="S3876" s="313" t="e">
        <f>R3876*#REF!</f>
        <v>#REF!</v>
      </c>
      <c r="T3876" s="313" t="e">
        <f t="shared" si="172"/>
        <v>#REF!</v>
      </c>
      <c r="U3876" s="29">
        <v>0.1</v>
      </c>
      <c r="W3876" s="741">
        <f>(P3876*Q3876)*(1+U3876)</f>
        <v>2620.9779675020659</v>
      </c>
    </row>
    <row r="3877" spans="1:23" ht="15" customHeight="1">
      <c r="A3877" s="3">
        <v>41316</v>
      </c>
      <c r="B3877" s="4">
        <v>875</v>
      </c>
      <c r="C3877" s="4">
        <v>107550</v>
      </c>
      <c r="D3877" s="5">
        <v>51200</v>
      </c>
      <c r="E3877" s="5">
        <f t="shared" si="165"/>
        <v>128375</v>
      </c>
      <c r="F3877" s="5">
        <v>288000</v>
      </c>
      <c r="G3877" s="5">
        <v>0</v>
      </c>
      <c r="H3877" s="5">
        <v>100</v>
      </c>
      <c r="I3877" s="5">
        <v>152950</v>
      </c>
      <c r="J3877" s="263">
        <f t="shared" si="171"/>
        <v>0.53107638888888886</v>
      </c>
      <c r="K3877" s="24">
        <v>2409</v>
      </c>
      <c r="L3877" s="6">
        <v>2417</v>
      </c>
      <c r="M3877" s="270">
        <f t="shared" si="167"/>
        <v>8</v>
      </c>
      <c r="N3877" s="7"/>
      <c r="O3877" s="277"/>
      <c r="P3877" s="357"/>
      <c r="Q3877" s="1004" t="s">
        <v>114</v>
      </c>
      <c r="R3877" s="1004"/>
      <c r="S3877" s="1004"/>
      <c r="T3877" s="1004"/>
      <c r="U3877" s="1004"/>
      <c r="V3877" s="345"/>
      <c r="W3877" s="749"/>
    </row>
    <row r="3878" spans="1:23" ht="15" customHeight="1">
      <c r="A3878" s="3">
        <v>41317</v>
      </c>
      <c r="B3878" s="4">
        <v>875</v>
      </c>
      <c r="C3878" s="4">
        <v>107550</v>
      </c>
      <c r="D3878" s="5">
        <v>50825</v>
      </c>
      <c r="E3878" s="5">
        <f t="shared" si="165"/>
        <v>128375</v>
      </c>
      <c r="F3878" s="5">
        <v>287625</v>
      </c>
      <c r="G3878" s="5">
        <v>0</v>
      </c>
      <c r="H3878" s="5">
        <v>375</v>
      </c>
      <c r="I3878" s="5">
        <v>152650</v>
      </c>
      <c r="J3878" s="263">
        <f t="shared" si="171"/>
        <v>0.53072577140373756</v>
      </c>
      <c r="K3878" s="24">
        <v>2375.5</v>
      </c>
      <c r="L3878" s="6">
        <v>2388</v>
      </c>
      <c r="M3878" s="270">
        <f t="shared" si="167"/>
        <v>12.5</v>
      </c>
      <c r="N3878" s="7"/>
      <c r="O3878" s="277"/>
      <c r="P3878" s="357"/>
      <c r="Q3878" s="1004"/>
      <c r="R3878" s="1004"/>
      <c r="S3878" s="1004"/>
      <c r="T3878" s="1004"/>
      <c r="U3878" s="1004"/>
      <c r="V3878" s="345"/>
      <c r="W3878" s="749"/>
    </row>
    <row r="3879" spans="1:23" ht="15" customHeight="1">
      <c r="A3879" s="3">
        <v>41318</v>
      </c>
      <c r="B3879" s="4">
        <v>875</v>
      </c>
      <c r="C3879" s="4">
        <v>107550</v>
      </c>
      <c r="D3879" s="5">
        <v>50550</v>
      </c>
      <c r="E3879" s="5">
        <f t="shared" si="165"/>
        <v>128375</v>
      </c>
      <c r="F3879" s="5">
        <v>287350</v>
      </c>
      <c r="G3879" s="5">
        <v>0</v>
      </c>
      <c r="H3879" s="5">
        <v>275</v>
      </c>
      <c r="I3879" s="5">
        <v>152375</v>
      </c>
      <c r="J3879" s="263">
        <f t="shared" si="171"/>
        <v>0.53027666608665391</v>
      </c>
      <c r="K3879" s="24">
        <v>2423</v>
      </c>
      <c r="L3879" s="6">
        <v>2435</v>
      </c>
      <c r="M3879" s="270">
        <f t="shared" si="167"/>
        <v>12</v>
      </c>
      <c r="N3879" s="7"/>
      <c r="O3879" s="277"/>
      <c r="P3879" s="357"/>
      <c r="Q3879" s="1004"/>
      <c r="R3879" s="1004"/>
      <c r="S3879" s="1004"/>
      <c r="T3879" s="1004"/>
      <c r="U3879" s="1004"/>
      <c r="V3879" s="345"/>
      <c r="W3879" s="749"/>
    </row>
    <row r="3880" spans="1:23" ht="15" customHeight="1">
      <c r="A3880" s="3">
        <v>41319</v>
      </c>
      <c r="B3880" s="4">
        <v>875</v>
      </c>
      <c r="C3880" s="4">
        <v>107550</v>
      </c>
      <c r="D3880" s="5">
        <v>50275</v>
      </c>
      <c r="E3880" s="5">
        <f t="shared" si="165"/>
        <v>128375</v>
      </c>
      <c r="F3880" s="5">
        <v>287075</v>
      </c>
      <c r="G3880" s="5">
        <v>0</v>
      </c>
      <c r="H3880" s="5">
        <v>275</v>
      </c>
      <c r="I3880" s="5">
        <v>152100</v>
      </c>
      <c r="J3880" s="263">
        <f t="shared" si="171"/>
        <v>0.52982670033963253</v>
      </c>
      <c r="K3880" s="24">
        <v>2401</v>
      </c>
      <c r="L3880" s="6">
        <v>2411</v>
      </c>
      <c r="M3880" s="270">
        <f t="shared" si="167"/>
        <v>10</v>
      </c>
      <c r="N3880" s="7"/>
      <c r="O3880" s="277"/>
      <c r="P3880" s="357"/>
      <c r="Q3880" s="1004"/>
      <c r="R3880" s="1004"/>
      <c r="S3880" s="1004"/>
      <c r="T3880" s="1004"/>
      <c r="U3880" s="1004"/>
      <c r="V3880" s="345"/>
      <c r="W3880" s="749"/>
    </row>
    <row r="3881" spans="1:23" ht="15" customHeight="1">
      <c r="A3881" s="3">
        <v>41320</v>
      </c>
      <c r="B3881" s="4">
        <v>875</v>
      </c>
      <c r="C3881" s="4">
        <v>107550</v>
      </c>
      <c r="D3881" s="5">
        <v>49975</v>
      </c>
      <c r="E3881" s="5">
        <f t="shared" si="165"/>
        <v>128750</v>
      </c>
      <c r="F3881" s="5">
        <v>287150</v>
      </c>
      <c r="G3881" s="5">
        <v>375</v>
      </c>
      <c r="H3881" s="5">
        <v>300</v>
      </c>
      <c r="I3881" s="5">
        <v>151800</v>
      </c>
      <c r="J3881" s="263">
        <f t="shared" si="171"/>
        <v>0.52864356608044571</v>
      </c>
      <c r="K3881" s="24">
        <v>2404</v>
      </c>
      <c r="L3881" s="6">
        <v>2415</v>
      </c>
      <c r="M3881" s="270">
        <f t="shared" si="167"/>
        <v>11</v>
      </c>
      <c r="N3881" s="7"/>
      <c r="O3881" s="277"/>
      <c r="P3881" s="357"/>
      <c r="Q3881" s="1004"/>
      <c r="R3881" s="1004"/>
      <c r="S3881" s="1004"/>
      <c r="T3881" s="1004"/>
      <c r="U3881" s="1004"/>
      <c r="V3881" s="345"/>
      <c r="W3881" s="749"/>
    </row>
    <row r="3882" spans="1:23" ht="15" customHeight="1">
      <c r="A3882" s="3">
        <v>41323</v>
      </c>
      <c r="B3882" s="4">
        <v>875</v>
      </c>
      <c r="C3882" s="4">
        <v>107550</v>
      </c>
      <c r="D3882" s="5">
        <v>49775</v>
      </c>
      <c r="E3882" s="5">
        <f t="shared" si="165"/>
        <v>130225</v>
      </c>
      <c r="F3882" s="5">
        <v>288425</v>
      </c>
      <c r="G3882" s="5">
        <v>1475</v>
      </c>
      <c r="H3882" s="5">
        <v>200</v>
      </c>
      <c r="I3882" s="5">
        <v>151600</v>
      </c>
      <c r="J3882" s="263">
        <f t="shared" si="171"/>
        <v>0.52561324434428358</v>
      </c>
      <c r="K3882" s="24">
        <v>2395.5</v>
      </c>
      <c r="L3882" s="6">
        <v>2416.5</v>
      </c>
      <c r="M3882" s="270">
        <f t="shared" si="167"/>
        <v>21</v>
      </c>
      <c r="N3882" s="7"/>
      <c r="O3882" s="277"/>
      <c r="P3882" s="357">
        <v>14900</v>
      </c>
      <c r="Q3882" s="28">
        <f>173.42/1082.6</f>
        <v>0.1601884352484759</v>
      </c>
      <c r="R3882" s="312">
        <f t="shared" si="170"/>
        <v>2386.8076852022909</v>
      </c>
      <c r="S3882" s="313" t="e">
        <f>R3882*#REF!</f>
        <v>#REF!</v>
      </c>
      <c r="T3882" s="313" t="e">
        <f t="shared" ref="T3882:T3890" si="173">(R3882+S3882)*U3882</f>
        <v>#REF!</v>
      </c>
      <c r="U3882" s="358">
        <v>0.1</v>
      </c>
      <c r="V3882" s="345"/>
      <c r="W3882" s="741">
        <f t="shared" ref="W3882:W3889" si="174">(P3882*Q3882)*(1+U3882)</f>
        <v>2625.4884537225203</v>
      </c>
    </row>
    <row r="3883" spans="1:23" ht="15" customHeight="1">
      <c r="A3883" s="3">
        <v>41324</v>
      </c>
      <c r="B3883" s="4">
        <v>875</v>
      </c>
      <c r="C3883" s="4">
        <v>109025</v>
      </c>
      <c r="D3883" s="5">
        <v>49675</v>
      </c>
      <c r="E3883" s="5">
        <f t="shared" si="165"/>
        <v>128750</v>
      </c>
      <c r="F3883" s="5">
        <v>288325</v>
      </c>
      <c r="G3883" s="5">
        <v>0</v>
      </c>
      <c r="H3883" s="5">
        <v>100</v>
      </c>
      <c r="I3883" s="5">
        <v>151500</v>
      </c>
      <c r="J3883" s="263">
        <f t="shared" si="171"/>
        <v>0.52544871239053148</v>
      </c>
      <c r="K3883" s="24">
        <v>2374</v>
      </c>
      <c r="L3883" s="6">
        <v>2396</v>
      </c>
      <c r="M3883" s="270">
        <f t="shared" si="167"/>
        <v>22</v>
      </c>
      <c r="N3883" s="7"/>
      <c r="O3883" s="277"/>
      <c r="P3883" s="345">
        <v>14900</v>
      </c>
      <c r="Q3883" s="28">
        <f>173.18/1081.4</f>
        <v>0.160144257444054</v>
      </c>
      <c r="R3883" s="312">
        <f t="shared" si="170"/>
        <v>2386.1494359164044</v>
      </c>
      <c r="S3883" s="313" t="e">
        <f>R3883*#REF!</f>
        <v>#REF!</v>
      </c>
      <c r="T3883" s="313" t="e">
        <f t="shared" si="173"/>
        <v>#REF!</v>
      </c>
      <c r="U3883" s="358">
        <v>0.1</v>
      </c>
      <c r="W3883" s="741">
        <f t="shared" si="174"/>
        <v>2624.7643795080448</v>
      </c>
    </row>
    <row r="3884" spans="1:23" ht="15" customHeight="1">
      <c r="A3884" s="3">
        <v>41325</v>
      </c>
      <c r="B3884" s="4">
        <v>875</v>
      </c>
      <c r="C3884" s="4">
        <v>109025</v>
      </c>
      <c r="D3884" s="5">
        <v>49675</v>
      </c>
      <c r="E3884" s="5">
        <f t="shared" si="165"/>
        <v>129000</v>
      </c>
      <c r="F3884" s="5">
        <v>288575</v>
      </c>
      <c r="G3884" s="5">
        <v>250</v>
      </c>
      <c r="H3884" s="5">
        <v>0</v>
      </c>
      <c r="I3884" s="5">
        <v>151500</v>
      </c>
      <c r="J3884" s="263">
        <f t="shared" si="171"/>
        <v>0.52499350255566146</v>
      </c>
      <c r="K3884" s="24">
        <v>2364</v>
      </c>
      <c r="L3884" s="6">
        <v>2382</v>
      </c>
      <c r="M3884" s="270">
        <f t="shared" si="167"/>
        <v>18</v>
      </c>
      <c r="N3884" s="7"/>
      <c r="O3884" s="277"/>
      <c r="P3884" s="345">
        <v>14850</v>
      </c>
      <c r="Q3884" s="28">
        <f>172.79/1077.8</f>
        <v>0.16031731304509186</v>
      </c>
      <c r="R3884" s="312">
        <f t="shared" si="170"/>
        <v>2380.712098719614</v>
      </c>
      <c r="S3884" s="313" t="e">
        <f>R3884*#REF!</f>
        <v>#REF!</v>
      </c>
      <c r="T3884" s="313" t="e">
        <f t="shared" si="173"/>
        <v>#REF!</v>
      </c>
      <c r="U3884" s="358">
        <v>0.1</v>
      </c>
      <c r="W3884" s="741">
        <f t="shared" si="174"/>
        <v>2618.7833085915754</v>
      </c>
    </row>
    <row r="3885" spans="1:23" ht="15" customHeight="1">
      <c r="A3885" s="3">
        <v>41326</v>
      </c>
      <c r="B3885" s="4">
        <v>875</v>
      </c>
      <c r="C3885" s="4">
        <v>109025</v>
      </c>
      <c r="D3885" s="5">
        <v>49600</v>
      </c>
      <c r="E3885" s="5">
        <f t="shared" si="165"/>
        <v>129000</v>
      </c>
      <c r="F3885" s="5">
        <v>288500</v>
      </c>
      <c r="G3885" s="5">
        <v>0</v>
      </c>
      <c r="H3885" s="5">
        <v>75</v>
      </c>
      <c r="I3885" s="5">
        <v>151425</v>
      </c>
      <c r="J3885" s="263">
        <f t="shared" si="171"/>
        <v>0.52487001733102256</v>
      </c>
      <c r="K3885" s="24">
        <v>2315</v>
      </c>
      <c r="L3885" s="6">
        <v>2330</v>
      </c>
      <c r="M3885" s="270">
        <f t="shared" si="167"/>
        <v>15</v>
      </c>
      <c r="N3885" s="7"/>
      <c r="O3885" s="277"/>
      <c r="P3885" s="345">
        <v>14850</v>
      </c>
      <c r="Q3885" s="28">
        <f>173.72/1084.1</f>
        <v>0.16024351997048245</v>
      </c>
      <c r="R3885" s="312">
        <f t="shared" si="170"/>
        <v>2379.6162715616642</v>
      </c>
      <c r="S3885" s="313" t="e">
        <f>R3885*#REF!</f>
        <v>#REF!</v>
      </c>
      <c r="T3885" s="313" t="e">
        <f t="shared" si="173"/>
        <v>#REF!</v>
      </c>
      <c r="U3885" s="358">
        <v>0.1</v>
      </c>
      <c r="W3885" s="741">
        <f t="shared" si="174"/>
        <v>2617.577898717831</v>
      </c>
    </row>
    <row r="3886" spans="1:23" ht="15" customHeight="1">
      <c r="A3886" s="3">
        <v>41327</v>
      </c>
      <c r="B3886" s="4">
        <v>875</v>
      </c>
      <c r="C3886" s="4">
        <v>109025</v>
      </c>
      <c r="D3886" s="5">
        <v>49525</v>
      </c>
      <c r="E3886" s="5">
        <f t="shared" si="165"/>
        <v>128600</v>
      </c>
      <c r="F3886" s="5">
        <v>288025</v>
      </c>
      <c r="G3886" s="5">
        <v>0</v>
      </c>
      <c r="H3886" s="5">
        <v>475</v>
      </c>
      <c r="I3886" s="5">
        <v>151000</v>
      </c>
      <c r="J3886" s="263">
        <f t="shared" si="171"/>
        <v>0.52426004687093131</v>
      </c>
      <c r="K3886" s="24">
        <v>2321</v>
      </c>
      <c r="L3886" s="6">
        <v>2334.5</v>
      </c>
      <c r="M3886" s="270">
        <f t="shared" si="167"/>
        <v>13.5</v>
      </c>
      <c r="N3886" s="7"/>
      <c r="O3886" s="277"/>
      <c r="P3886" s="345">
        <v>14850</v>
      </c>
      <c r="Q3886" s="28">
        <f>174.24/1086.4</f>
        <v>0.16038291605301913</v>
      </c>
      <c r="R3886" s="312">
        <f t="shared" si="170"/>
        <v>2381.6863033873342</v>
      </c>
      <c r="S3886" s="313" t="e">
        <f>R3886*#REF!</f>
        <v>#REF!</v>
      </c>
      <c r="T3886" s="313" t="e">
        <f t="shared" si="173"/>
        <v>#REF!</v>
      </c>
      <c r="U3886" s="358">
        <v>0.1</v>
      </c>
      <c r="W3886" s="741">
        <f t="shared" si="174"/>
        <v>2619.8549337260679</v>
      </c>
    </row>
    <row r="3887" spans="1:23" ht="15" customHeight="1">
      <c r="A3887" s="3">
        <v>41330</v>
      </c>
      <c r="B3887" s="4">
        <v>875</v>
      </c>
      <c r="C3887" s="4">
        <v>108625</v>
      </c>
      <c r="D3887" s="5">
        <v>49425</v>
      </c>
      <c r="E3887" s="5">
        <f t="shared" si="165"/>
        <v>129000</v>
      </c>
      <c r="F3887" s="5">
        <v>287925</v>
      </c>
      <c r="G3887" s="5">
        <v>0</v>
      </c>
      <c r="H3887" s="5">
        <v>100</v>
      </c>
      <c r="I3887" s="5">
        <v>150900</v>
      </c>
      <c r="J3887" s="263">
        <f t="shared" si="171"/>
        <v>0.5240948163584267</v>
      </c>
      <c r="K3887" s="24">
        <v>2306.5</v>
      </c>
      <c r="L3887" s="6">
        <v>2313</v>
      </c>
      <c r="M3887" s="270">
        <f t="shared" si="167"/>
        <v>6.5</v>
      </c>
      <c r="N3887" s="7"/>
      <c r="O3887" s="277"/>
      <c r="P3887" s="345">
        <v>14750</v>
      </c>
      <c r="Q3887" s="28">
        <f>174.43/1087.4</f>
        <v>0.16041015265771563</v>
      </c>
      <c r="R3887" s="312">
        <f t="shared" si="170"/>
        <v>2366.0497517013055</v>
      </c>
      <c r="S3887" s="313" t="e">
        <f>R3887*#REF!</f>
        <v>#REF!</v>
      </c>
      <c r="T3887" s="313" t="e">
        <f t="shared" si="173"/>
        <v>#REF!</v>
      </c>
      <c r="U3887" s="358">
        <v>0.1</v>
      </c>
      <c r="W3887" s="741">
        <f t="shared" si="174"/>
        <v>2602.6547268714362</v>
      </c>
    </row>
    <row r="3888" spans="1:23" ht="15" customHeight="1">
      <c r="A3888" s="3">
        <v>41331</v>
      </c>
      <c r="B3888" s="4">
        <v>875</v>
      </c>
      <c r="C3888" s="4">
        <v>108625</v>
      </c>
      <c r="D3888" s="5">
        <v>49350</v>
      </c>
      <c r="E3888" s="5">
        <f t="shared" si="165"/>
        <v>129250</v>
      </c>
      <c r="F3888" s="5">
        <v>288100</v>
      </c>
      <c r="G3888" s="5">
        <v>250</v>
      </c>
      <c r="H3888" s="5">
        <v>75</v>
      </c>
      <c r="I3888" s="5">
        <v>150825</v>
      </c>
      <c r="J3888" s="263">
        <f t="shared" si="171"/>
        <v>0.5235161402290871</v>
      </c>
      <c r="K3888" s="24">
        <v>2280</v>
      </c>
      <c r="L3888" s="6">
        <v>2290</v>
      </c>
      <c r="M3888" s="270">
        <f t="shared" si="167"/>
        <v>10</v>
      </c>
      <c r="N3888" s="7"/>
      <c r="O3888" s="277"/>
      <c r="P3888" s="345">
        <v>14800</v>
      </c>
      <c r="Q3888" s="28">
        <f>174.65/1088</f>
        <v>0.16052389705882353</v>
      </c>
      <c r="R3888" s="312">
        <f t="shared" si="170"/>
        <v>2375.7536764705883</v>
      </c>
      <c r="S3888" s="313" t="e">
        <f>R3888*#REF!</f>
        <v>#REF!</v>
      </c>
      <c r="T3888" s="313" t="e">
        <f t="shared" si="173"/>
        <v>#REF!</v>
      </c>
      <c r="U3888" s="358">
        <v>0.1</v>
      </c>
      <c r="W3888" s="741">
        <f t="shared" si="174"/>
        <v>2613.3290441176473</v>
      </c>
    </row>
    <row r="3889" spans="1:26" ht="15" customHeight="1">
      <c r="A3889" s="3">
        <v>41332</v>
      </c>
      <c r="B3889" s="4">
        <v>875</v>
      </c>
      <c r="C3889" s="4">
        <v>108625</v>
      </c>
      <c r="D3889" s="5">
        <v>49250</v>
      </c>
      <c r="E3889" s="5">
        <f t="shared" si="165"/>
        <v>129200</v>
      </c>
      <c r="F3889" s="5">
        <v>287950</v>
      </c>
      <c r="G3889" s="5">
        <v>0</v>
      </c>
      <c r="H3889" s="5">
        <v>150</v>
      </c>
      <c r="I3889" s="5">
        <v>151225</v>
      </c>
      <c r="J3889" s="263">
        <f t="shared" si="171"/>
        <v>0.5251779822885918</v>
      </c>
      <c r="K3889" s="24">
        <v>2311</v>
      </c>
      <c r="L3889" s="6">
        <v>2316.5</v>
      </c>
      <c r="M3889" s="270">
        <f t="shared" si="167"/>
        <v>5.5</v>
      </c>
      <c r="N3889" s="7"/>
      <c r="O3889" s="277"/>
      <c r="P3889" s="345">
        <v>14800</v>
      </c>
      <c r="Q3889" s="28">
        <f>174.3/1085.4</f>
        <v>0.16058595909342177</v>
      </c>
      <c r="R3889" s="312">
        <f t="shared" si="170"/>
        <v>2376.6721945826421</v>
      </c>
      <c r="S3889" s="313" t="e">
        <f>R3889*#REF!</f>
        <v>#REF!</v>
      </c>
      <c r="T3889" s="313" t="e">
        <f t="shared" si="173"/>
        <v>#REF!</v>
      </c>
      <c r="U3889" s="358">
        <v>0.1</v>
      </c>
      <c r="W3889" s="741">
        <f t="shared" si="174"/>
        <v>2614.3394140409064</v>
      </c>
    </row>
    <row r="3890" spans="1:26" ht="15" customHeight="1">
      <c r="A3890" s="3">
        <v>41333</v>
      </c>
      <c r="B3890" s="4">
        <v>875</v>
      </c>
      <c r="C3890" s="4">
        <v>108625</v>
      </c>
      <c r="D3890" s="5">
        <v>49175</v>
      </c>
      <c r="E3890" s="5">
        <f t="shared" si="165"/>
        <v>128600</v>
      </c>
      <c r="F3890" s="5">
        <v>287275</v>
      </c>
      <c r="G3890" s="5">
        <v>950</v>
      </c>
      <c r="H3890" s="5">
        <v>1625</v>
      </c>
      <c r="I3890" s="5">
        <v>149600</v>
      </c>
      <c r="J3890" s="263">
        <f t="shared" si="171"/>
        <v>0.52075537377077707</v>
      </c>
      <c r="K3890" s="24">
        <v>2287.5</v>
      </c>
      <c r="L3890" s="6">
        <v>2295</v>
      </c>
      <c r="M3890" s="270">
        <f t="shared" si="167"/>
        <v>7.5</v>
      </c>
      <c r="N3890" s="255">
        <f>AVERAGE(K3871:K3890)</f>
        <v>2376.1999999999998</v>
      </c>
      <c r="O3890" s="290">
        <f>AVERAGE(K3848:K3890)</f>
        <v>2357.3809523809523</v>
      </c>
      <c r="P3890" s="345">
        <v>14800</v>
      </c>
      <c r="Q3890" s="28">
        <f>174.3/1085.4</f>
        <v>0.16058595909342177</v>
      </c>
      <c r="R3890" s="312">
        <f t="shared" si="170"/>
        <v>2376.6721945826421</v>
      </c>
      <c r="S3890" s="313" t="e">
        <f>R3890*#REF!</f>
        <v>#REF!</v>
      </c>
      <c r="T3890" s="313" t="e">
        <f t="shared" si="173"/>
        <v>#REF!</v>
      </c>
      <c r="U3890" s="358">
        <v>0.1</v>
      </c>
      <c r="W3890" s="741">
        <f t="shared" ref="W3890:W3911" si="175">(P3890*Q3890)*(1+U3890)</f>
        <v>2614.3394140409064</v>
      </c>
    </row>
    <row r="3891" spans="1:26" ht="15" customHeight="1" thickBot="1">
      <c r="A3891" s="392"/>
      <c r="B3891" s="995" t="s">
        <v>102</v>
      </c>
      <c r="C3891" s="995"/>
      <c r="D3891" s="995"/>
      <c r="E3891" s="995"/>
      <c r="F3891" s="392"/>
      <c r="G3891" s="332">
        <f>SUM(G3871:G3890)</f>
        <v>3975</v>
      </c>
      <c r="H3891" s="332">
        <f>SUM(H3871:H3890)</f>
        <v>7550</v>
      </c>
      <c r="I3891" s="332"/>
      <c r="J3891" s="333"/>
      <c r="K3891" s="334"/>
      <c r="L3891" s="335"/>
      <c r="M3891" s="336"/>
      <c r="N3891" s="337"/>
      <c r="O3891" s="353"/>
      <c r="P3891" s="351"/>
      <c r="Q3891" s="299"/>
      <c r="R3891" s="453"/>
      <c r="S3891" s="454"/>
      <c r="T3891" s="454"/>
      <c r="U3891" s="302"/>
      <c r="V3891" s="298">
        <f>AVERAGE(P3871:P3890)</f>
        <v>14850</v>
      </c>
      <c r="W3891" s="745"/>
    </row>
    <row r="3892" spans="1:26" ht="15" customHeight="1">
      <c r="A3892" s="3">
        <v>41334</v>
      </c>
      <c r="B3892" s="4">
        <v>875</v>
      </c>
      <c r="C3892" s="4">
        <v>107075</v>
      </c>
      <c r="D3892" s="5">
        <v>49125</v>
      </c>
      <c r="E3892" s="5">
        <f t="shared" si="165"/>
        <v>130150</v>
      </c>
      <c r="F3892" s="5">
        <v>287225</v>
      </c>
      <c r="G3892" s="5">
        <v>0</v>
      </c>
      <c r="H3892" s="5">
        <v>25</v>
      </c>
      <c r="I3892" s="5">
        <v>149550</v>
      </c>
      <c r="J3892" s="263">
        <f t="shared" si="171"/>
        <v>0.52067194707981546</v>
      </c>
      <c r="K3892" s="24">
        <v>2220</v>
      </c>
      <c r="L3892" s="6">
        <v>2237</v>
      </c>
      <c r="M3892" s="270">
        <f t="shared" si="167"/>
        <v>17</v>
      </c>
      <c r="N3892" s="7"/>
      <c r="O3892" s="277"/>
      <c r="P3892" s="345">
        <v>14700</v>
      </c>
      <c r="Q3892" s="28">
        <f>173.86/1081.9</f>
        <v>0.160698770681209</v>
      </c>
      <c r="R3892" s="312">
        <f t="shared" ref="R3892:R3902" si="176">P3892*Q3892</f>
        <v>2362.271929013772</v>
      </c>
      <c r="S3892" s="313" t="e">
        <f>R3892*#REF!</f>
        <v>#REF!</v>
      </c>
      <c r="T3892" s="313" t="e">
        <f t="shared" ref="T3892:T3912" si="177">(R3892+S3892)*U3892</f>
        <v>#REF!</v>
      </c>
      <c r="U3892" s="358">
        <v>0.1</v>
      </c>
      <c r="W3892" s="741">
        <f t="shared" si="175"/>
        <v>2598.4991219151493</v>
      </c>
      <c r="Z3892" s="19">
        <f>AVERAGE(L3892:L3911)</f>
        <v>2202.375</v>
      </c>
    </row>
    <row r="3893" spans="1:26" ht="15" customHeight="1">
      <c r="A3893" s="3">
        <v>41337</v>
      </c>
      <c r="B3893" s="4">
        <v>875</v>
      </c>
      <c r="C3893" s="4">
        <v>107075</v>
      </c>
      <c r="D3893" s="5">
        <v>49075</v>
      </c>
      <c r="E3893" s="5">
        <f t="shared" si="165"/>
        <v>130150</v>
      </c>
      <c r="F3893" s="5">
        <v>287175</v>
      </c>
      <c r="G3893" s="5">
        <v>0</v>
      </c>
      <c r="H3893" s="5">
        <v>50</v>
      </c>
      <c r="I3893" s="5">
        <v>149500</v>
      </c>
      <c r="J3893" s="263">
        <f t="shared" si="171"/>
        <v>0.52058849133803431</v>
      </c>
      <c r="K3893" s="24">
        <v>2235</v>
      </c>
      <c r="L3893" s="6">
        <v>2245</v>
      </c>
      <c r="M3893" s="270">
        <f t="shared" si="167"/>
        <v>10</v>
      </c>
      <c r="N3893" s="7"/>
      <c r="P3893" s="345">
        <v>14650</v>
      </c>
      <c r="Q3893" s="28">
        <f>175.32/1091.4</f>
        <v>0.16063771302913687</v>
      </c>
      <c r="R3893" s="312">
        <f t="shared" si="176"/>
        <v>2353.3424958768551</v>
      </c>
      <c r="S3893" s="313" t="e">
        <f>R3893*#REF!</f>
        <v>#REF!</v>
      </c>
      <c r="T3893" s="313" t="e">
        <f t="shared" si="177"/>
        <v>#REF!</v>
      </c>
      <c r="U3893" s="358">
        <v>0.1</v>
      </c>
      <c r="W3893" s="741">
        <f t="shared" si="175"/>
        <v>2588.676745464541</v>
      </c>
    </row>
    <row r="3894" spans="1:26" ht="15" customHeight="1">
      <c r="A3894" s="3">
        <v>41338</v>
      </c>
      <c r="B3894" s="4">
        <v>875</v>
      </c>
      <c r="C3894" s="4">
        <v>107075</v>
      </c>
      <c r="D3894" s="5">
        <v>49000</v>
      </c>
      <c r="E3894" s="5">
        <f t="shared" si="165"/>
        <v>130150</v>
      </c>
      <c r="F3894" s="5">
        <v>287100</v>
      </c>
      <c r="G3894" s="5">
        <v>0</v>
      </c>
      <c r="H3894" s="5">
        <v>75</v>
      </c>
      <c r="I3894" s="5">
        <v>149425</v>
      </c>
      <c r="J3894" s="263">
        <f t="shared" si="171"/>
        <v>0.52046325322187392</v>
      </c>
      <c r="K3894" s="24">
        <v>2207</v>
      </c>
      <c r="L3894" s="6">
        <v>2223</v>
      </c>
      <c r="M3894" s="270">
        <f t="shared" si="167"/>
        <v>16</v>
      </c>
      <c r="N3894" s="7"/>
      <c r="O3894" s="277"/>
      <c r="P3894" s="345">
        <v>14650</v>
      </c>
      <c r="Q3894" s="28">
        <f>174.73/1087</f>
        <v>0.16074517019319226</v>
      </c>
      <c r="R3894" s="312">
        <f t="shared" si="176"/>
        <v>2354.9167433302664</v>
      </c>
      <c r="S3894" s="313" t="e">
        <f>R3894*#REF!</f>
        <v>#REF!</v>
      </c>
      <c r="T3894" s="313" t="e">
        <f t="shared" si="177"/>
        <v>#REF!</v>
      </c>
      <c r="U3894" s="358">
        <v>0.1</v>
      </c>
      <c r="W3894" s="741">
        <f t="shared" si="175"/>
        <v>2590.4084176632932</v>
      </c>
    </row>
    <row r="3895" spans="1:26" ht="15" customHeight="1">
      <c r="A3895" s="3">
        <v>41339</v>
      </c>
      <c r="B3895" s="4">
        <v>875</v>
      </c>
      <c r="C3895" s="4">
        <v>107075</v>
      </c>
      <c r="D3895" s="5">
        <v>48925</v>
      </c>
      <c r="E3895" s="5">
        <f t="shared" si="165"/>
        <v>130825</v>
      </c>
      <c r="F3895" s="5">
        <v>287700</v>
      </c>
      <c r="G3895" s="5">
        <v>975</v>
      </c>
      <c r="H3895" s="5">
        <v>375</v>
      </c>
      <c r="I3895" s="5">
        <v>149050</v>
      </c>
      <c r="J3895" s="263">
        <f t="shared" si="171"/>
        <v>0.51807438303788667</v>
      </c>
      <c r="K3895" s="24">
        <v>2202</v>
      </c>
      <c r="L3895" s="6">
        <v>2219</v>
      </c>
      <c r="M3895" s="270">
        <f t="shared" si="167"/>
        <v>17</v>
      </c>
      <c r="N3895" s="7"/>
      <c r="O3895" s="277"/>
      <c r="P3895" s="345">
        <v>14650</v>
      </c>
      <c r="Q3895" s="28">
        <f>174.27/1083.6</f>
        <v>0.16082502768549284</v>
      </c>
      <c r="R3895" s="312">
        <f t="shared" si="176"/>
        <v>2356.0866555924699</v>
      </c>
      <c r="S3895" s="313" t="e">
        <f>R3895*#REF!</f>
        <v>#REF!</v>
      </c>
      <c r="T3895" s="313" t="e">
        <f t="shared" si="177"/>
        <v>#REF!</v>
      </c>
      <c r="U3895" s="358">
        <v>0.1</v>
      </c>
      <c r="W3895" s="741">
        <f t="shared" si="175"/>
        <v>2591.6953211517171</v>
      </c>
    </row>
    <row r="3896" spans="1:26" ht="15" customHeight="1">
      <c r="A3896" s="3">
        <v>41340</v>
      </c>
      <c r="B3896" s="4">
        <v>875</v>
      </c>
      <c r="C3896" s="4">
        <v>106775</v>
      </c>
      <c r="D3896" s="5">
        <v>48850</v>
      </c>
      <c r="E3896" s="5">
        <f t="shared" si="165"/>
        <v>129650</v>
      </c>
      <c r="F3896" s="5">
        <v>286150</v>
      </c>
      <c r="G3896" s="5">
        <v>0</v>
      </c>
      <c r="H3896" s="5">
        <v>1550</v>
      </c>
      <c r="I3896" s="5">
        <v>150625</v>
      </c>
      <c r="J3896" s="263">
        <f t="shared" si="171"/>
        <v>0.52638476323606498</v>
      </c>
      <c r="K3896" s="24">
        <v>2167</v>
      </c>
      <c r="L3896" s="6">
        <v>2183.5</v>
      </c>
      <c r="M3896" s="270">
        <f t="shared" si="167"/>
        <v>16.5</v>
      </c>
      <c r="N3896" s="7"/>
      <c r="O3896" s="277"/>
      <c r="P3896" s="345">
        <v>14600</v>
      </c>
      <c r="Q3896" s="28">
        <f>174.66/1086.4</f>
        <v>0.16076951399116346</v>
      </c>
      <c r="R3896" s="312">
        <f t="shared" si="176"/>
        <v>2347.2349042709866</v>
      </c>
      <c r="S3896" s="313" t="e">
        <f>R3896*#REF!</f>
        <v>#REF!</v>
      </c>
      <c r="T3896" s="313" t="e">
        <f t="shared" si="177"/>
        <v>#REF!</v>
      </c>
      <c r="U3896" s="358">
        <v>0.1</v>
      </c>
      <c r="W3896" s="741">
        <f t="shared" si="175"/>
        <v>2581.9583946980856</v>
      </c>
    </row>
    <row r="3897" spans="1:26" ht="15" customHeight="1">
      <c r="A3897" s="3">
        <v>41341</v>
      </c>
      <c r="B3897" s="4">
        <v>875</v>
      </c>
      <c r="C3897" s="4">
        <v>105300</v>
      </c>
      <c r="D3897" s="5">
        <v>48775</v>
      </c>
      <c r="E3897" s="5">
        <f t="shared" si="165"/>
        <v>130100</v>
      </c>
      <c r="F3897" s="5">
        <v>285050</v>
      </c>
      <c r="G3897" s="5">
        <v>575</v>
      </c>
      <c r="H3897" s="5">
        <v>1675</v>
      </c>
      <c r="I3897" s="5">
        <v>148950</v>
      </c>
      <c r="J3897" s="263">
        <f t="shared" si="171"/>
        <v>0.52253990527977545</v>
      </c>
      <c r="K3897" s="24">
        <v>2195</v>
      </c>
      <c r="L3897" s="6">
        <v>2212</v>
      </c>
      <c r="M3897" s="270">
        <f t="shared" si="167"/>
        <v>17</v>
      </c>
      <c r="N3897" s="7"/>
      <c r="O3897" s="277"/>
      <c r="P3897" s="345">
        <v>14600</v>
      </c>
      <c r="Q3897" s="28">
        <f>175.44/1090.3</f>
        <v>0.16090984132807484</v>
      </c>
      <c r="R3897" s="312">
        <f t="shared" si="176"/>
        <v>2349.2836833898928</v>
      </c>
      <c r="S3897" s="313" t="e">
        <f>R3897*#REF!</f>
        <v>#REF!</v>
      </c>
      <c r="T3897" s="313" t="e">
        <f t="shared" si="177"/>
        <v>#REF!</v>
      </c>
      <c r="U3897" s="358">
        <v>0.1</v>
      </c>
      <c r="W3897" s="741">
        <f t="shared" si="175"/>
        <v>2584.2120517288822</v>
      </c>
    </row>
    <row r="3898" spans="1:26" ht="15" customHeight="1">
      <c r="A3898" s="3">
        <v>41344</v>
      </c>
      <c r="B3898" s="4">
        <v>325</v>
      </c>
      <c r="C3898" s="4">
        <v>104275</v>
      </c>
      <c r="D3898" s="5">
        <v>48700</v>
      </c>
      <c r="E3898" s="5">
        <f t="shared" si="165"/>
        <v>131600</v>
      </c>
      <c r="F3898" s="5">
        <v>284900</v>
      </c>
      <c r="G3898" s="5">
        <v>2075</v>
      </c>
      <c r="H3898" s="5">
        <v>2225</v>
      </c>
      <c r="I3898" s="5">
        <v>155600</v>
      </c>
      <c r="J3898" s="263">
        <f t="shared" si="171"/>
        <v>0.54615654615654619</v>
      </c>
      <c r="K3898" s="24">
        <v>2171</v>
      </c>
      <c r="L3898" s="6">
        <v>2190</v>
      </c>
      <c r="M3898" s="270">
        <f t="shared" si="167"/>
        <v>19</v>
      </c>
      <c r="N3898" s="7"/>
      <c r="O3898" s="277"/>
      <c r="P3898" s="345">
        <v>14600</v>
      </c>
      <c r="Q3898" s="28">
        <f>176.63/1098.3</f>
        <v>0.16082126923427115</v>
      </c>
      <c r="R3898" s="312">
        <f t="shared" si="176"/>
        <v>2347.9905308203588</v>
      </c>
      <c r="S3898" s="313" t="e">
        <f>R3898*#REF!</f>
        <v>#REF!</v>
      </c>
      <c r="T3898" s="313" t="e">
        <f t="shared" si="177"/>
        <v>#REF!</v>
      </c>
      <c r="U3898" s="358">
        <v>0.1</v>
      </c>
      <c r="W3898" s="741">
        <f t="shared" si="175"/>
        <v>2582.789583902395</v>
      </c>
    </row>
    <row r="3899" spans="1:26" ht="15" customHeight="1">
      <c r="A3899" s="3">
        <v>41345</v>
      </c>
      <c r="B3899" s="4">
        <v>325</v>
      </c>
      <c r="C3899" s="4">
        <v>102775</v>
      </c>
      <c r="D3899" s="5">
        <v>48625</v>
      </c>
      <c r="E3899" s="5">
        <f t="shared" si="165"/>
        <v>131575</v>
      </c>
      <c r="F3899" s="5">
        <v>283300</v>
      </c>
      <c r="G3899" s="5">
        <v>0</v>
      </c>
      <c r="H3899" s="5">
        <v>1600</v>
      </c>
      <c r="I3899" s="5">
        <v>154500</v>
      </c>
      <c r="J3899" s="263">
        <f t="shared" si="171"/>
        <v>0.54535827744440524</v>
      </c>
      <c r="K3899" s="24">
        <v>2219</v>
      </c>
      <c r="L3899" s="6">
        <v>2235</v>
      </c>
      <c r="M3899" s="270">
        <f t="shared" si="167"/>
        <v>16</v>
      </c>
      <c r="N3899" s="7"/>
      <c r="O3899" s="277"/>
      <c r="P3899" s="345">
        <v>14600</v>
      </c>
      <c r="Q3899" s="28">
        <f>176.15/1095</f>
        <v>0.16086757990867581</v>
      </c>
      <c r="R3899" s="312">
        <f t="shared" si="176"/>
        <v>2348.666666666667</v>
      </c>
      <c r="S3899" s="313" t="e">
        <f>R3899*#REF!</f>
        <v>#REF!</v>
      </c>
      <c r="T3899" s="313" t="e">
        <f t="shared" si="177"/>
        <v>#REF!</v>
      </c>
      <c r="U3899" s="358">
        <v>0.1</v>
      </c>
      <c r="W3899" s="741">
        <f t="shared" si="175"/>
        <v>2583.5333333333338</v>
      </c>
    </row>
    <row r="3900" spans="1:26" ht="15" customHeight="1">
      <c r="A3900" s="3">
        <v>41346</v>
      </c>
      <c r="B3900" s="4">
        <v>325</v>
      </c>
      <c r="C3900" s="4">
        <v>101275</v>
      </c>
      <c r="D3900" s="5">
        <v>48625</v>
      </c>
      <c r="E3900" s="5">
        <f t="shared" si="165"/>
        <v>131175</v>
      </c>
      <c r="F3900" s="5">
        <v>281400</v>
      </c>
      <c r="G3900" s="5">
        <v>0</v>
      </c>
      <c r="H3900" s="5">
        <v>1900</v>
      </c>
      <c r="I3900" s="5">
        <v>152600</v>
      </c>
      <c r="J3900" s="263">
        <f t="shared" si="171"/>
        <v>0.54228855721393032</v>
      </c>
      <c r="K3900" s="24">
        <v>2234</v>
      </c>
      <c r="L3900" s="6">
        <v>2247.5</v>
      </c>
      <c r="M3900" s="270">
        <f t="shared" si="167"/>
        <v>13.5</v>
      </c>
      <c r="N3900" s="7"/>
      <c r="O3900" s="277"/>
      <c r="P3900" s="345">
        <v>14600</v>
      </c>
      <c r="Q3900" s="28">
        <f>176.62/1097.5</f>
        <v>0.16092938496583145</v>
      </c>
      <c r="R3900" s="312">
        <f t="shared" si="176"/>
        <v>2349.5690205011392</v>
      </c>
      <c r="S3900" s="313" t="e">
        <f>R3900*#REF!</f>
        <v>#REF!</v>
      </c>
      <c r="T3900" s="313" t="e">
        <f t="shared" si="177"/>
        <v>#REF!</v>
      </c>
      <c r="U3900" s="358">
        <v>0.1</v>
      </c>
      <c r="W3900" s="741">
        <f t="shared" si="175"/>
        <v>2584.5259225512532</v>
      </c>
    </row>
    <row r="3901" spans="1:26" ht="15" customHeight="1">
      <c r="A3901" s="3">
        <v>41347</v>
      </c>
      <c r="B3901" s="4">
        <v>325</v>
      </c>
      <c r="C3901" s="4">
        <v>99375</v>
      </c>
      <c r="D3901" s="5">
        <v>48525</v>
      </c>
      <c r="E3901" s="5">
        <f t="shared" si="165"/>
        <v>130775</v>
      </c>
      <c r="F3901" s="5">
        <v>279000</v>
      </c>
      <c r="G3901" s="5">
        <v>0</v>
      </c>
      <c r="H3901" s="5">
        <v>2400</v>
      </c>
      <c r="I3901" s="5">
        <v>150200</v>
      </c>
      <c r="J3901" s="263">
        <f t="shared" si="171"/>
        <v>0.53835125448028676</v>
      </c>
      <c r="K3901" s="24">
        <v>2235</v>
      </c>
      <c r="L3901" s="6">
        <v>2255</v>
      </c>
      <c r="M3901" s="270">
        <f t="shared" si="167"/>
        <v>20</v>
      </c>
      <c r="N3901" s="7"/>
      <c r="O3901" s="277"/>
      <c r="P3901" s="345">
        <v>14550</v>
      </c>
      <c r="Q3901" s="28">
        <f>176.62/1097.5</f>
        <v>0.16092938496583145</v>
      </c>
      <c r="R3901" s="312">
        <f t="shared" si="176"/>
        <v>2341.5225512528477</v>
      </c>
      <c r="S3901" s="313" t="e">
        <f>R3901*#REF!</f>
        <v>#REF!</v>
      </c>
      <c r="T3901" s="313" t="e">
        <f t="shared" si="177"/>
        <v>#REF!</v>
      </c>
      <c r="U3901" s="358">
        <v>0.1</v>
      </c>
      <c r="W3901" s="741">
        <f t="shared" si="175"/>
        <v>2575.6748063781329</v>
      </c>
    </row>
    <row r="3902" spans="1:26" ht="15" customHeight="1">
      <c r="A3902" s="3">
        <v>41348</v>
      </c>
      <c r="B3902" s="4">
        <v>325</v>
      </c>
      <c r="C3902" s="4">
        <v>97075</v>
      </c>
      <c r="D3902" s="5">
        <v>48525</v>
      </c>
      <c r="E3902" s="5">
        <f t="shared" si="165"/>
        <v>131575</v>
      </c>
      <c r="F3902" s="5">
        <v>277500</v>
      </c>
      <c r="G3902" s="5">
        <v>0</v>
      </c>
      <c r="H3902" s="5">
        <v>1500</v>
      </c>
      <c r="I3902" s="5">
        <v>148700</v>
      </c>
      <c r="J3902" s="263">
        <f t="shared" si="171"/>
        <v>0.53585585585585582</v>
      </c>
      <c r="K3902" s="24">
        <v>2235</v>
      </c>
      <c r="L3902" s="6">
        <v>2255</v>
      </c>
      <c r="M3902" s="270">
        <f t="shared" si="167"/>
        <v>20</v>
      </c>
      <c r="N3902" s="7"/>
      <c r="O3902" s="277"/>
      <c r="P3902" s="345">
        <v>14550</v>
      </c>
      <c r="Q3902" s="28">
        <f>178.63/1109.9</f>
        <v>0.16094242724569779</v>
      </c>
      <c r="R3902" s="312">
        <f t="shared" si="176"/>
        <v>2341.7123164249028</v>
      </c>
      <c r="S3902" s="313" t="e">
        <f>R3902*#REF!</f>
        <v>#REF!</v>
      </c>
      <c r="T3902" s="313" t="e">
        <f t="shared" si="177"/>
        <v>#REF!</v>
      </c>
      <c r="U3902" s="358">
        <v>0.1</v>
      </c>
      <c r="W3902" s="741">
        <f t="shared" si="175"/>
        <v>2575.8835480673933</v>
      </c>
    </row>
    <row r="3903" spans="1:26" ht="15" customHeight="1">
      <c r="A3903" s="3">
        <v>41351</v>
      </c>
      <c r="B3903" s="4">
        <v>325</v>
      </c>
      <c r="C3903" s="4">
        <v>95575</v>
      </c>
      <c r="D3903" s="5">
        <v>48525</v>
      </c>
      <c r="E3903" s="5">
        <f t="shared" si="165"/>
        <v>131075</v>
      </c>
      <c r="F3903" s="5">
        <v>275500</v>
      </c>
      <c r="G3903" s="5">
        <v>0</v>
      </c>
      <c r="H3903" s="5">
        <v>2000</v>
      </c>
      <c r="I3903" s="5">
        <v>146700</v>
      </c>
      <c r="J3903" s="263">
        <f t="shared" si="171"/>
        <v>0.53248638838475504</v>
      </c>
      <c r="K3903" s="24">
        <v>2164.5</v>
      </c>
      <c r="L3903" s="6">
        <v>2185</v>
      </c>
      <c r="M3903" s="270">
        <f t="shared" si="167"/>
        <v>20.5</v>
      </c>
      <c r="N3903" s="7"/>
      <c r="O3903" s="277"/>
      <c r="P3903" s="345">
        <v>14450</v>
      </c>
      <c r="Q3903" s="28">
        <f>179.35/1114.8</f>
        <v>0.16088087549336205</v>
      </c>
      <c r="R3903" s="312">
        <f t="shared" ref="R3903:R3912" si="178">P3903*Q3903</f>
        <v>2324.7286508790817</v>
      </c>
      <c r="S3903" s="313" t="e">
        <f>R3903*#REF!</f>
        <v>#REF!</v>
      </c>
      <c r="T3903" s="313" t="e">
        <f t="shared" si="177"/>
        <v>#REF!</v>
      </c>
      <c r="U3903" s="358">
        <v>0.1</v>
      </c>
      <c r="W3903" s="741">
        <f t="shared" si="175"/>
        <v>2557.20151596699</v>
      </c>
    </row>
    <row r="3904" spans="1:26" ht="15" customHeight="1">
      <c r="A3904" s="3">
        <v>41352</v>
      </c>
      <c r="B3904" s="4">
        <v>325</v>
      </c>
      <c r="C3904" s="4">
        <v>93575</v>
      </c>
      <c r="D3904" s="5">
        <v>48525</v>
      </c>
      <c r="E3904" s="5">
        <f t="shared" si="165"/>
        <v>131975</v>
      </c>
      <c r="F3904" s="5">
        <v>274400</v>
      </c>
      <c r="G3904" s="5">
        <v>400</v>
      </c>
      <c r="H3904" s="5">
        <v>1500</v>
      </c>
      <c r="I3904" s="5">
        <v>150275</v>
      </c>
      <c r="J3904" s="263">
        <f t="shared" si="171"/>
        <v>0.54764941690962099</v>
      </c>
      <c r="K3904" s="24">
        <v>2160</v>
      </c>
      <c r="L3904" s="6">
        <v>2180</v>
      </c>
      <c r="M3904" s="270">
        <f t="shared" si="167"/>
        <v>20</v>
      </c>
      <c r="N3904" s="7"/>
      <c r="O3904" s="277"/>
      <c r="P3904" s="345">
        <v>14450</v>
      </c>
      <c r="Q3904" s="28">
        <f>178.61/1110.2</f>
        <v>0.1608809223563322</v>
      </c>
      <c r="R3904" s="312">
        <f t="shared" si="178"/>
        <v>2324.7293280490003</v>
      </c>
      <c r="S3904" s="313" t="e">
        <f>R3904*#REF!</f>
        <v>#REF!</v>
      </c>
      <c r="T3904" s="313" t="e">
        <f t="shared" si="177"/>
        <v>#REF!</v>
      </c>
      <c r="U3904" s="358">
        <v>0.1</v>
      </c>
      <c r="W3904" s="741">
        <f t="shared" si="175"/>
        <v>2557.2022608539005</v>
      </c>
    </row>
    <row r="3905" spans="1:25" ht="15" customHeight="1">
      <c r="A3905" s="3">
        <v>41353</v>
      </c>
      <c r="B3905" s="4">
        <v>325</v>
      </c>
      <c r="C3905" s="4">
        <v>92075</v>
      </c>
      <c r="D3905" s="5">
        <v>48525</v>
      </c>
      <c r="E3905" s="5">
        <f t="shared" si="165"/>
        <v>130550</v>
      </c>
      <c r="F3905" s="5">
        <v>271475</v>
      </c>
      <c r="G3905" s="5">
        <v>0</v>
      </c>
      <c r="H3905" s="5">
        <v>2925</v>
      </c>
      <c r="I3905" s="5">
        <v>147350</v>
      </c>
      <c r="J3905" s="263">
        <f t="shared" si="171"/>
        <v>0.54277557786168151</v>
      </c>
      <c r="K3905" s="24">
        <v>2163</v>
      </c>
      <c r="L3905" s="6">
        <v>2186</v>
      </c>
      <c r="M3905" s="270">
        <f t="shared" si="167"/>
        <v>23</v>
      </c>
      <c r="N3905" s="7"/>
      <c r="O3905" s="277"/>
      <c r="P3905" s="345">
        <v>14450</v>
      </c>
      <c r="Q3905" s="28">
        <f>179.9/1117.5</f>
        <v>0.16098434004474274</v>
      </c>
      <c r="R3905" s="312">
        <f t="shared" si="178"/>
        <v>2326.2237136465328</v>
      </c>
      <c r="S3905" s="313" t="e">
        <f>R3905*#REF!</f>
        <v>#REF!</v>
      </c>
      <c r="T3905" s="313" t="e">
        <f t="shared" si="177"/>
        <v>#REF!</v>
      </c>
      <c r="U3905" s="358">
        <v>0.1</v>
      </c>
      <c r="W3905" s="741">
        <f t="shared" si="175"/>
        <v>2558.8460850111865</v>
      </c>
    </row>
    <row r="3906" spans="1:25" ht="15" customHeight="1">
      <c r="A3906" s="3">
        <v>41354</v>
      </c>
      <c r="B3906" s="4">
        <v>325</v>
      </c>
      <c r="C3906" s="4">
        <v>89150</v>
      </c>
      <c r="D3906" s="5">
        <v>48525</v>
      </c>
      <c r="E3906" s="5">
        <f t="shared" si="165"/>
        <v>131975</v>
      </c>
      <c r="F3906" s="5">
        <v>269975</v>
      </c>
      <c r="G3906" s="5">
        <v>0</v>
      </c>
      <c r="H3906" s="5">
        <v>1500</v>
      </c>
      <c r="I3906" s="5">
        <v>145850</v>
      </c>
      <c r="J3906" s="263">
        <f t="shared" si="171"/>
        <v>0.54023520696360772</v>
      </c>
      <c r="K3906" s="24">
        <v>2184</v>
      </c>
      <c r="L3906" s="6">
        <v>2208.5</v>
      </c>
      <c r="M3906" s="270">
        <f t="shared" si="167"/>
        <v>24.5</v>
      </c>
      <c r="N3906" s="7"/>
      <c r="O3906" s="277"/>
      <c r="P3906" s="345">
        <v>14500</v>
      </c>
      <c r="Q3906" s="28">
        <f>179.62/1116.2</f>
        <v>0.16092098190288479</v>
      </c>
      <c r="R3906" s="312">
        <f t="shared" si="178"/>
        <v>2333.3542375918296</v>
      </c>
      <c r="S3906" s="313" t="e">
        <f>R3906*#REF!</f>
        <v>#REF!</v>
      </c>
      <c r="T3906" s="313" t="e">
        <f t="shared" si="177"/>
        <v>#REF!</v>
      </c>
      <c r="U3906" s="358">
        <v>0.1</v>
      </c>
      <c r="W3906" s="741">
        <f t="shared" si="175"/>
        <v>2566.6896613510125</v>
      </c>
    </row>
    <row r="3907" spans="1:25" ht="15" customHeight="1">
      <c r="A3907" s="3">
        <v>41355</v>
      </c>
      <c r="B3907" s="4">
        <v>325</v>
      </c>
      <c r="C3907" s="4">
        <v>87650</v>
      </c>
      <c r="D3907" s="5">
        <v>48525</v>
      </c>
      <c r="E3907" s="5">
        <f t="shared" si="165"/>
        <v>131975</v>
      </c>
      <c r="F3907" s="5">
        <v>268475</v>
      </c>
      <c r="G3907" s="5">
        <v>0</v>
      </c>
      <c r="H3907" s="5">
        <v>1500</v>
      </c>
      <c r="I3907" s="5">
        <v>144350</v>
      </c>
      <c r="J3907" s="263">
        <f t="shared" si="171"/>
        <v>0.53766644939007358</v>
      </c>
      <c r="K3907" s="24">
        <v>2163.5</v>
      </c>
      <c r="L3907" s="6">
        <v>2185.5</v>
      </c>
      <c r="M3907" s="270">
        <f t="shared" si="167"/>
        <v>22</v>
      </c>
      <c r="N3907" s="7"/>
      <c r="P3907" s="345">
        <v>14450</v>
      </c>
      <c r="Q3907" s="28">
        <f>179.84/1117.2</f>
        <v>0.16097386322950233</v>
      </c>
      <c r="R3907" s="312">
        <f t="shared" si="178"/>
        <v>2326.0723236663089</v>
      </c>
      <c r="S3907" s="313" t="e">
        <f>R3907*#REF!</f>
        <v>#REF!</v>
      </c>
      <c r="T3907" s="313" t="e">
        <f t="shared" si="177"/>
        <v>#REF!</v>
      </c>
      <c r="U3907" s="358">
        <v>0.1</v>
      </c>
      <c r="W3907" s="741">
        <f t="shared" si="175"/>
        <v>2558.6795560329401</v>
      </c>
    </row>
    <row r="3908" spans="1:25" ht="15" customHeight="1">
      <c r="A3908" s="3">
        <v>41358</v>
      </c>
      <c r="B3908" s="4">
        <v>325</v>
      </c>
      <c r="C3908" s="4">
        <v>86150</v>
      </c>
      <c r="D3908" s="5">
        <v>48525</v>
      </c>
      <c r="E3908" s="5">
        <f t="shared" si="165"/>
        <v>131975</v>
      </c>
      <c r="F3908" s="5">
        <v>266975</v>
      </c>
      <c r="G3908" s="5">
        <v>0</v>
      </c>
      <c r="H3908" s="5">
        <v>1500</v>
      </c>
      <c r="I3908" s="5">
        <v>142850</v>
      </c>
      <c r="J3908" s="263">
        <f t="shared" si="171"/>
        <v>0.53506882666916378</v>
      </c>
      <c r="K3908" s="24">
        <v>2169</v>
      </c>
      <c r="L3908" s="6">
        <v>2191</v>
      </c>
      <c r="M3908" s="270">
        <f t="shared" si="167"/>
        <v>22</v>
      </c>
      <c r="N3908" s="7"/>
      <c r="O3908" s="277"/>
      <c r="P3908" s="345">
        <v>14450</v>
      </c>
      <c r="Q3908" s="28">
        <f>179.13/1112.5</f>
        <v>0.16101573033707864</v>
      </c>
      <c r="R3908" s="312">
        <f t="shared" si="178"/>
        <v>2326.6773033707864</v>
      </c>
      <c r="S3908" s="313" t="e">
        <f>R3908*#REF!</f>
        <v>#REF!</v>
      </c>
      <c r="T3908" s="313" t="e">
        <f t="shared" si="177"/>
        <v>#REF!</v>
      </c>
      <c r="U3908" s="358">
        <v>0.1</v>
      </c>
      <c r="W3908" s="741">
        <f t="shared" si="175"/>
        <v>2559.3450337078652</v>
      </c>
    </row>
    <row r="3909" spans="1:25" ht="15" customHeight="1">
      <c r="A3909" s="3">
        <v>41359</v>
      </c>
      <c r="B3909" s="4">
        <v>325</v>
      </c>
      <c r="C3909" s="4">
        <v>84650</v>
      </c>
      <c r="D3909" s="5">
        <v>48525</v>
      </c>
      <c r="E3909" s="5">
        <f t="shared" si="165"/>
        <v>132475</v>
      </c>
      <c r="F3909" s="5">
        <v>265975</v>
      </c>
      <c r="G3909" s="5">
        <v>500</v>
      </c>
      <c r="H3909" s="5">
        <v>1500</v>
      </c>
      <c r="I3909" s="5">
        <v>141350</v>
      </c>
      <c r="J3909" s="263">
        <f t="shared" si="171"/>
        <v>0.53144092489895667</v>
      </c>
      <c r="K3909" s="24">
        <v>2162.5</v>
      </c>
      <c r="L3909" s="6">
        <v>2184.5</v>
      </c>
      <c r="M3909" s="270">
        <f t="shared" si="167"/>
        <v>22</v>
      </c>
      <c r="N3909" s="7"/>
      <c r="O3909" s="277"/>
      <c r="P3909" s="345">
        <v>14450</v>
      </c>
      <c r="Q3909" s="28">
        <f>178.38/1107.9</f>
        <v>0.16100731112916328</v>
      </c>
      <c r="R3909" s="312">
        <f t="shared" si="178"/>
        <v>2326.5556458164092</v>
      </c>
      <c r="S3909" s="313" t="e">
        <f>R3909*#REF!</f>
        <v>#REF!</v>
      </c>
      <c r="T3909" s="313" t="e">
        <f t="shared" si="177"/>
        <v>#REF!</v>
      </c>
      <c r="U3909" s="358">
        <v>0.1</v>
      </c>
      <c r="W3909" s="741">
        <f t="shared" si="175"/>
        <v>2559.2112103980503</v>
      </c>
    </row>
    <row r="3910" spans="1:25" ht="15" customHeight="1">
      <c r="A3910" s="3">
        <v>41360</v>
      </c>
      <c r="B3910" s="4">
        <v>325</v>
      </c>
      <c r="C3910" s="4">
        <v>83150</v>
      </c>
      <c r="D3910" s="5">
        <v>48525</v>
      </c>
      <c r="E3910" s="5">
        <f t="shared" si="165"/>
        <v>132475</v>
      </c>
      <c r="F3910" s="5">
        <v>264475</v>
      </c>
      <c r="G3910" s="5">
        <v>0</v>
      </c>
      <c r="H3910" s="5">
        <v>1500</v>
      </c>
      <c r="I3910" s="5">
        <v>139850</v>
      </c>
      <c r="J3910" s="263">
        <f t="shared" si="171"/>
        <v>0.52878343888836377</v>
      </c>
      <c r="K3910" s="24">
        <v>2089</v>
      </c>
      <c r="L3910" s="6">
        <v>2110</v>
      </c>
      <c r="M3910" s="270">
        <f t="shared" si="167"/>
        <v>21</v>
      </c>
      <c r="N3910" s="7"/>
      <c r="P3910" s="345">
        <v>14450</v>
      </c>
      <c r="Q3910" s="28">
        <f>178.5/1109.2</f>
        <v>0.16092679408582761</v>
      </c>
      <c r="R3910" s="312">
        <f t="shared" si="178"/>
        <v>2325.392174540209</v>
      </c>
      <c r="S3910" s="313" t="e">
        <f>R3910*#REF!</f>
        <v>#REF!</v>
      </c>
      <c r="T3910" s="313" t="e">
        <f t="shared" si="177"/>
        <v>#REF!</v>
      </c>
      <c r="U3910" s="358">
        <v>0.1</v>
      </c>
      <c r="W3910" s="741">
        <f t="shared" si="175"/>
        <v>2557.9313919942301</v>
      </c>
    </row>
    <row r="3911" spans="1:25" ht="15" customHeight="1">
      <c r="A3911" s="3">
        <v>41361</v>
      </c>
      <c r="B3911" s="4">
        <v>475</v>
      </c>
      <c r="C3911" s="4">
        <v>81650</v>
      </c>
      <c r="D3911" s="5">
        <v>48525</v>
      </c>
      <c r="E3911" s="5">
        <f t="shared" si="165"/>
        <v>132075</v>
      </c>
      <c r="F3911" s="5">
        <v>262725</v>
      </c>
      <c r="G3911" s="5">
        <v>150</v>
      </c>
      <c r="H3911" s="5">
        <v>1900</v>
      </c>
      <c r="I3911" s="5">
        <v>137950</v>
      </c>
      <c r="J3911" s="263">
        <f t="shared" si="171"/>
        <v>0.52507374631268433</v>
      </c>
      <c r="K3911" s="24">
        <v>2094</v>
      </c>
      <c r="L3911" s="6">
        <v>2115</v>
      </c>
      <c r="M3911" s="270">
        <f t="shared" si="167"/>
        <v>21</v>
      </c>
      <c r="N3911" s="7"/>
      <c r="O3911" s="277"/>
      <c r="P3911" s="345">
        <v>14350</v>
      </c>
      <c r="Q3911" s="28">
        <f>178.95/1112.1</f>
        <v>0.16091178850822768</v>
      </c>
      <c r="R3911" s="312">
        <f t="shared" si="178"/>
        <v>2309.0841650930674</v>
      </c>
      <c r="S3911" s="313" t="e">
        <f>R3911*#REF!</f>
        <v>#REF!</v>
      </c>
      <c r="T3911" s="313" t="e">
        <f t="shared" si="177"/>
        <v>#REF!</v>
      </c>
      <c r="U3911" s="358">
        <v>0.1</v>
      </c>
      <c r="W3911" s="741">
        <f t="shared" si="175"/>
        <v>2539.9925816023742</v>
      </c>
    </row>
    <row r="3912" spans="1:25" ht="15" customHeight="1">
      <c r="A3912" s="3">
        <v>41362</v>
      </c>
      <c r="G3912" s="26" t="s">
        <v>73</v>
      </c>
      <c r="H3912" s="26"/>
      <c r="I3912" s="26"/>
      <c r="J3912" s="26"/>
      <c r="M3912" s="270"/>
      <c r="N3912" s="420">
        <f>AVERAGE(K3892:K3911)</f>
        <v>2183.4749999999999</v>
      </c>
      <c r="O3912" s="290">
        <f>AVERAGE(K3848:K3911)</f>
        <v>2301.2822580645161</v>
      </c>
      <c r="P3912" s="345">
        <v>14350</v>
      </c>
      <c r="Q3912" s="28">
        <f>178.95/1112.1</f>
        <v>0.16091178850822768</v>
      </c>
      <c r="R3912" s="312">
        <f t="shared" si="178"/>
        <v>2309.0841650930674</v>
      </c>
      <c r="S3912" s="313" t="e">
        <f>R3912*#REF!</f>
        <v>#REF!</v>
      </c>
      <c r="T3912" s="313" t="e">
        <f t="shared" si="177"/>
        <v>#REF!</v>
      </c>
      <c r="U3912" s="358">
        <v>0.1</v>
      </c>
      <c r="W3912" s="741">
        <f>(P3912*Q3912)*(1+U3912)</f>
        <v>2539.9925816023742</v>
      </c>
    </row>
    <row r="3913" spans="1:25" ht="15" customHeight="1" thickBot="1">
      <c r="A3913" s="392"/>
      <c r="B3913" s="995" t="s">
        <v>102</v>
      </c>
      <c r="C3913" s="995"/>
      <c r="D3913" s="995"/>
      <c r="E3913" s="995"/>
      <c r="F3913" s="392"/>
      <c r="G3913" s="332">
        <f>SUM(G3892:G3912)</f>
        <v>4675</v>
      </c>
      <c r="H3913" s="332">
        <f>SUM(H3892:H3912)</f>
        <v>29200</v>
      </c>
      <c r="I3913" s="332"/>
      <c r="J3913" s="333"/>
      <c r="K3913" s="334"/>
      <c r="L3913" s="335"/>
      <c r="M3913" s="336"/>
      <c r="N3913" s="337"/>
      <c r="O3913" s="353"/>
      <c r="P3913" s="351"/>
      <c r="Q3913" s="299"/>
      <c r="R3913" s="453"/>
      <c r="S3913" s="454"/>
      <c r="T3913" s="454"/>
      <c r="U3913" s="302"/>
      <c r="V3913" s="298">
        <f>AVERAGE(P3892:P3912)</f>
        <v>14528.571428571429</v>
      </c>
      <c r="W3913" s="745"/>
      <c r="Y3913" s="408"/>
    </row>
    <row r="3914" spans="1:25" ht="15" customHeight="1">
      <c r="A3914" s="3">
        <v>41365</v>
      </c>
      <c r="G3914" s="386" t="s">
        <v>73</v>
      </c>
      <c r="H3914" s="386"/>
      <c r="I3914" s="386"/>
      <c r="J3914" s="386"/>
      <c r="M3914" s="270"/>
      <c r="N3914" s="7"/>
      <c r="O3914" s="280"/>
      <c r="P3914" s="345">
        <v>14250</v>
      </c>
      <c r="Q3914" s="28">
        <f>179.12/1112.5</f>
        <v>0.16100674157303371</v>
      </c>
      <c r="R3914" s="312">
        <f>P3914*Q3914</f>
        <v>2294.3460674157304</v>
      </c>
      <c r="S3914" s="313" t="e">
        <f>R3914*#REF!</f>
        <v>#REF!</v>
      </c>
      <c r="T3914" s="313" t="e">
        <f>(R3914+S3914)*U3914</f>
        <v>#REF!</v>
      </c>
      <c r="U3914" s="358">
        <v>0.1</v>
      </c>
      <c r="W3914" s="741">
        <f>(P3914*Q3914)*(1+U3914)</f>
        <v>2523.7806741573036</v>
      </c>
    </row>
    <row r="3915" spans="1:25" ht="15" customHeight="1">
      <c r="A3915" s="3">
        <v>41366</v>
      </c>
      <c r="B3915" s="4">
        <v>475</v>
      </c>
      <c r="C3915" s="4">
        <v>79750</v>
      </c>
      <c r="D3915" s="5">
        <v>48525</v>
      </c>
      <c r="E3915" s="5">
        <f t="shared" ref="E3915:E3939" si="179">F3915-(B3915+C3915+D3915)</f>
        <v>133275</v>
      </c>
      <c r="F3915" s="5">
        <v>262025</v>
      </c>
      <c r="G3915" s="5">
        <v>0</v>
      </c>
      <c r="H3915" s="5">
        <v>700</v>
      </c>
      <c r="I3915" s="5">
        <v>137400</v>
      </c>
      <c r="J3915" s="263">
        <f t="shared" ref="J3915:J3939" si="180">I3915/F3915</f>
        <v>0.52437744490029581</v>
      </c>
      <c r="K3915" s="24">
        <v>2078</v>
      </c>
      <c r="L3915" s="6">
        <v>2099</v>
      </c>
      <c r="M3915" s="270">
        <f t="shared" ref="M3915:M3980" si="181">L3915-K3915</f>
        <v>21</v>
      </c>
      <c r="N3915" s="7"/>
      <c r="O3915" s="280"/>
      <c r="P3915" s="345">
        <v>14300</v>
      </c>
      <c r="Q3915" s="28">
        <f>179.52/1112.8</f>
        <v>0.16132278936017255</v>
      </c>
      <c r="R3915" s="312">
        <f>P3915*Q3915</f>
        <v>2306.9158878504677</v>
      </c>
      <c r="S3915" s="313" t="e">
        <f>R3915*#REF!</f>
        <v>#REF!</v>
      </c>
      <c r="T3915" s="313" t="e">
        <f>(R3915+S3915)*U3915</f>
        <v>#REF!</v>
      </c>
      <c r="U3915" s="358">
        <v>0.1</v>
      </c>
      <c r="W3915" s="741">
        <f>(P3915*Q3915)*(1+U3915)</f>
        <v>2537.6074766355146</v>
      </c>
    </row>
    <row r="3916" spans="1:25" ht="15" customHeight="1">
      <c r="A3916" s="3">
        <v>41367</v>
      </c>
      <c r="B3916" s="4">
        <v>475</v>
      </c>
      <c r="C3916" s="4">
        <v>79050</v>
      </c>
      <c r="D3916" s="5">
        <v>48000</v>
      </c>
      <c r="E3916" s="5">
        <f t="shared" si="179"/>
        <v>133900</v>
      </c>
      <c r="F3916" s="5">
        <v>261425</v>
      </c>
      <c r="G3916" s="5">
        <v>0</v>
      </c>
      <c r="H3916" s="5">
        <v>600</v>
      </c>
      <c r="I3916" s="5">
        <v>136800</v>
      </c>
      <c r="J3916" s="263">
        <f t="shared" si="180"/>
        <v>0.52328583723821365</v>
      </c>
      <c r="K3916" s="24">
        <v>2039.5</v>
      </c>
      <c r="L3916" s="6">
        <v>2064.5</v>
      </c>
      <c r="M3916" s="270">
        <f t="shared" si="181"/>
        <v>25</v>
      </c>
      <c r="N3916" s="7"/>
      <c r="O3916" s="280"/>
      <c r="P3916" s="345">
        <v>14300</v>
      </c>
      <c r="Q3916" s="28">
        <f>179.52/1112.8</f>
        <v>0.16132278936017255</v>
      </c>
      <c r="R3916" s="312">
        <f>P3916*Q3916</f>
        <v>2306.9158878504677</v>
      </c>
      <c r="S3916" s="313" t="e">
        <f>R3916*#REF!</f>
        <v>#REF!</v>
      </c>
      <c r="T3916" s="313" t="e">
        <f>(R3916+S3916)*U3916</f>
        <v>#REF!</v>
      </c>
      <c r="U3916" s="358">
        <v>0.1</v>
      </c>
      <c r="W3916" s="741">
        <f>(P3916*Q3916)*(1+U3916)</f>
        <v>2537.6074766355146</v>
      </c>
    </row>
    <row r="3917" spans="1:25" ht="15" customHeight="1">
      <c r="A3917" s="3">
        <v>41368</v>
      </c>
      <c r="B3917" s="4">
        <v>475</v>
      </c>
      <c r="C3917" s="4">
        <v>78975</v>
      </c>
      <c r="D3917" s="5">
        <v>47475</v>
      </c>
      <c r="E3917" s="5">
        <f t="shared" si="179"/>
        <v>133975</v>
      </c>
      <c r="F3917" s="5">
        <v>260900</v>
      </c>
      <c r="G3917" s="5">
        <v>0</v>
      </c>
      <c r="H3917" s="5">
        <v>525</v>
      </c>
      <c r="I3917" s="5">
        <v>136425</v>
      </c>
      <c r="J3917" s="263">
        <f t="shared" si="180"/>
        <v>0.52290149482560366</v>
      </c>
      <c r="K3917" s="24">
        <v>2037.5</v>
      </c>
      <c r="L3917" s="6">
        <v>2062</v>
      </c>
      <c r="M3917" s="270">
        <f t="shared" si="181"/>
        <v>24.5</v>
      </c>
      <c r="N3917" s="7"/>
      <c r="O3917" s="280"/>
      <c r="P3917" s="345"/>
      <c r="Q3917" s="1004" t="s">
        <v>114</v>
      </c>
      <c r="R3917" s="1004"/>
      <c r="S3917" s="1004"/>
      <c r="T3917" s="1004"/>
      <c r="U3917" s="1004"/>
    </row>
    <row r="3918" spans="1:25" ht="15" customHeight="1">
      <c r="A3918" s="3">
        <v>41369</v>
      </c>
      <c r="B3918" s="4">
        <v>450</v>
      </c>
      <c r="C3918" s="4">
        <v>78975</v>
      </c>
      <c r="D3918" s="5">
        <v>47000</v>
      </c>
      <c r="E3918" s="5">
        <f t="shared" si="179"/>
        <v>133975</v>
      </c>
      <c r="F3918" s="5">
        <v>260400</v>
      </c>
      <c r="G3918" s="5">
        <v>125</v>
      </c>
      <c r="H3918" s="5">
        <v>625</v>
      </c>
      <c r="I3918" s="5">
        <v>136000</v>
      </c>
      <c r="J3918" s="263">
        <f t="shared" si="180"/>
        <v>0.52227342549923195</v>
      </c>
      <c r="K3918" s="24">
        <v>2042.5</v>
      </c>
      <c r="L3918" s="6">
        <v>2068.5</v>
      </c>
      <c r="M3918" s="270">
        <f t="shared" si="181"/>
        <v>26</v>
      </c>
      <c r="N3918" s="7"/>
      <c r="O3918" s="280"/>
      <c r="P3918" s="345"/>
      <c r="Q3918" s="1004"/>
      <c r="R3918" s="1004"/>
      <c r="S3918" s="1004"/>
      <c r="T3918" s="1004"/>
      <c r="U3918" s="1004"/>
    </row>
    <row r="3919" spans="1:25" ht="15" customHeight="1">
      <c r="A3919" s="3">
        <v>41372</v>
      </c>
      <c r="B3919" s="4">
        <v>450</v>
      </c>
      <c r="C3919" s="4">
        <v>46525</v>
      </c>
      <c r="D3919" s="5">
        <v>78975</v>
      </c>
      <c r="E3919" s="5">
        <f t="shared" si="179"/>
        <v>134600</v>
      </c>
      <c r="F3919" s="5">
        <v>260550</v>
      </c>
      <c r="G3919" s="5">
        <v>625</v>
      </c>
      <c r="H3919" s="5">
        <v>475</v>
      </c>
      <c r="I3919" s="5">
        <v>135750</v>
      </c>
      <c r="J3919" s="263">
        <f t="shared" si="180"/>
        <v>0.52101324122049508</v>
      </c>
      <c r="K3919" s="24">
        <v>2038</v>
      </c>
      <c r="L3919" s="6">
        <v>2066</v>
      </c>
      <c r="M3919" s="270">
        <f t="shared" si="181"/>
        <v>28</v>
      </c>
      <c r="N3919" s="7"/>
      <c r="O3919" s="277"/>
      <c r="P3919" s="345">
        <v>14300</v>
      </c>
      <c r="Q3919" s="28">
        <f>183.5/1138.3</f>
        <v>0.16120530615830625</v>
      </c>
      <c r="R3919" s="312">
        <f t="shared" ref="R3919:R3933" si="182">P3919*Q3919</f>
        <v>2305.2358780637792</v>
      </c>
      <c r="S3919" s="313" t="e">
        <f>R3919*#REF!</f>
        <v>#REF!</v>
      </c>
      <c r="T3919" s="313" t="e">
        <f t="shared" ref="T3919:T3933" si="183">(R3919+S3919)*U3919</f>
        <v>#REF!</v>
      </c>
      <c r="U3919" s="358">
        <v>0.1</v>
      </c>
      <c r="W3919" s="741">
        <f t="shared" ref="W3919:W3932" si="184">(P3919*Q3919)*(1+U3919)</f>
        <v>2535.7594658701573</v>
      </c>
    </row>
    <row r="3920" spans="1:25" ht="15" customHeight="1">
      <c r="A3920" s="3">
        <v>41373</v>
      </c>
      <c r="B3920" s="4">
        <v>450</v>
      </c>
      <c r="C3920" s="4">
        <v>46525</v>
      </c>
      <c r="D3920" s="5">
        <v>78975</v>
      </c>
      <c r="E3920" s="5">
        <f t="shared" si="179"/>
        <v>134450</v>
      </c>
      <c r="F3920" s="5">
        <v>260400</v>
      </c>
      <c r="G3920" s="5">
        <v>0</v>
      </c>
      <c r="H3920" s="5">
        <v>150</v>
      </c>
      <c r="I3920" s="5">
        <v>135725</v>
      </c>
      <c r="J3920" s="263">
        <f t="shared" si="180"/>
        <v>0.52121735791090629</v>
      </c>
      <c r="K3920" s="24">
        <v>2049</v>
      </c>
      <c r="L3920" s="6">
        <v>2075.5</v>
      </c>
      <c r="M3920" s="270">
        <f t="shared" si="181"/>
        <v>26.5</v>
      </c>
      <c r="N3920" s="7"/>
      <c r="O3920" s="277"/>
      <c r="P3920" s="345">
        <v>14300</v>
      </c>
      <c r="Q3920" s="28">
        <f>183.62/1138.9</f>
        <v>0.16122574413908156</v>
      </c>
      <c r="R3920" s="312">
        <f t="shared" si="182"/>
        <v>2305.5281411888664</v>
      </c>
      <c r="S3920" s="313" t="e">
        <f>R3920*#REF!</f>
        <v>#REF!</v>
      </c>
      <c r="T3920" s="313" t="e">
        <f t="shared" si="183"/>
        <v>#REF!</v>
      </c>
      <c r="U3920" s="358">
        <v>0.1</v>
      </c>
      <c r="W3920" s="741">
        <f t="shared" si="184"/>
        <v>2536.0809553077534</v>
      </c>
    </row>
    <row r="3921" spans="1:25" ht="15" customHeight="1">
      <c r="A3921" s="3">
        <v>41374</v>
      </c>
      <c r="B3921" s="4">
        <v>450</v>
      </c>
      <c r="C3921" s="4">
        <v>46525</v>
      </c>
      <c r="D3921" s="5">
        <v>78825</v>
      </c>
      <c r="E3921" s="5">
        <f t="shared" si="179"/>
        <v>134450</v>
      </c>
      <c r="F3921" s="5">
        <v>260250</v>
      </c>
      <c r="G3921" s="5">
        <v>0</v>
      </c>
      <c r="H3921" s="5">
        <v>150</v>
      </c>
      <c r="I3921" s="5">
        <v>143475</v>
      </c>
      <c r="J3921" s="263">
        <f t="shared" si="180"/>
        <v>0.55129682997118157</v>
      </c>
      <c r="K3921" s="24">
        <v>2088</v>
      </c>
      <c r="L3921" s="6">
        <v>2113.5</v>
      </c>
      <c r="M3921" s="270">
        <f t="shared" si="181"/>
        <v>25.5</v>
      </c>
      <c r="N3921" s="7"/>
      <c r="P3921" s="345">
        <v>14300</v>
      </c>
      <c r="Q3921" s="28">
        <f>183.77/1138.3</f>
        <v>0.16144250197663185</v>
      </c>
      <c r="R3921" s="312">
        <f t="shared" si="182"/>
        <v>2308.6277782658353</v>
      </c>
      <c r="S3921" s="313" t="e">
        <f>R3921*#REF!</f>
        <v>#REF!</v>
      </c>
      <c r="T3921" s="313" t="e">
        <f t="shared" si="183"/>
        <v>#REF!</v>
      </c>
      <c r="U3921" s="358">
        <v>0.1</v>
      </c>
      <c r="W3921" s="741">
        <f t="shared" si="184"/>
        <v>2539.490556092419</v>
      </c>
    </row>
    <row r="3922" spans="1:25" ht="15" customHeight="1">
      <c r="A3922" s="3">
        <v>41375</v>
      </c>
      <c r="B3922" s="4">
        <v>450</v>
      </c>
      <c r="C3922" s="4">
        <v>46525</v>
      </c>
      <c r="D3922" s="5">
        <v>78675</v>
      </c>
      <c r="E3922" s="5">
        <f t="shared" si="179"/>
        <v>134525</v>
      </c>
      <c r="F3922" s="5">
        <v>260175</v>
      </c>
      <c r="G3922" s="5">
        <v>0</v>
      </c>
      <c r="H3922" s="5">
        <v>75</v>
      </c>
      <c r="I3922" s="5">
        <v>143500</v>
      </c>
      <c r="J3922" s="263">
        <f t="shared" si="180"/>
        <v>0.55155184010761982</v>
      </c>
      <c r="K3922" s="24">
        <v>2061.5</v>
      </c>
      <c r="L3922" s="6">
        <v>2085</v>
      </c>
      <c r="M3922" s="270">
        <f t="shared" si="181"/>
        <v>23.5</v>
      </c>
      <c r="N3922" s="7"/>
      <c r="O3922" s="277"/>
      <c r="P3922" s="345">
        <v>14300</v>
      </c>
      <c r="Q3922" s="28">
        <f>182.2/1129</f>
        <v>0.16138175376439326</v>
      </c>
      <c r="R3922" s="312">
        <f t="shared" si="182"/>
        <v>2307.7590788308235</v>
      </c>
      <c r="S3922" s="313" t="e">
        <f>R3922*#REF!</f>
        <v>#REF!</v>
      </c>
      <c r="T3922" s="313" t="e">
        <f t="shared" si="183"/>
        <v>#REF!</v>
      </c>
      <c r="U3922" s="358">
        <v>0.1</v>
      </c>
      <c r="W3922" s="741">
        <f t="shared" si="184"/>
        <v>2538.5349867139062</v>
      </c>
    </row>
    <row r="3923" spans="1:25" ht="15" customHeight="1">
      <c r="A3923" s="3">
        <v>41376</v>
      </c>
      <c r="B3923" s="4">
        <v>325</v>
      </c>
      <c r="C3923" s="4">
        <v>46525</v>
      </c>
      <c r="D3923" s="5">
        <v>78675</v>
      </c>
      <c r="E3923" s="5">
        <f t="shared" si="179"/>
        <v>133850</v>
      </c>
      <c r="F3923" s="5">
        <v>259375</v>
      </c>
      <c r="G3923" s="5">
        <v>0</v>
      </c>
      <c r="H3923" s="5">
        <v>800</v>
      </c>
      <c r="I3923" s="5">
        <v>142800</v>
      </c>
      <c r="J3923" s="263">
        <f t="shared" si="180"/>
        <v>0.55055421686746986</v>
      </c>
      <c r="K3923" s="24">
        <v>2047</v>
      </c>
      <c r="L3923" s="6">
        <v>2070</v>
      </c>
      <c r="M3923" s="270">
        <f t="shared" si="181"/>
        <v>23</v>
      </c>
      <c r="N3923" s="7"/>
      <c r="O3923" s="277"/>
      <c r="P3923" s="345">
        <v>14300</v>
      </c>
      <c r="Q3923" s="28">
        <f>182.67/1131.1</f>
        <v>0.16149765714790912</v>
      </c>
      <c r="R3923" s="312">
        <f t="shared" si="182"/>
        <v>2309.4164972151002</v>
      </c>
      <c r="S3923" s="313" t="e">
        <f>R3923*#REF!</f>
        <v>#REF!</v>
      </c>
      <c r="T3923" s="313" t="e">
        <f t="shared" si="183"/>
        <v>#REF!</v>
      </c>
      <c r="U3923" s="358">
        <v>0.1</v>
      </c>
      <c r="W3923" s="741">
        <f t="shared" si="184"/>
        <v>2540.3581469366104</v>
      </c>
      <c r="Y3923" s="19">
        <f>W3923*0.73</f>
        <v>1854.4614472637256</v>
      </c>
    </row>
    <row r="3924" spans="1:25" ht="15" customHeight="1">
      <c r="A3924" s="3">
        <v>41379</v>
      </c>
      <c r="B3924" s="4">
        <v>325</v>
      </c>
      <c r="C3924" s="4">
        <v>46525</v>
      </c>
      <c r="D3924" s="5">
        <v>78000</v>
      </c>
      <c r="E3924" s="5">
        <f t="shared" si="179"/>
        <v>134175</v>
      </c>
      <c r="F3924" s="5">
        <v>259025</v>
      </c>
      <c r="G3924" s="5">
        <v>0</v>
      </c>
      <c r="H3924" s="5">
        <v>350</v>
      </c>
      <c r="I3924" s="5">
        <v>145150</v>
      </c>
      <c r="J3924" s="263">
        <f t="shared" si="180"/>
        <v>0.56037062059646747</v>
      </c>
      <c r="K3924" s="24">
        <v>1982.5</v>
      </c>
      <c r="L3924" s="6">
        <v>2008</v>
      </c>
      <c r="M3924" s="270">
        <f t="shared" si="181"/>
        <v>25.5</v>
      </c>
      <c r="N3924" s="7"/>
      <c r="O3924" s="277"/>
      <c r="P3924" s="345">
        <v>14075</v>
      </c>
      <c r="Q3924" s="28">
        <f>181.79/1124.7</f>
        <v>0.16163421356806257</v>
      </c>
      <c r="R3924" s="312">
        <f t="shared" si="182"/>
        <v>2275.0015559704807</v>
      </c>
      <c r="S3924" s="313" t="e">
        <f>R3924*#REF!</f>
        <v>#REF!</v>
      </c>
      <c r="T3924" s="313" t="e">
        <f t="shared" si="183"/>
        <v>#REF!</v>
      </c>
      <c r="U3924" s="358">
        <v>0.1</v>
      </c>
      <c r="W3924" s="741">
        <f t="shared" si="184"/>
        <v>2502.5017115675291</v>
      </c>
      <c r="Y3924" s="19">
        <f>W3924*0.73</f>
        <v>1826.8262494442963</v>
      </c>
    </row>
    <row r="3925" spans="1:25" ht="15" customHeight="1">
      <c r="A3925" s="3">
        <v>41380</v>
      </c>
      <c r="B3925" s="4">
        <v>325</v>
      </c>
      <c r="C3925" s="4">
        <v>46525</v>
      </c>
      <c r="D3925" s="5">
        <v>77700</v>
      </c>
      <c r="E3925" s="5">
        <f t="shared" si="179"/>
        <v>135125</v>
      </c>
      <c r="F3925" s="5">
        <v>259675</v>
      </c>
      <c r="G3925" s="5">
        <v>850</v>
      </c>
      <c r="H3925" s="5">
        <v>200</v>
      </c>
      <c r="I3925" s="5">
        <v>145250</v>
      </c>
      <c r="J3925" s="263">
        <f t="shared" si="180"/>
        <v>0.55935303745065945</v>
      </c>
      <c r="K3925" s="24">
        <v>2038</v>
      </c>
      <c r="L3925" s="6">
        <v>2060</v>
      </c>
      <c r="M3925" s="270">
        <f t="shared" si="181"/>
        <v>22</v>
      </c>
      <c r="N3925" s="7"/>
      <c r="O3925" s="277"/>
      <c r="P3925" s="345">
        <v>14075</v>
      </c>
      <c r="Q3925" s="28">
        <f>181.08/1119.6</f>
        <v>0.16173633440514473</v>
      </c>
      <c r="R3925" s="312">
        <f t="shared" si="182"/>
        <v>2276.4389067524121</v>
      </c>
      <c r="S3925" s="313" t="e">
        <f>R3925*#REF!</f>
        <v>#REF!</v>
      </c>
      <c r="T3925" s="313" t="e">
        <f t="shared" si="183"/>
        <v>#REF!</v>
      </c>
      <c r="U3925" s="358">
        <v>0.1</v>
      </c>
      <c r="W3925" s="741">
        <f t="shared" si="184"/>
        <v>2504.0827974276535</v>
      </c>
      <c r="Y3925" s="19">
        <f>W3925*0.73</f>
        <v>1827.980442122187</v>
      </c>
    </row>
    <row r="3926" spans="1:25" ht="15" customHeight="1">
      <c r="A3926" s="3">
        <v>41381</v>
      </c>
      <c r="B3926" s="4">
        <v>325</v>
      </c>
      <c r="C3926" s="4">
        <v>46525</v>
      </c>
      <c r="D3926" s="5">
        <v>77500</v>
      </c>
      <c r="E3926" s="5">
        <f t="shared" si="179"/>
        <v>135125</v>
      </c>
      <c r="F3926" s="5">
        <v>259475</v>
      </c>
      <c r="G3926" s="5">
        <v>0</v>
      </c>
      <c r="H3926" s="5">
        <v>200</v>
      </c>
      <c r="I3926" s="5">
        <v>145050</v>
      </c>
      <c r="J3926" s="263">
        <f t="shared" si="180"/>
        <v>0.55901339242701609</v>
      </c>
      <c r="K3926" s="24">
        <v>2013</v>
      </c>
      <c r="L3926" s="6">
        <v>2039</v>
      </c>
      <c r="M3926" s="270">
        <f t="shared" si="181"/>
        <v>26</v>
      </c>
      <c r="N3926" s="7"/>
      <c r="O3926" s="277"/>
      <c r="P3926" s="345">
        <v>13985</v>
      </c>
      <c r="Q3926" s="28">
        <f>180.69/1115.3</f>
        <v>0.16201022146507665</v>
      </c>
      <c r="R3926" s="312">
        <f t="shared" si="182"/>
        <v>2265.7129471890971</v>
      </c>
      <c r="S3926" s="313" t="e">
        <f>R3926*#REF!</f>
        <v>#REF!</v>
      </c>
      <c r="T3926" s="313" t="e">
        <f t="shared" si="183"/>
        <v>#REF!</v>
      </c>
      <c r="U3926" s="358">
        <v>0.1</v>
      </c>
      <c r="W3926" s="741">
        <f t="shared" si="184"/>
        <v>2492.2842419080071</v>
      </c>
    </row>
    <row r="3927" spans="1:25" ht="15" customHeight="1">
      <c r="A3927" s="3">
        <v>41382</v>
      </c>
      <c r="B3927" s="4">
        <v>325</v>
      </c>
      <c r="C3927" s="4">
        <v>46525</v>
      </c>
      <c r="D3927" s="5">
        <v>77300</v>
      </c>
      <c r="E3927" s="5">
        <f t="shared" si="179"/>
        <v>135625</v>
      </c>
      <c r="F3927" s="5">
        <v>259775</v>
      </c>
      <c r="G3927" s="5">
        <v>300</v>
      </c>
      <c r="H3927" s="5">
        <v>0</v>
      </c>
      <c r="I3927" s="5">
        <v>145050</v>
      </c>
      <c r="J3927" s="263">
        <f t="shared" si="180"/>
        <v>0.55836781830430182</v>
      </c>
      <c r="K3927" s="24">
        <v>1997.5</v>
      </c>
      <c r="L3927" s="6">
        <v>2014</v>
      </c>
      <c r="M3927" s="270">
        <f t="shared" si="181"/>
        <v>16.5</v>
      </c>
      <c r="N3927" s="7"/>
      <c r="O3927" s="277"/>
      <c r="P3927" s="357">
        <v>13665</v>
      </c>
      <c r="Q3927" s="28">
        <f>181.52/1122</f>
        <v>0.16178253119429592</v>
      </c>
      <c r="R3927" s="312">
        <f t="shared" si="182"/>
        <v>2210.7582887700537</v>
      </c>
      <c r="S3927" s="313" t="e">
        <f>R3927*#REF!</f>
        <v>#REF!</v>
      </c>
      <c r="T3927" s="313" t="e">
        <f t="shared" si="183"/>
        <v>#REF!</v>
      </c>
      <c r="U3927" s="358">
        <v>0.1</v>
      </c>
      <c r="W3927" s="741">
        <f t="shared" si="184"/>
        <v>2431.8341176470594</v>
      </c>
    </row>
    <row r="3928" spans="1:25" ht="15" customHeight="1">
      <c r="A3928" s="3">
        <v>41383</v>
      </c>
      <c r="B3928" s="4">
        <v>325</v>
      </c>
      <c r="C3928" s="4">
        <v>46600</v>
      </c>
      <c r="D3928" s="5">
        <v>77300</v>
      </c>
      <c r="E3928" s="5">
        <f t="shared" si="179"/>
        <v>135625</v>
      </c>
      <c r="F3928" s="5">
        <v>259850</v>
      </c>
      <c r="G3928" s="5">
        <v>75</v>
      </c>
      <c r="H3928" s="5">
        <v>0</v>
      </c>
      <c r="I3928" s="5">
        <v>151925</v>
      </c>
      <c r="J3928" s="263">
        <f t="shared" si="180"/>
        <v>0.58466422936309415</v>
      </c>
      <c r="K3928" s="24">
        <v>2008.5</v>
      </c>
      <c r="L3928" s="6">
        <v>2023</v>
      </c>
      <c r="M3928" s="270">
        <f t="shared" si="181"/>
        <v>14.5</v>
      </c>
      <c r="O3928" s="422"/>
      <c r="P3928" s="357">
        <v>13730</v>
      </c>
      <c r="Q3928" s="28">
        <f>181.06/1118.5</f>
        <v>0.16187751452838622</v>
      </c>
      <c r="R3928" s="312">
        <f t="shared" si="182"/>
        <v>2222.578274474743</v>
      </c>
      <c r="S3928" s="313" t="e">
        <f>R3928*#REF!</f>
        <v>#REF!</v>
      </c>
      <c r="T3928" s="313" t="e">
        <f t="shared" si="183"/>
        <v>#REF!</v>
      </c>
      <c r="U3928" s="358">
        <v>0.1</v>
      </c>
      <c r="W3928" s="741">
        <f t="shared" si="184"/>
        <v>2444.8361019222175</v>
      </c>
    </row>
    <row r="3929" spans="1:25" ht="15" customHeight="1">
      <c r="A3929" s="3">
        <v>41386</v>
      </c>
      <c r="B3929" s="4">
        <v>325</v>
      </c>
      <c r="C3929" s="4">
        <v>46600</v>
      </c>
      <c r="D3929" s="5">
        <v>77300</v>
      </c>
      <c r="E3929" s="5">
        <f t="shared" si="179"/>
        <v>135625</v>
      </c>
      <c r="F3929" s="5">
        <v>259850</v>
      </c>
      <c r="G3929" s="5">
        <v>0</v>
      </c>
      <c r="H3929" s="5">
        <v>0</v>
      </c>
      <c r="I3929" s="5">
        <v>152275</v>
      </c>
      <c r="J3929" s="263">
        <f t="shared" si="180"/>
        <v>0.58601116028477973</v>
      </c>
      <c r="K3929" s="24">
        <v>1997.5</v>
      </c>
      <c r="L3929" s="6">
        <v>2016</v>
      </c>
      <c r="M3929" s="270">
        <f t="shared" si="181"/>
        <v>18.5</v>
      </c>
      <c r="P3929" s="357">
        <v>13730</v>
      </c>
      <c r="Q3929" s="28">
        <f>181.43/1121.7</f>
        <v>0.16174556476776322</v>
      </c>
      <c r="R3929" s="312">
        <f t="shared" si="182"/>
        <v>2220.7666042613891</v>
      </c>
      <c r="S3929" s="313" t="e">
        <f>R3929*#REF!</f>
        <v>#REF!</v>
      </c>
      <c r="T3929" s="313" t="e">
        <f t="shared" si="183"/>
        <v>#REF!</v>
      </c>
      <c r="U3929" s="358">
        <v>0.1</v>
      </c>
      <c r="W3929" s="741">
        <f t="shared" si="184"/>
        <v>2442.8432646875281</v>
      </c>
    </row>
    <row r="3930" spans="1:25" ht="15" customHeight="1">
      <c r="A3930" s="3">
        <v>41387</v>
      </c>
      <c r="B3930" s="4">
        <v>325</v>
      </c>
      <c r="C3930" s="4">
        <v>46500</v>
      </c>
      <c r="D3930" s="5">
        <v>77300</v>
      </c>
      <c r="E3930" s="5">
        <f t="shared" si="179"/>
        <v>134700</v>
      </c>
      <c r="F3930" s="5">
        <v>258825</v>
      </c>
      <c r="G3930" s="5">
        <v>250</v>
      </c>
      <c r="H3930" s="5">
        <v>1275</v>
      </c>
      <c r="I3930" s="5">
        <v>151275</v>
      </c>
      <c r="J3930" s="263">
        <f t="shared" si="180"/>
        <v>0.58446827006664737</v>
      </c>
      <c r="K3930" s="24">
        <v>1990</v>
      </c>
      <c r="L3930" s="6">
        <v>2002</v>
      </c>
      <c r="M3930" s="270">
        <f t="shared" si="181"/>
        <v>12</v>
      </c>
      <c r="N3930" s="7"/>
      <c r="O3930" s="280"/>
      <c r="P3930" s="345">
        <v>13680</v>
      </c>
      <c r="Q3930" s="28">
        <f>181.28/1120.2</f>
        <v>0.16182824495625781</v>
      </c>
      <c r="R3930" s="312">
        <f t="shared" si="182"/>
        <v>2213.8103910016066</v>
      </c>
      <c r="S3930" s="313" t="e">
        <f>R3930*#REF!</f>
        <v>#REF!</v>
      </c>
      <c r="T3930" s="313" t="e">
        <f t="shared" si="183"/>
        <v>#REF!</v>
      </c>
      <c r="U3930" s="358">
        <v>0.1</v>
      </c>
      <c r="W3930" s="741">
        <f t="shared" si="184"/>
        <v>2435.1914301017673</v>
      </c>
    </row>
    <row r="3931" spans="1:25" ht="15" customHeight="1">
      <c r="A3931" s="3">
        <v>41388</v>
      </c>
      <c r="B3931" s="4">
        <v>325</v>
      </c>
      <c r="C3931" s="4">
        <v>45975</v>
      </c>
      <c r="D3931" s="5">
        <v>76125</v>
      </c>
      <c r="E3931" s="5">
        <f t="shared" si="179"/>
        <v>136375</v>
      </c>
      <c r="F3931" s="5">
        <v>258800</v>
      </c>
      <c r="G3931" s="5">
        <v>500</v>
      </c>
      <c r="H3931" s="5">
        <v>525</v>
      </c>
      <c r="I3931" s="5">
        <v>150950</v>
      </c>
      <c r="J3931" s="263">
        <f t="shared" si="180"/>
        <v>0.58326893353941267</v>
      </c>
      <c r="K3931" s="24">
        <v>2009.5</v>
      </c>
      <c r="L3931" s="6">
        <v>2032</v>
      </c>
      <c r="M3931" s="270">
        <f t="shared" si="181"/>
        <v>22.5</v>
      </c>
      <c r="P3931" s="345">
        <v>13730</v>
      </c>
      <c r="Q3931" s="28">
        <f>181.14/1119.2</f>
        <v>0.16184774839170835</v>
      </c>
      <c r="R3931" s="312">
        <f t="shared" si="182"/>
        <v>2222.1695854181557</v>
      </c>
      <c r="S3931" s="313" t="e">
        <f>R3931*#REF!</f>
        <v>#REF!</v>
      </c>
      <c r="T3931" s="313" t="e">
        <f t="shared" si="183"/>
        <v>#REF!</v>
      </c>
      <c r="U3931" s="358">
        <v>0.1</v>
      </c>
      <c r="W3931" s="741">
        <f t="shared" si="184"/>
        <v>2444.3865439599717</v>
      </c>
    </row>
    <row r="3932" spans="1:25" ht="15" customHeight="1">
      <c r="A3932" s="3">
        <v>41389</v>
      </c>
      <c r="B3932" s="4">
        <v>325</v>
      </c>
      <c r="C3932" s="4">
        <v>45600</v>
      </c>
      <c r="D3932" s="5">
        <v>76125</v>
      </c>
      <c r="E3932" s="5">
        <f t="shared" si="179"/>
        <v>136400</v>
      </c>
      <c r="F3932" s="5">
        <v>258450</v>
      </c>
      <c r="G3932" s="5">
        <v>600</v>
      </c>
      <c r="H3932" s="5">
        <v>950</v>
      </c>
      <c r="I3932" s="5">
        <v>150900</v>
      </c>
      <c r="J3932" s="263">
        <f t="shared" si="180"/>
        <v>0.58386535113174698</v>
      </c>
      <c r="K3932" s="24">
        <v>2041</v>
      </c>
      <c r="L3932" s="6">
        <v>2059</v>
      </c>
      <c r="M3932" s="270">
        <f t="shared" si="181"/>
        <v>18</v>
      </c>
      <c r="O3932" s="422"/>
      <c r="P3932" s="345">
        <v>13830</v>
      </c>
      <c r="Q3932" s="28">
        <f>180.5/1113.9</f>
        <v>0.16204327138881405</v>
      </c>
      <c r="R3932" s="312">
        <f t="shared" si="182"/>
        <v>2241.0584433072981</v>
      </c>
      <c r="S3932" s="313" t="e">
        <f>R3932*#REF!</f>
        <v>#REF!</v>
      </c>
      <c r="T3932" s="313" t="e">
        <f t="shared" si="183"/>
        <v>#REF!</v>
      </c>
      <c r="U3932" s="358">
        <v>0.1</v>
      </c>
      <c r="W3932" s="741">
        <f t="shared" si="184"/>
        <v>2465.1642876380283</v>
      </c>
    </row>
    <row r="3933" spans="1:25" ht="15" customHeight="1">
      <c r="A3933" s="3">
        <v>41390</v>
      </c>
      <c r="B3933" s="4">
        <v>325</v>
      </c>
      <c r="C3933" s="4">
        <v>45300</v>
      </c>
      <c r="D3933" s="5">
        <v>75950</v>
      </c>
      <c r="E3933" s="5">
        <f t="shared" si="179"/>
        <v>136200</v>
      </c>
      <c r="F3933" s="5">
        <v>257775</v>
      </c>
      <c r="G3933" s="5">
        <v>0</v>
      </c>
      <c r="H3933" s="5">
        <v>675</v>
      </c>
      <c r="I3933" s="5">
        <v>150525</v>
      </c>
      <c r="J3933" s="263">
        <f t="shared" si="180"/>
        <v>0.58393948210648816</v>
      </c>
      <c r="K3933" s="24">
        <v>2037</v>
      </c>
      <c r="L3933" s="6">
        <v>2056</v>
      </c>
      <c r="M3933" s="270">
        <f t="shared" si="181"/>
        <v>19</v>
      </c>
      <c r="O3933" s="422"/>
      <c r="P3933" s="345">
        <v>13830</v>
      </c>
      <c r="Q3933" s="28">
        <f>180.21/1111</f>
        <v>0.16220522052205222</v>
      </c>
      <c r="R3933" s="312">
        <f t="shared" si="182"/>
        <v>2243.2981998199821</v>
      </c>
      <c r="S3933" s="313" t="e">
        <f>R3933*#REF!</f>
        <v>#REF!</v>
      </c>
      <c r="T3933" s="313" t="e">
        <f t="shared" si="183"/>
        <v>#REF!</v>
      </c>
      <c r="U3933" s="358">
        <v>0.1</v>
      </c>
      <c r="W3933" s="741">
        <f>(P3933*Q3933)*(1+U3933)</f>
        <v>2467.6280198019804</v>
      </c>
    </row>
    <row r="3934" spans="1:25" ht="15" customHeight="1">
      <c r="A3934" s="3">
        <v>41393</v>
      </c>
      <c r="B3934" s="4">
        <v>325</v>
      </c>
      <c r="C3934" s="4">
        <v>44900</v>
      </c>
      <c r="D3934" s="5">
        <v>75950</v>
      </c>
      <c r="E3934" s="5">
        <f t="shared" si="179"/>
        <v>135525</v>
      </c>
      <c r="F3934" s="5">
        <v>256700</v>
      </c>
      <c r="G3934" s="5">
        <v>0</v>
      </c>
      <c r="H3934" s="5">
        <v>1075</v>
      </c>
      <c r="I3934" s="5">
        <v>149450</v>
      </c>
      <c r="J3934" s="263">
        <f t="shared" si="180"/>
        <v>0.58219711725749901</v>
      </c>
      <c r="K3934" s="24">
        <v>2021</v>
      </c>
      <c r="L3934" s="6">
        <v>2037.5</v>
      </c>
      <c r="M3934" s="270">
        <f t="shared" si="181"/>
        <v>16.5</v>
      </c>
      <c r="O3934" s="422"/>
      <c r="Q3934" s="1004" t="s">
        <v>61</v>
      </c>
      <c r="R3934" s="1004"/>
      <c r="S3934" s="1004"/>
      <c r="T3934" s="1004"/>
      <c r="U3934" s="1004"/>
    </row>
    <row r="3935" spans="1:25" ht="15" customHeight="1">
      <c r="A3935" s="3">
        <v>41394</v>
      </c>
      <c r="B3935" s="4">
        <v>325</v>
      </c>
      <c r="C3935" s="4">
        <v>44550</v>
      </c>
      <c r="D3935" s="5">
        <v>75775</v>
      </c>
      <c r="E3935" s="5">
        <f t="shared" si="179"/>
        <v>134525</v>
      </c>
      <c r="F3935" s="5">
        <v>255175</v>
      </c>
      <c r="G3935" s="5">
        <v>0</v>
      </c>
      <c r="H3935" s="5">
        <v>1525</v>
      </c>
      <c r="I3935" s="5">
        <v>161350</v>
      </c>
      <c r="J3935" s="263">
        <f t="shared" si="180"/>
        <v>0.63231115900852353</v>
      </c>
      <c r="K3935" s="24">
        <v>2019</v>
      </c>
      <c r="L3935" s="6">
        <v>2038</v>
      </c>
      <c r="M3935" s="270">
        <f t="shared" si="181"/>
        <v>19</v>
      </c>
      <c r="N3935" s="420">
        <f>AVERAGE(K3914:K3935)</f>
        <v>2030.2619047619048</v>
      </c>
      <c r="O3935" s="410">
        <f>AVERAGE(K3848:K3935)</f>
        <v>2232.7108433734938</v>
      </c>
      <c r="Q3935" s="1004"/>
      <c r="R3935" s="1004"/>
      <c r="S3935" s="1004"/>
      <c r="T3935" s="1004"/>
      <c r="U3935" s="1004"/>
    </row>
    <row r="3936" spans="1:25" ht="15" customHeight="1" thickBot="1">
      <c r="A3936" s="392"/>
      <c r="B3936" s="995" t="s">
        <v>102</v>
      </c>
      <c r="C3936" s="995"/>
      <c r="D3936" s="995"/>
      <c r="E3936" s="995"/>
      <c r="F3936" s="392"/>
      <c r="G3936" s="332">
        <f>SUM(G3915:G3935)</f>
        <v>3325</v>
      </c>
      <c r="H3936" s="332">
        <f>SUM(H3915:H3935)</f>
        <v>10875</v>
      </c>
      <c r="I3936" s="332"/>
      <c r="J3936" s="333"/>
      <c r="K3936" s="334"/>
      <c r="L3936" s="335"/>
      <c r="M3936" s="336"/>
      <c r="N3936" s="337"/>
      <c r="O3936" s="353"/>
      <c r="P3936" s="351"/>
      <c r="Q3936" s="299"/>
      <c r="R3936" s="453"/>
      <c r="S3936" s="454"/>
      <c r="T3936" s="454"/>
      <c r="U3936" s="302"/>
      <c r="V3936" s="298">
        <f>AVERAGE(P3914:P3935)</f>
        <v>14037.777777777777</v>
      </c>
      <c r="W3936" s="745"/>
      <c r="Y3936" s="408"/>
    </row>
    <row r="3937" spans="1:23" ht="15" customHeight="1">
      <c r="A3937" s="3">
        <v>41395</v>
      </c>
      <c r="B3937" s="4">
        <v>325</v>
      </c>
      <c r="C3937" s="4">
        <v>44200</v>
      </c>
      <c r="D3937" s="5">
        <v>75100</v>
      </c>
      <c r="E3937" s="5">
        <f t="shared" si="179"/>
        <v>134700</v>
      </c>
      <c r="F3937" s="5">
        <v>254325</v>
      </c>
      <c r="G3937" s="5">
        <v>200</v>
      </c>
      <c r="H3937" s="5">
        <v>1050</v>
      </c>
      <c r="I3937" s="5">
        <v>160300</v>
      </c>
      <c r="J3937" s="263">
        <f t="shared" si="180"/>
        <v>0.63029588125430058</v>
      </c>
      <c r="K3937" s="24">
        <v>1970</v>
      </c>
      <c r="L3937" s="6">
        <v>1989.5</v>
      </c>
      <c r="M3937" s="270">
        <f t="shared" si="181"/>
        <v>19.5</v>
      </c>
      <c r="O3937" s="431"/>
      <c r="Q3937" s="1012" t="s">
        <v>112</v>
      </c>
      <c r="R3937" s="1012"/>
      <c r="S3937" s="1012"/>
      <c r="T3937" s="1012"/>
      <c r="U3937" s="1012"/>
    </row>
    <row r="3938" spans="1:23" ht="15" customHeight="1">
      <c r="A3938" s="3">
        <v>41396</v>
      </c>
      <c r="B3938" s="4">
        <v>325</v>
      </c>
      <c r="C3938" s="4">
        <v>43800</v>
      </c>
      <c r="D3938" s="5">
        <v>74900</v>
      </c>
      <c r="E3938" s="5">
        <f t="shared" si="179"/>
        <v>134900</v>
      </c>
      <c r="F3938" s="5">
        <v>253925</v>
      </c>
      <c r="G3938" s="5">
        <v>0</v>
      </c>
      <c r="H3938" s="5">
        <v>400</v>
      </c>
      <c r="I3938" s="5">
        <v>160500</v>
      </c>
      <c r="J3938" s="263">
        <f t="shared" si="180"/>
        <v>0.63207640051196223</v>
      </c>
      <c r="K3938" s="24">
        <v>1979</v>
      </c>
      <c r="L3938" s="6">
        <v>1996</v>
      </c>
      <c r="M3938" s="270">
        <f t="shared" si="181"/>
        <v>17</v>
      </c>
      <c r="O3938" s="422"/>
      <c r="P3938" s="446">
        <v>13760</v>
      </c>
      <c r="Q3938" s="28">
        <f>178.64/1099.7</f>
        <v>0.16244430299172499</v>
      </c>
      <c r="R3938" s="312">
        <f t="shared" ref="R3938:R3955" si="185">P3938*Q3938</f>
        <v>2235.2336091661359</v>
      </c>
      <c r="S3938" s="313" t="e">
        <f>R3938*#REF!</f>
        <v>#REF!</v>
      </c>
      <c r="T3938" s="313" t="e">
        <f t="shared" ref="T3938:T3947" si="186">(R3938+S3938)*U3938</f>
        <v>#REF!</v>
      </c>
      <c r="U3938" s="358">
        <v>0.1</v>
      </c>
      <c r="W3938" s="741">
        <f t="shared" ref="W3938:W3946" si="187">(P3938*Q3938)*(1+U3938)</f>
        <v>2458.7569700827498</v>
      </c>
    </row>
    <row r="3939" spans="1:23" ht="15" customHeight="1">
      <c r="A3939" s="3">
        <v>41397</v>
      </c>
      <c r="B3939" s="4">
        <v>325</v>
      </c>
      <c r="C3939" s="4">
        <v>43350</v>
      </c>
      <c r="D3939" s="5">
        <v>74900</v>
      </c>
      <c r="E3939" s="5">
        <f t="shared" si="179"/>
        <v>133625</v>
      </c>
      <c r="F3939" s="5">
        <v>252200</v>
      </c>
      <c r="G3939" s="5">
        <v>0</v>
      </c>
      <c r="H3939" s="5">
        <v>1725</v>
      </c>
      <c r="I3939" s="5">
        <v>159700</v>
      </c>
      <c r="J3939" s="263">
        <f t="shared" si="180"/>
        <v>0.63322759714512289</v>
      </c>
      <c r="K3939" s="24">
        <v>1970</v>
      </c>
      <c r="L3939" s="6">
        <v>1980.5</v>
      </c>
      <c r="M3939" s="270">
        <f t="shared" si="181"/>
        <v>10.5</v>
      </c>
      <c r="N3939" s="429"/>
      <c r="P3939" s="447">
        <v>13760</v>
      </c>
      <c r="Q3939" s="28">
        <f>178.68/1099.9</f>
        <v>0.16245113192108374</v>
      </c>
      <c r="R3939" s="312">
        <f t="shared" si="185"/>
        <v>2235.3275752341124</v>
      </c>
      <c r="S3939" s="313" t="e">
        <f>R3939*#REF!</f>
        <v>#REF!</v>
      </c>
      <c r="T3939" s="313" t="e">
        <f t="shared" si="186"/>
        <v>#REF!</v>
      </c>
      <c r="U3939" s="358">
        <v>0.1</v>
      </c>
      <c r="W3939" s="741">
        <f t="shared" si="187"/>
        <v>2458.8603327575238</v>
      </c>
    </row>
    <row r="3940" spans="1:23" ht="15" customHeight="1">
      <c r="A3940" s="3">
        <v>41400</v>
      </c>
      <c r="B3940" s="26"/>
      <c r="C3940" s="26"/>
      <c r="D3940" s="26"/>
      <c r="E3940" s="26"/>
      <c r="F3940" s="26"/>
      <c r="G3940" s="26" t="s">
        <v>146</v>
      </c>
      <c r="H3940" s="26"/>
      <c r="I3940" s="26"/>
      <c r="J3940" s="26"/>
      <c r="M3940" s="270"/>
      <c r="N3940" s="429"/>
      <c r="O3940" s="430"/>
      <c r="P3940" s="447">
        <v>13800</v>
      </c>
      <c r="Q3940" s="28">
        <f>178.68/1099.9</f>
        <v>0.16245113192108374</v>
      </c>
      <c r="R3940" s="312">
        <f t="shared" si="185"/>
        <v>2241.8256205109556</v>
      </c>
      <c r="S3940" s="313" t="e">
        <f>R3940*#REF!</f>
        <v>#REF!</v>
      </c>
      <c r="T3940" s="313" t="e">
        <f t="shared" si="186"/>
        <v>#REF!</v>
      </c>
      <c r="U3940" s="358">
        <v>0.1</v>
      </c>
      <c r="W3940" s="741">
        <f t="shared" si="187"/>
        <v>2466.0081825620514</v>
      </c>
    </row>
    <row r="3941" spans="1:23" ht="15" customHeight="1">
      <c r="A3941" s="3">
        <v>41401</v>
      </c>
      <c r="B3941" s="4">
        <v>325</v>
      </c>
      <c r="C3941" s="4">
        <v>74125</v>
      </c>
      <c r="D3941" s="5">
        <v>42975</v>
      </c>
      <c r="E3941" s="5">
        <v>184925</v>
      </c>
      <c r="F3941" s="5">
        <v>251075</v>
      </c>
      <c r="G3941" s="5">
        <v>0</v>
      </c>
      <c r="H3941" s="5">
        <v>1125</v>
      </c>
      <c r="I3941" s="5">
        <v>158625</v>
      </c>
      <c r="J3941" s="263">
        <f t="shared" ref="J3941:J3980" si="188">I3941/F3941</f>
        <v>0.63178333167380263</v>
      </c>
      <c r="K3941" s="24">
        <v>2020</v>
      </c>
      <c r="L3941" s="6">
        <v>2037</v>
      </c>
      <c r="M3941" s="270">
        <f t="shared" si="181"/>
        <v>17</v>
      </c>
      <c r="O3941" s="422"/>
      <c r="P3941" s="447">
        <v>13880</v>
      </c>
      <c r="Q3941" s="28">
        <f>177.4/1094</f>
        <v>0.16215722120658135</v>
      </c>
      <c r="R3941" s="312">
        <f t="shared" si="185"/>
        <v>2250.7422303473491</v>
      </c>
      <c r="S3941" s="313" t="e">
        <f>R3941*#REF!</f>
        <v>#REF!</v>
      </c>
      <c r="T3941" s="313" t="e">
        <f t="shared" si="186"/>
        <v>#REF!</v>
      </c>
      <c r="U3941" s="358">
        <v>0.1</v>
      </c>
      <c r="W3941" s="741">
        <f t="shared" si="187"/>
        <v>2475.8164533820841</v>
      </c>
    </row>
    <row r="3942" spans="1:23" ht="15" customHeight="1">
      <c r="A3942" s="3">
        <v>41402</v>
      </c>
      <c r="B3942" s="4">
        <v>325</v>
      </c>
      <c r="C3942" s="4">
        <v>73875</v>
      </c>
      <c r="D3942" s="5">
        <v>42025</v>
      </c>
      <c r="E3942" s="5">
        <f t="shared" ref="E3942:E3980" si="189">F3942-(B3942+C3942+D3942)</f>
        <v>131975</v>
      </c>
      <c r="F3942" s="5">
        <v>248200</v>
      </c>
      <c r="G3942" s="5">
        <v>300</v>
      </c>
      <c r="H3942" s="5">
        <v>3175</v>
      </c>
      <c r="I3942" s="5">
        <v>156075</v>
      </c>
      <c r="J3942" s="263">
        <f t="shared" si="188"/>
        <v>0.62882755842062854</v>
      </c>
      <c r="K3942" s="24">
        <v>2048.5</v>
      </c>
      <c r="L3942" s="6">
        <v>2067</v>
      </c>
      <c r="M3942" s="270">
        <f t="shared" si="181"/>
        <v>18.5</v>
      </c>
      <c r="O3942" s="422"/>
      <c r="P3942" s="447">
        <v>13880</v>
      </c>
      <c r="Q3942" s="28">
        <f>177.77/1094</f>
        <v>0.16249542961608776</v>
      </c>
      <c r="R3942" s="312">
        <f t="shared" si="185"/>
        <v>2255.4365630712982</v>
      </c>
      <c r="S3942" s="313" t="e">
        <f>R3942*#REF!</f>
        <v>#REF!</v>
      </c>
      <c r="T3942" s="313" t="e">
        <f t="shared" si="186"/>
        <v>#REF!</v>
      </c>
      <c r="U3942" s="358">
        <v>0.1</v>
      </c>
      <c r="W3942" s="741">
        <f t="shared" si="187"/>
        <v>2480.980219378428</v>
      </c>
    </row>
    <row r="3943" spans="1:23" ht="15" customHeight="1">
      <c r="A3943" s="3">
        <v>41403</v>
      </c>
      <c r="B3943" s="4">
        <v>325</v>
      </c>
      <c r="C3943" s="4">
        <v>72950</v>
      </c>
      <c r="D3943" s="5">
        <v>41475</v>
      </c>
      <c r="E3943" s="5">
        <f t="shared" si="189"/>
        <v>132350</v>
      </c>
      <c r="F3943" s="5">
        <v>247100</v>
      </c>
      <c r="G3943" s="5">
        <v>800</v>
      </c>
      <c r="H3943" s="5">
        <v>1900</v>
      </c>
      <c r="I3943" s="5">
        <v>155200</v>
      </c>
      <c r="J3943" s="263">
        <f t="shared" si="188"/>
        <v>0.62808579522460539</v>
      </c>
      <c r="K3943" s="24">
        <v>2012.5</v>
      </c>
      <c r="L3943" s="6">
        <v>2032</v>
      </c>
      <c r="M3943" s="270">
        <f t="shared" si="181"/>
        <v>19.5</v>
      </c>
      <c r="O3943" s="422"/>
      <c r="P3943" s="447">
        <v>13880</v>
      </c>
      <c r="Q3943" s="28">
        <f>177.12/1087.7</f>
        <v>0.16283901811161167</v>
      </c>
      <c r="R3943" s="312">
        <f t="shared" si="185"/>
        <v>2260.20557138917</v>
      </c>
      <c r="S3943" s="313" t="e">
        <f>R3943*#REF!</f>
        <v>#REF!</v>
      </c>
      <c r="T3943" s="313" t="e">
        <f t="shared" si="186"/>
        <v>#REF!</v>
      </c>
      <c r="U3943" s="358">
        <v>0.1</v>
      </c>
      <c r="W3943" s="741">
        <f t="shared" si="187"/>
        <v>2486.2261285280874</v>
      </c>
    </row>
    <row r="3944" spans="1:23" ht="15" customHeight="1">
      <c r="A3944" s="3">
        <v>41404</v>
      </c>
      <c r="B3944" s="4">
        <v>325</v>
      </c>
      <c r="C3944" s="4">
        <v>72200</v>
      </c>
      <c r="D3944" s="5">
        <v>40850</v>
      </c>
      <c r="E3944" s="5">
        <f t="shared" si="189"/>
        <v>132050</v>
      </c>
      <c r="F3944" s="5">
        <v>245425</v>
      </c>
      <c r="G3944" s="5">
        <v>50</v>
      </c>
      <c r="H3944" s="5">
        <v>1725</v>
      </c>
      <c r="I3944" s="5">
        <v>157425</v>
      </c>
      <c r="J3944" s="263">
        <f t="shared" si="188"/>
        <v>0.64143832127941325</v>
      </c>
      <c r="K3944" s="24">
        <v>1983.5</v>
      </c>
      <c r="L3944" s="6">
        <v>2001</v>
      </c>
      <c r="M3944" s="270">
        <f t="shared" si="181"/>
        <v>17.5</v>
      </c>
      <c r="O3944" s="422"/>
      <c r="P3944" s="447">
        <v>13880</v>
      </c>
      <c r="Q3944" s="28">
        <f>177.3/1087</f>
        <v>0.16310947562097516</v>
      </c>
      <c r="R3944" s="312">
        <f t="shared" si="185"/>
        <v>2263.9595216191351</v>
      </c>
      <c r="S3944" s="313" t="e">
        <f>R3944*#REF!</f>
        <v>#REF!</v>
      </c>
      <c r="T3944" s="313" t="e">
        <f t="shared" si="186"/>
        <v>#REF!</v>
      </c>
      <c r="U3944" s="358">
        <v>0.1</v>
      </c>
      <c r="W3944" s="741">
        <f t="shared" si="187"/>
        <v>2490.3554737810487</v>
      </c>
    </row>
    <row r="3945" spans="1:23" ht="15" customHeight="1">
      <c r="A3945" s="3">
        <v>41407</v>
      </c>
      <c r="B3945" s="4">
        <v>325</v>
      </c>
      <c r="C3945" s="4">
        <v>71150</v>
      </c>
      <c r="D3945" s="5">
        <v>40275</v>
      </c>
      <c r="E3945" s="5">
        <f t="shared" si="189"/>
        <v>132025</v>
      </c>
      <c r="F3945" s="5">
        <v>243775</v>
      </c>
      <c r="G3945" s="5">
        <v>75</v>
      </c>
      <c r="H3945" s="5">
        <v>1725</v>
      </c>
      <c r="I3945" s="5">
        <v>159975</v>
      </c>
      <c r="J3945" s="263">
        <f t="shared" si="188"/>
        <v>0.65624038560147679</v>
      </c>
      <c r="K3945" s="24">
        <v>1981</v>
      </c>
      <c r="L3945" s="6">
        <v>1997.5</v>
      </c>
      <c r="M3945" s="270">
        <f t="shared" si="181"/>
        <v>16.5</v>
      </c>
      <c r="P3945" s="447">
        <v>13880</v>
      </c>
      <c r="Q3945" s="28">
        <f>179.53/1102.6</f>
        <v>0.16282423362960277</v>
      </c>
      <c r="R3945" s="312">
        <f t="shared" si="185"/>
        <v>2260.0003627788865</v>
      </c>
      <c r="S3945" s="313" t="e">
        <f>R3945*#REF!</f>
        <v>#REF!</v>
      </c>
      <c r="T3945" s="313" t="e">
        <f t="shared" si="186"/>
        <v>#REF!</v>
      </c>
      <c r="U3945" s="358">
        <v>0.1</v>
      </c>
      <c r="W3945" s="741">
        <f t="shared" si="187"/>
        <v>2486.0003990567752</v>
      </c>
    </row>
    <row r="3946" spans="1:23" ht="15" customHeight="1">
      <c r="A3946" s="3">
        <v>41408</v>
      </c>
      <c r="B3946" s="4">
        <v>325</v>
      </c>
      <c r="C3946" s="4">
        <v>70575</v>
      </c>
      <c r="D3946" s="5">
        <v>39700</v>
      </c>
      <c r="E3946" s="5">
        <f t="shared" si="189"/>
        <v>135050</v>
      </c>
      <c r="F3946" s="5">
        <v>245650</v>
      </c>
      <c r="G3946" s="5">
        <v>4000</v>
      </c>
      <c r="H3946" s="5">
        <v>2125</v>
      </c>
      <c r="I3946" s="5">
        <v>157850</v>
      </c>
      <c r="J3946" s="263">
        <f t="shared" si="188"/>
        <v>0.64258090779564425</v>
      </c>
      <c r="K3946" s="24">
        <v>1976</v>
      </c>
      <c r="L3946" s="6">
        <v>1988.5</v>
      </c>
      <c r="M3946" s="270">
        <f t="shared" si="181"/>
        <v>12.5</v>
      </c>
      <c r="P3946" s="447">
        <v>13860</v>
      </c>
      <c r="Q3946" s="28">
        <f>180.6/1109.4</f>
        <v>0.16279069767441859</v>
      </c>
      <c r="R3946" s="312">
        <f t="shared" si="185"/>
        <v>2256.2790697674418</v>
      </c>
      <c r="S3946" s="313" t="e">
        <f>R3946*#REF!</f>
        <v>#REF!</v>
      </c>
      <c r="T3946" s="313" t="e">
        <f t="shared" si="186"/>
        <v>#REF!</v>
      </c>
      <c r="U3946" s="358">
        <v>0.1</v>
      </c>
      <c r="W3946" s="741">
        <f t="shared" si="187"/>
        <v>2481.9069767441861</v>
      </c>
    </row>
    <row r="3947" spans="1:23" ht="15" customHeight="1">
      <c r="A3947" s="3">
        <v>41409</v>
      </c>
      <c r="B3947" s="4">
        <v>325</v>
      </c>
      <c r="C3947" s="4">
        <v>73250</v>
      </c>
      <c r="D3947" s="5">
        <v>39150</v>
      </c>
      <c r="E3947" s="5">
        <f t="shared" si="189"/>
        <v>131800</v>
      </c>
      <c r="F3947" s="5">
        <v>244525</v>
      </c>
      <c r="G3947" s="5">
        <v>0</v>
      </c>
      <c r="H3947" s="5">
        <v>1125</v>
      </c>
      <c r="I3947" s="5">
        <v>158650</v>
      </c>
      <c r="J3947" s="263">
        <f t="shared" si="188"/>
        <v>0.6488089152438401</v>
      </c>
      <c r="K3947" s="24">
        <v>1949</v>
      </c>
      <c r="L3947" s="6">
        <v>1961</v>
      </c>
      <c r="M3947" s="270">
        <f t="shared" si="181"/>
        <v>12</v>
      </c>
      <c r="P3947" s="447">
        <v>13760</v>
      </c>
      <c r="Q3947" s="28">
        <f>181.19/1113.6</f>
        <v>0.16270653735632185</v>
      </c>
      <c r="R3947" s="312">
        <f t="shared" si="185"/>
        <v>2238.8419540229884</v>
      </c>
      <c r="S3947" s="313" t="e">
        <f>R3947*#REF!</f>
        <v>#REF!</v>
      </c>
      <c r="T3947" s="313" t="e">
        <f t="shared" si="186"/>
        <v>#REF!</v>
      </c>
      <c r="U3947" s="358">
        <v>0.1</v>
      </c>
      <c r="W3947" s="741">
        <f t="shared" ref="W3947:W3958" si="190">(P3947*Q3947)*(1+U3947)</f>
        <v>2462.7261494252875</v>
      </c>
    </row>
    <row r="3948" spans="1:23" ht="15" customHeight="1">
      <c r="A3948" s="3">
        <v>41410</v>
      </c>
      <c r="B3948" s="4">
        <v>325</v>
      </c>
      <c r="C3948" s="4">
        <v>73200</v>
      </c>
      <c r="D3948" s="5">
        <v>39050</v>
      </c>
      <c r="E3948" s="5">
        <v>130675</v>
      </c>
      <c r="F3948" s="5">
        <v>243250</v>
      </c>
      <c r="G3948" s="5">
        <v>375</v>
      </c>
      <c r="H3948" s="5">
        <v>1650</v>
      </c>
      <c r="I3948" s="5">
        <v>157125</v>
      </c>
      <c r="J3948" s="263">
        <f t="shared" si="188"/>
        <v>0.64594039054470709</v>
      </c>
      <c r="K3948" s="24">
        <v>1966.5</v>
      </c>
      <c r="L3948" s="6">
        <v>1968</v>
      </c>
      <c r="M3948" s="270">
        <f t="shared" si="181"/>
        <v>1.5</v>
      </c>
      <c r="O3948" s="422"/>
      <c r="P3948" s="448">
        <v>13760</v>
      </c>
      <c r="Q3948" s="1001" t="s">
        <v>146</v>
      </c>
      <c r="R3948" s="1001"/>
      <c r="S3948" s="1001"/>
      <c r="T3948" s="1001"/>
      <c r="U3948" s="1001"/>
    </row>
    <row r="3949" spans="1:23" ht="15" customHeight="1">
      <c r="A3949" s="3">
        <v>41411</v>
      </c>
      <c r="B3949" s="4">
        <v>325</v>
      </c>
      <c r="C3949" s="4">
        <v>72525</v>
      </c>
      <c r="D3949" s="5">
        <v>38525</v>
      </c>
      <c r="E3949" s="5">
        <f t="shared" si="189"/>
        <v>129500</v>
      </c>
      <c r="F3949" s="5">
        <v>240875</v>
      </c>
      <c r="G3949" s="5">
        <v>525</v>
      </c>
      <c r="H3949" s="5">
        <v>2900</v>
      </c>
      <c r="I3949" s="5">
        <v>155300</v>
      </c>
      <c r="J3949" s="263">
        <f t="shared" si="188"/>
        <v>0.6447327451997924</v>
      </c>
      <c r="K3949" s="24">
        <v>2003</v>
      </c>
      <c r="L3949" s="6">
        <v>2010.5</v>
      </c>
      <c r="M3949" s="270">
        <f t="shared" si="181"/>
        <v>7.5</v>
      </c>
      <c r="O3949" s="422"/>
      <c r="P3949" s="448">
        <v>13760</v>
      </c>
      <c r="Q3949" s="28">
        <f>181.45/1114.3</f>
        <v>0.16283765592748811</v>
      </c>
      <c r="R3949" s="312">
        <f t="shared" si="185"/>
        <v>2240.6461455622366</v>
      </c>
      <c r="S3949" s="313" t="e">
        <f>R3949*#REF!</f>
        <v>#REF!</v>
      </c>
      <c r="T3949" s="313" t="e">
        <f t="shared" ref="T3949:T3959" si="191">(R3949+S3949)*U3949</f>
        <v>#REF!</v>
      </c>
      <c r="U3949" s="358">
        <v>0.1</v>
      </c>
      <c r="W3949" s="741">
        <f t="shared" si="190"/>
        <v>2464.7107601184603</v>
      </c>
    </row>
    <row r="3950" spans="1:23" ht="15" customHeight="1">
      <c r="A3950" s="3">
        <v>41414</v>
      </c>
      <c r="B3950" s="4">
        <v>325</v>
      </c>
      <c r="C3950" s="4">
        <v>70650</v>
      </c>
      <c r="D3950" s="5">
        <v>38025</v>
      </c>
      <c r="E3950" s="5">
        <f t="shared" si="189"/>
        <v>130375</v>
      </c>
      <c r="F3950" s="5">
        <v>239375</v>
      </c>
      <c r="G3950" s="5">
        <v>0</v>
      </c>
      <c r="H3950" s="5">
        <v>1500</v>
      </c>
      <c r="I3950" s="5">
        <v>154050</v>
      </c>
      <c r="J3950" s="263">
        <f t="shared" si="188"/>
        <v>0.64355091383812013</v>
      </c>
      <c r="K3950" s="24">
        <v>2002</v>
      </c>
      <c r="L3950" s="6">
        <v>2009</v>
      </c>
      <c r="M3950" s="270">
        <f t="shared" si="181"/>
        <v>7</v>
      </c>
      <c r="O3950" s="422"/>
      <c r="P3950" s="448">
        <v>13790</v>
      </c>
      <c r="Q3950" s="28">
        <f>182.13/1118.1</f>
        <v>0.16289240676147035</v>
      </c>
      <c r="R3950" s="312">
        <f t="shared" si="185"/>
        <v>2246.2862892406761</v>
      </c>
      <c r="S3950" s="313" t="e">
        <f>R3950*#REF!</f>
        <v>#REF!</v>
      </c>
      <c r="T3950" s="313" t="e">
        <f t="shared" si="191"/>
        <v>#REF!</v>
      </c>
      <c r="U3950" s="358">
        <v>0.1</v>
      </c>
      <c r="W3950" s="741">
        <f t="shared" si="190"/>
        <v>2470.914918164744</v>
      </c>
    </row>
    <row r="3951" spans="1:23" ht="15" customHeight="1">
      <c r="A3951" s="3">
        <v>41415</v>
      </c>
      <c r="B3951" s="4">
        <v>325</v>
      </c>
      <c r="C3951" s="4">
        <v>70150</v>
      </c>
      <c r="D3951" s="5">
        <v>37500</v>
      </c>
      <c r="E3951" s="5">
        <f t="shared" si="189"/>
        <v>129950</v>
      </c>
      <c r="F3951" s="5">
        <v>237925</v>
      </c>
      <c r="G3951" s="5">
        <v>0</v>
      </c>
      <c r="H3951" s="5">
        <v>1450</v>
      </c>
      <c r="I3951" s="5">
        <v>153350</v>
      </c>
      <c r="J3951" s="263">
        <f t="shared" si="188"/>
        <v>0.64453083955027846</v>
      </c>
      <c r="K3951" s="24">
        <v>2040.5</v>
      </c>
      <c r="L3951" s="6">
        <v>2050.5</v>
      </c>
      <c r="M3951" s="270">
        <f t="shared" si="181"/>
        <v>10</v>
      </c>
      <c r="O3951" s="422"/>
      <c r="P3951" s="448">
        <v>13810</v>
      </c>
      <c r="Q3951" s="28">
        <f>181.38/1112.9</f>
        <v>0.1629796028394285</v>
      </c>
      <c r="R3951" s="312">
        <f t="shared" si="185"/>
        <v>2250.7483152125078</v>
      </c>
      <c r="S3951" s="313" t="e">
        <f>R3951*#REF!</f>
        <v>#REF!</v>
      </c>
      <c r="T3951" s="313" t="e">
        <f t="shared" si="191"/>
        <v>#REF!</v>
      </c>
      <c r="U3951" s="358">
        <v>0.1</v>
      </c>
      <c r="W3951" s="741">
        <f t="shared" si="190"/>
        <v>2475.8231467337587</v>
      </c>
    </row>
    <row r="3952" spans="1:23" ht="15" customHeight="1">
      <c r="A3952" s="3">
        <v>41416</v>
      </c>
      <c r="B3952" s="4">
        <v>325</v>
      </c>
      <c r="C3952" s="4">
        <v>69225</v>
      </c>
      <c r="D3952" s="5">
        <v>37000</v>
      </c>
      <c r="E3952" s="5">
        <f t="shared" si="189"/>
        <v>129725</v>
      </c>
      <c r="F3952" s="5">
        <v>236275</v>
      </c>
      <c r="G3952" s="5">
        <v>0</v>
      </c>
      <c r="H3952" s="5">
        <v>1650</v>
      </c>
      <c r="I3952" s="5">
        <v>151850</v>
      </c>
      <c r="J3952" s="263">
        <f t="shared" si="188"/>
        <v>0.64268331393503331</v>
      </c>
      <c r="K3952" s="24">
        <v>2053.5</v>
      </c>
      <c r="L3952" s="6">
        <v>2064</v>
      </c>
      <c r="M3952" s="270">
        <f t="shared" si="181"/>
        <v>10.5</v>
      </c>
      <c r="O3952" s="422"/>
      <c r="P3952" s="448">
        <v>13810</v>
      </c>
      <c r="Q3952" s="28">
        <f>181.44/1112.4</f>
        <v>0.16310679611650483</v>
      </c>
      <c r="R3952" s="312">
        <f t="shared" si="185"/>
        <v>2252.5048543689318</v>
      </c>
      <c r="S3952" s="313" t="e">
        <f>R3952*#REF!</f>
        <v>#REF!</v>
      </c>
      <c r="T3952" s="313" t="e">
        <f t="shared" si="191"/>
        <v>#REF!</v>
      </c>
      <c r="U3952" s="358">
        <v>0.1</v>
      </c>
      <c r="W3952" s="741">
        <f t="shared" si="190"/>
        <v>2477.7553398058253</v>
      </c>
    </row>
    <row r="3953" spans="1:25" ht="15" customHeight="1">
      <c r="A3953" s="3">
        <v>41417</v>
      </c>
      <c r="B3953" s="4">
        <v>325</v>
      </c>
      <c r="C3953" s="4">
        <v>68700</v>
      </c>
      <c r="D3953" s="5">
        <v>36475</v>
      </c>
      <c r="E3953" s="5">
        <f t="shared" si="189"/>
        <v>129025</v>
      </c>
      <c r="F3953" s="5">
        <v>234525</v>
      </c>
      <c r="G3953" s="5">
        <v>125</v>
      </c>
      <c r="H3953" s="5">
        <v>1875</v>
      </c>
      <c r="I3953" s="5">
        <v>181800</v>
      </c>
      <c r="J3953" s="263">
        <f t="shared" si="188"/>
        <v>0.77518388231531821</v>
      </c>
      <c r="K3953" s="24">
        <v>2025</v>
      </c>
      <c r="L3953" s="6">
        <v>2032</v>
      </c>
      <c r="M3953" s="270">
        <f t="shared" si="181"/>
        <v>7</v>
      </c>
      <c r="O3953" s="422"/>
      <c r="P3953" s="448">
        <v>13780</v>
      </c>
      <c r="Q3953" s="28">
        <f>183.19/1123.7</f>
        <v>0.16302393877369403</v>
      </c>
      <c r="R3953" s="312">
        <f t="shared" si="185"/>
        <v>2246.469876301504</v>
      </c>
      <c r="S3953" s="313" t="e">
        <f>R3953*#REF!</f>
        <v>#REF!</v>
      </c>
      <c r="T3953" s="313" t="e">
        <f t="shared" si="191"/>
        <v>#REF!</v>
      </c>
      <c r="U3953" s="358">
        <v>0.1</v>
      </c>
      <c r="W3953" s="741">
        <f t="shared" si="190"/>
        <v>2471.1168639316547</v>
      </c>
    </row>
    <row r="3954" spans="1:25" ht="15" customHeight="1">
      <c r="A3954" s="3">
        <v>41418</v>
      </c>
      <c r="B3954" s="4">
        <v>325</v>
      </c>
      <c r="C3954" s="4">
        <v>68000</v>
      </c>
      <c r="D3954" s="5">
        <v>35900</v>
      </c>
      <c r="E3954" s="5">
        <f t="shared" si="189"/>
        <v>130300</v>
      </c>
      <c r="F3954" s="5">
        <v>234525</v>
      </c>
      <c r="G3954" s="5">
        <v>0</v>
      </c>
      <c r="H3954" s="5">
        <v>1975</v>
      </c>
      <c r="I3954" s="5">
        <v>179950</v>
      </c>
      <c r="J3954" s="263">
        <f t="shared" si="188"/>
        <v>0.76729559748427678</v>
      </c>
      <c r="K3954" s="24">
        <v>2056</v>
      </c>
      <c r="L3954" s="6">
        <v>2058</v>
      </c>
      <c r="M3954" s="270">
        <f t="shared" si="181"/>
        <v>2</v>
      </c>
      <c r="O3954" s="422"/>
      <c r="P3954" s="448">
        <v>13810</v>
      </c>
      <c r="Q3954" s="28">
        <f>183.97/1128</f>
        <v>0.16309397163120568</v>
      </c>
      <c r="R3954" s="312">
        <f t="shared" si="185"/>
        <v>2252.3277482269505</v>
      </c>
      <c r="S3954" s="313" t="e">
        <f>R3954*#REF!</f>
        <v>#REF!</v>
      </c>
      <c r="T3954" s="313" t="e">
        <f t="shared" si="191"/>
        <v>#REF!</v>
      </c>
      <c r="U3954" s="358">
        <v>0.1</v>
      </c>
      <c r="W3954" s="741">
        <f t="shared" si="190"/>
        <v>2477.5605230496458</v>
      </c>
    </row>
    <row r="3955" spans="1:25" ht="15" customHeight="1">
      <c r="A3955" s="3">
        <v>41421</v>
      </c>
      <c r="B3955" s="455"/>
      <c r="C3955" s="455"/>
      <c r="D3955" s="455"/>
      <c r="E3955" s="455"/>
      <c r="F3955" s="455"/>
      <c r="G3955" s="26" t="s">
        <v>146</v>
      </c>
      <c r="H3955" s="26"/>
      <c r="I3955" s="26"/>
      <c r="J3955" s="26"/>
      <c r="O3955" s="422"/>
      <c r="P3955" s="448">
        <v>13810</v>
      </c>
      <c r="Q3955" s="28">
        <f>183.99/1126.2</f>
        <v>0.16337240277037826</v>
      </c>
      <c r="R3955" s="312">
        <f t="shared" si="185"/>
        <v>2256.1728822589239</v>
      </c>
      <c r="S3955" s="313" t="e">
        <f>R3955*#REF!</f>
        <v>#REF!</v>
      </c>
      <c r="T3955" s="313" t="e">
        <f t="shared" si="191"/>
        <v>#REF!</v>
      </c>
      <c r="U3955" s="358">
        <v>0.1</v>
      </c>
      <c r="W3955" s="741">
        <f t="shared" si="190"/>
        <v>2481.7901704848164</v>
      </c>
    </row>
    <row r="3956" spans="1:25" ht="15" customHeight="1">
      <c r="A3956" s="3">
        <v>41422</v>
      </c>
      <c r="B3956" s="4">
        <v>325</v>
      </c>
      <c r="C3956" s="4">
        <v>67750</v>
      </c>
      <c r="D3956" s="5">
        <v>35375</v>
      </c>
      <c r="E3956" s="5">
        <f t="shared" si="189"/>
        <v>127275</v>
      </c>
      <c r="F3956" s="5">
        <v>230725</v>
      </c>
      <c r="G3956" s="5">
        <v>750</v>
      </c>
      <c r="H3956" s="5">
        <v>2575</v>
      </c>
      <c r="I3956" s="5">
        <v>177375</v>
      </c>
      <c r="J3956" s="263">
        <f t="shared" si="188"/>
        <v>0.76877234803337302</v>
      </c>
      <c r="K3956" s="24">
        <v>2098</v>
      </c>
      <c r="L3956" s="6">
        <v>2099</v>
      </c>
      <c r="M3956" s="270">
        <f t="shared" si="181"/>
        <v>1</v>
      </c>
      <c r="O3956" s="422"/>
      <c r="P3956" s="448">
        <v>13810</v>
      </c>
      <c r="Q3956" s="28">
        <f>183.86/1125.5</f>
        <v>0.16335850733007554</v>
      </c>
      <c r="R3956" s="312">
        <f t="shared" ref="R3956:R3962" si="192">P3956*Q3956</f>
        <v>2255.9809862283432</v>
      </c>
      <c r="S3956" s="313" t="e">
        <f>R3956*#REF!</f>
        <v>#REF!</v>
      </c>
      <c r="T3956" s="313" t="e">
        <f t="shared" si="191"/>
        <v>#REF!</v>
      </c>
      <c r="U3956" s="358">
        <v>0.1</v>
      </c>
      <c r="W3956" s="741">
        <f t="shared" si="190"/>
        <v>2481.5790848511779</v>
      </c>
    </row>
    <row r="3957" spans="1:25" ht="15" customHeight="1">
      <c r="A3957" s="3">
        <v>41423</v>
      </c>
      <c r="B3957" s="4">
        <v>325</v>
      </c>
      <c r="C3957" s="4">
        <v>68200</v>
      </c>
      <c r="D3957" s="5">
        <v>34850</v>
      </c>
      <c r="E3957" s="5">
        <f t="shared" si="189"/>
        <v>121775</v>
      </c>
      <c r="F3957" s="5">
        <v>225150</v>
      </c>
      <c r="G3957" s="5">
        <v>575</v>
      </c>
      <c r="H3957" s="5">
        <v>6150</v>
      </c>
      <c r="I3957" s="5">
        <v>171225</v>
      </c>
      <c r="J3957" s="263">
        <f t="shared" si="188"/>
        <v>0.76049300466355763</v>
      </c>
      <c r="K3957" s="24">
        <v>2117</v>
      </c>
      <c r="L3957" s="6">
        <v>2114</v>
      </c>
      <c r="M3957" s="270">
        <f t="shared" si="181"/>
        <v>-3</v>
      </c>
      <c r="O3957" s="422"/>
      <c r="P3957" s="448">
        <v>13830</v>
      </c>
      <c r="Q3957" s="28">
        <f>184.6/1131</f>
        <v>0.16321839080459769</v>
      </c>
      <c r="R3957" s="312">
        <f t="shared" si="192"/>
        <v>2257.3103448275861</v>
      </c>
      <c r="S3957" s="313" t="e">
        <f>R3957*#REF!</f>
        <v>#REF!</v>
      </c>
      <c r="T3957" s="313" t="e">
        <f t="shared" si="191"/>
        <v>#REF!</v>
      </c>
      <c r="U3957" s="358">
        <v>0.1</v>
      </c>
      <c r="W3957" s="741">
        <f t="shared" si="190"/>
        <v>2483.0413793103448</v>
      </c>
    </row>
    <row r="3958" spans="1:25" ht="15" customHeight="1">
      <c r="A3958" s="3">
        <v>41424</v>
      </c>
      <c r="B3958" s="4">
        <v>325</v>
      </c>
      <c r="C3958" s="4">
        <v>67375</v>
      </c>
      <c r="D3958" s="5">
        <v>34275</v>
      </c>
      <c r="E3958" s="5">
        <f t="shared" si="189"/>
        <v>120250</v>
      </c>
      <c r="F3958" s="5">
        <v>222225</v>
      </c>
      <c r="G3958" s="5">
        <v>0</v>
      </c>
      <c r="H3958" s="5">
        <v>2925</v>
      </c>
      <c r="I3958" s="5">
        <v>169575</v>
      </c>
      <c r="J3958" s="263">
        <f t="shared" si="188"/>
        <v>0.76307796152548091</v>
      </c>
      <c r="K3958" s="24">
        <v>2150</v>
      </c>
      <c r="L3958" s="6">
        <v>2145</v>
      </c>
      <c r="M3958" s="270">
        <f t="shared" si="181"/>
        <v>-5</v>
      </c>
      <c r="O3958" s="422"/>
      <c r="P3958" s="448">
        <v>13860</v>
      </c>
      <c r="Q3958" s="28">
        <f>184.03/1128.3</f>
        <v>0.16310378445448906</v>
      </c>
      <c r="R3958" s="312">
        <f t="shared" si="192"/>
        <v>2260.6184525392182</v>
      </c>
      <c r="S3958" s="313" t="e">
        <f>R3958*#REF!</f>
        <v>#REF!</v>
      </c>
      <c r="T3958" s="313" t="e">
        <f t="shared" si="191"/>
        <v>#REF!</v>
      </c>
      <c r="U3958" s="358">
        <v>0.1</v>
      </c>
      <c r="W3958" s="741">
        <f t="shared" si="190"/>
        <v>2486.6802977931402</v>
      </c>
    </row>
    <row r="3959" spans="1:25" ht="15" customHeight="1">
      <c r="A3959" s="3">
        <v>41425</v>
      </c>
      <c r="B3959" s="4">
        <v>325</v>
      </c>
      <c r="C3959" s="4">
        <v>67125</v>
      </c>
      <c r="D3959" s="5">
        <v>33725</v>
      </c>
      <c r="E3959" s="5">
        <f t="shared" si="189"/>
        <v>118300</v>
      </c>
      <c r="F3959" s="5">
        <v>219475</v>
      </c>
      <c r="G3959" s="5">
        <v>0</v>
      </c>
      <c r="H3959" s="5">
        <v>2750</v>
      </c>
      <c r="I3959" s="5">
        <v>167025</v>
      </c>
      <c r="J3959" s="263">
        <f t="shared" si="188"/>
        <v>0.7610206173823898</v>
      </c>
      <c r="K3959" s="24">
        <v>2193</v>
      </c>
      <c r="L3959" s="6">
        <v>2187</v>
      </c>
      <c r="M3959" s="270">
        <f t="shared" si="181"/>
        <v>-6</v>
      </c>
      <c r="N3959" s="420">
        <f>AVERAGE(K3937:K3959)</f>
        <v>2028.2857142857142</v>
      </c>
      <c r="O3959" s="410">
        <f>AVERAGE(K3848:K3959)</f>
        <v>2191.4326923076924</v>
      </c>
      <c r="P3959" s="448">
        <v>13910</v>
      </c>
      <c r="Q3959" s="28">
        <f>183.64/1126.6</f>
        <v>0.16300372803124447</v>
      </c>
      <c r="R3959" s="312">
        <f t="shared" si="192"/>
        <v>2267.3818569146106</v>
      </c>
      <c r="S3959" s="313" t="e">
        <f>R3959*#REF!</f>
        <v>#REF!</v>
      </c>
      <c r="T3959" s="313" t="e">
        <f t="shared" si="191"/>
        <v>#REF!</v>
      </c>
      <c r="U3959" s="358">
        <v>0.1</v>
      </c>
      <c r="W3959" s="741">
        <f>(P3959*Q3959)*(1+U3959)</f>
        <v>2494.1200426060718</v>
      </c>
    </row>
    <row r="3960" spans="1:25" ht="15" customHeight="1" thickBot="1">
      <c r="A3960" s="392"/>
      <c r="B3960" s="995" t="s">
        <v>102</v>
      </c>
      <c r="C3960" s="995"/>
      <c r="D3960" s="995"/>
      <c r="E3960" s="995"/>
      <c r="F3960" s="392"/>
      <c r="G3960" s="332">
        <f>SUM(G3937:G3959)</f>
        <v>7775</v>
      </c>
      <c r="H3960" s="332">
        <f>SUM(H3937:H3959)</f>
        <v>43475</v>
      </c>
      <c r="I3960" s="332"/>
      <c r="J3960" s="333"/>
      <c r="K3960" s="334"/>
      <c r="L3960" s="335"/>
      <c r="M3960" s="336"/>
      <c r="N3960" s="337"/>
      <c r="O3960" s="353"/>
      <c r="P3960" s="351"/>
      <c r="Q3960" s="299"/>
      <c r="R3960" s="453"/>
      <c r="S3960" s="454"/>
      <c r="T3960" s="454"/>
      <c r="U3960" s="302"/>
      <c r="V3960" s="298">
        <f>AVERAGE(P3938:P3959)</f>
        <v>13821.818181818182</v>
      </c>
      <c r="W3960" s="745"/>
      <c r="Y3960" s="408"/>
    </row>
    <row r="3961" spans="1:25" ht="15" customHeight="1">
      <c r="A3961" s="3">
        <v>41428</v>
      </c>
      <c r="B3961" s="4">
        <v>325</v>
      </c>
      <c r="C3961" s="4">
        <v>66925</v>
      </c>
      <c r="D3961" s="5">
        <v>33125</v>
      </c>
      <c r="E3961" s="5">
        <f t="shared" si="189"/>
        <v>116625</v>
      </c>
      <c r="F3961" s="5">
        <v>217000</v>
      </c>
      <c r="G3961" s="5">
        <v>150</v>
      </c>
      <c r="H3961" s="5">
        <v>2625</v>
      </c>
      <c r="I3961" s="5">
        <v>164400</v>
      </c>
      <c r="J3961" s="263">
        <f t="shared" si="188"/>
        <v>0.75760368663594468</v>
      </c>
      <c r="K3961" s="24">
        <v>2210</v>
      </c>
      <c r="L3961" s="6">
        <v>2207.5</v>
      </c>
      <c r="M3961" s="270">
        <f t="shared" si="181"/>
        <v>-2.5</v>
      </c>
      <c r="O3961" s="431"/>
      <c r="P3961" s="448">
        <v>13910</v>
      </c>
      <c r="Q3961" s="28">
        <f>183.98/1128.1</f>
        <v>0.16308837868983247</v>
      </c>
      <c r="R3961" s="312">
        <f t="shared" si="192"/>
        <v>2268.5593475755695</v>
      </c>
      <c r="S3961" s="313" t="e">
        <f>R3961*#REF!</f>
        <v>#REF!</v>
      </c>
      <c r="T3961" s="313" t="e">
        <f>(R3961+S3961)*U3961</f>
        <v>#REF!</v>
      </c>
      <c r="U3961" s="358">
        <v>0.1</v>
      </c>
      <c r="W3961" s="741">
        <f>(P3961*Q3961)*(1+U3961)</f>
        <v>2495.4152823331265</v>
      </c>
    </row>
    <row r="3962" spans="1:25" ht="15" customHeight="1">
      <c r="A3962" s="3">
        <v>41429</v>
      </c>
      <c r="B3962" s="4">
        <v>325</v>
      </c>
      <c r="C3962" s="4">
        <v>66900</v>
      </c>
      <c r="D3962" s="5">
        <v>32475</v>
      </c>
      <c r="E3962" s="5">
        <f t="shared" si="189"/>
        <v>113850</v>
      </c>
      <c r="F3962" s="5">
        <v>213550</v>
      </c>
      <c r="G3962" s="5">
        <v>200</v>
      </c>
      <c r="H3962" s="5">
        <v>3650</v>
      </c>
      <c r="I3962" s="5">
        <v>161150</v>
      </c>
      <c r="J3962" s="263">
        <f t="shared" si="188"/>
        <v>0.75462420978693512</v>
      </c>
      <c r="K3962" s="24">
        <v>2219</v>
      </c>
      <c r="L3962" s="6">
        <v>2214</v>
      </c>
      <c r="M3962" s="270">
        <f t="shared" si="181"/>
        <v>-5</v>
      </c>
      <c r="O3962" s="422"/>
      <c r="P3962" s="448">
        <v>13950</v>
      </c>
      <c r="Q3962" s="28">
        <f>183.04/1121.8</f>
        <v>0.163166339811018</v>
      </c>
      <c r="R3962" s="312">
        <f t="shared" si="192"/>
        <v>2276.1704403637009</v>
      </c>
      <c r="S3962" s="313" t="e">
        <f>R3962*#REF!</f>
        <v>#REF!</v>
      </c>
      <c r="T3962" s="313" t="e">
        <f>(R3962+S3962)*U3962</f>
        <v>#REF!</v>
      </c>
      <c r="U3962" s="358">
        <v>0.1</v>
      </c>
      <c r="W3962" s="741">
        <f>(P3962*Q3962)*(1+U3962)</f>
        <v>2503.7874844000712</v>
      </c>
    </row>
    <row r="3963" spans="1:25" ht="15" customHeight="1">
      <c r="A3963" s="3">
        <v>41430</v>
      </c>
      <c r="B3963" s="451">
        <v>325</v>
      </c>
      <c r="C3963" s="451">
        <v>66075</v>
      </c>
      <c r="D3963" s="451">
        <v>31950</v>
      </c>
      <c r="E3963" s="451">
        <f t="shared" si="189"/>
        <v>112050</v>
      </c>
      <c r="F3963" s="451">
        <v>210400</v>
      </c>
      <c r="G3963" s="451">
        <v>50</v>
      </c>
      <c r="H3963" s="451">
        <v>3200</v>
      </c>
      <c r="I3963" s="5">
        <v>157950</v>
      </c>
      <c r="J3963" s="263">
        <f t="shared" si="188"/>
        <v>0.75071292775665399</v>
      </c>
      <c r="K3963" s="24">
        <v>2246.5</v>
      </c>
      <c r="L3963" s="6">
        <v>2244.5</v>
      </c>
      <c r="M3963" s="270">
        <f t="shared" si="181"/>
        <v>-2</v>
      </c>
      <c r="O3963" s="422"/>
      <c r="P3963" s="448">
        <v>14020</v>
      </c>
      <c r="Q3963" s="1001" t="s">
        <v>146</v>
      </c>
      <c r="R3963" s="1001"/>
      <c r="S3963" s="1001"/>
      <c r="T3963" s="1001"/>
      <c r="U3963" s="1001"/>
    </row>
    <row r="3964" spans="1:25" ht="15" customHeight="1">
      <c r="A3964" s="3">
        <v>41431</v>
      </c>
      <c r="B3964" s="4">
        <v>325</v>
      </c>
      <c r="C3964" s="4">
        <v>65400</v>
      </c>
      <c r="D3964" s="5">
        <v>31475</v>
      </c>
      <c r="E3964" s="5">
        <f t="shared" si="189"/>
        <v>110550</v>
      </c>
      <c r="F3964" s="5">
        <v>207750</v>
      </c>
      <c r="G3964" s="452">
        <v>0</v>
      </c>
      <c r="H3964" s="452">
        <v>2650</v>
      </c>
      <c r="I3964" s="5">
        <v>155300</v>
      </c>
      <c r="J3964" s="263">
        <f t="shared" si="188"/>
        <v>0.74753309265944645</v>
      </c>
      <c r="K3964" s="24">
        <v>2205.5</v>
      </c>
      <c r="L3964" s="6">
        <v>2206</v>
      </c>
      <c r="M3964" s="270">
        <f t="shared" si="181"/>
        <v>0.5</v>
      </c>
      <c r="N3964" s="429"/>
      <c r="O3964" s="430"/>
      <c r="P3964" s="448">
        <v>14020</v>
      </c>
      <c r="Q3964" s="28">
        <f>182.39/1119.2</f>
        <v>0.16296461758398856</v>
      </c>
      <c r="R3964" s="312">
        <f>P3964*Q3964</f>
        <v>2284.7639385275197</v>
      </c>
      <c r="S3964" s="313" t="e">
        <f>R3964*#REF!</f>
        <v>#REF!</v>
      </c>
      <c r="T3964" s="313" t="e">
        <f>(R3964+S3964)*U3964</f>
        <v>#REF!</v>
      </c>
      <c r="U3964" s="358">
        <v>0.1</v>
      </c>
      <c r="W3964" s="741">
        <f>(P3964*Q3964)*(1+U3964)</f>
        <v>2513.2403323802719</v>
      </c>
    </row>
    <row r="3965" spans="1:25" ht="15" customHeight="1">
      <c r="A3965" s="3">
        <v>41432</v>
      </c>
      <c r="B3965" s="456">
        <v>325</v>
      </c>
      <c r="C3965" s="456">
        <v>65100</v>
      </c>
      <c r="D3965" s="457">
        <v>31500</v>
      </c>
      <c r="E3965" s="457">
        <f t="shared" si="189"/>
        <v>108300</v>
      </c>
      <c r="F3965" s="5">
        <v>205225</v>
      </c>
      <c r="G3965" s="452">
        <v>1125</v>
      </c>
      <c r="H3965" s="452">
        <v>3650</v>
      </c>
      <c r="I3965" s="5">
        <v>151650</v>
      </c>
      <c r="J3965" s="263">
        <f t="shared" si="188"/>
        <v>0.73894506029967111</v>
      </c>
      <c r="K3965" s="24">
        <v>2188</v>
      </c>
      <c r="L3965" s="6">
        <v>2192</v>
      </c>
      <c r="M3965" s="270">
        <f t="shared" si="181"/>
        <v>4</v>
      </c>
      <c r="O3965" s="422"/>
      <c r="P3965" s="448">
        <v>13990</v>
      </c>
      <c r="Q3965" s="28">
        <f>181.2/1111.4</f>
        <v>0.16303761022134242</v>
      </c>
      <c r="R3965" s="312">
        <f t="shared" ref="R3965:R3990" si="193">P3965*Q3965</f>
        <v>2280.8961669965802</v>
      </c>
      <c r="S3965" s="313" t="e">
        <f>R3965*#REF!</f>
        <v>#REF!</v>
      </c>
      <c r="T3965" s="313" t="e">
        <f>(R3965+S3965)*U3965</f>
        <v>#REF!</v>
      </c>
      <c r="U3965" s="358">
        <v>0.1</v>
      </c>
      <c r="W3965" s="741">
        <f>(P3965*Q3965)*(1+U3965)</f>
        <v>2508.9857836962383</v>
      </c>
    </row>
    <row r="3966" spans="1:25" ht="15" customHeight="1">
      <c r="A3966" s="3">
        <v>41435</v>
      </c>
      <c r="B3966" s="4">
        <v>325</v>
      </c>
      <c r="C3966" s="4">
        <v>64225</v>
      </c>
      <c r="D3966" s="5">
        <v>31000</v>
      </c>
      <c r="E3966" s="5">
        <f t="shared" si="189"/>
        <v>111800</v>
      </c>
      <c r="F3966" s="5">
        <v>207350</v>
      </c>
      <c r="G3966" s="5">
        <v>2625</v>
      </c>
      <c r="H3966" s="5">
        <v>500</v>
      </c>
      <c r="I3966" s="5">
        <v>151225</v>
      </c>
      <c r="J3966" s="263">
        <f t="shared" si="188"/>
        <v>0.72932240173619489</v>
      </c>
      <c r="K3966" s="24">
        <v>2123</v>
      </c>
      <c r="L3966" s="6">
        <v>2132.5</v>
      </c>
      <c r="M3966" s="270">
        <f t="shared" si="181"/>
        <v>9.5</v>
      </c>
      <c r="Q3966" s="1001" t="s">
        <v>146</v>
      </c>
      <c r="R3966" s="1001"/>
      <c r="S3966" s="1001"/>
      <c r="T3966" s="1001"/>
      <c r="U3966" s="1001"/>
    </row>
    <row r="3967" spans="1:25" ht="15" customHeight="1">
      <c r="A3967" s="3">
        <v>41436</v>
      </c>
      <c r="B3967" s="4">
        <v>325</v>
      </c>
      <c r="C3967" s="4">
        <v>64225</v>
      </c>
      <c r="D3967" s="5">
        <v>30525</v>
      </c>
      <c r="E3967" s="5">
        <f t="shared" si="189"/>
        <v>107475</v>
      </c>
      <c r="F3967" s="5">
        <v>202550</v>
      </c>
      <c r="G3967" s="5">
        <v>150</v>
      </c>
      <c r="H3967" s="5">
        <v>4950</v>
      </c>
      <c r="I3967" s="5">
        <v>146275</v>
      </c>
      <c r="J3967" s="263">
        <f t="shared" si="188"/>
        <v>0.7221673660824488</v>
      </c>
      <c r="K3967" s="24">
        <v>2129</v>
      </c>
      <c r="L3967" s="6">
        <v>2140</v>
      </c>
      <c r="M3967" s="270">
        <f t="shared" si="181"/>
        <v>11</v>
      </c>
      <c r="O3967" s="422"/>
      <c r="Q3967" s="1001"/>
      <c r="R3967" s="1001"/>
      <c r="S3967" s="1001"/>
      <c r="T3967" s="1001"/>
      <c r="U3967" s="1001"/>
    </row>
    <row r="3968" spans="1:25" ht="15" customHeight="1">
      <c r="A3968" s="3">
        <v>41437</v>
      </c>
      <c r="B3968" s="4">
        <v>325</v>
      </c>
      <c r="C3968" s="4">
        <v>63750</v>
      </c>
      <c r="D3968" s="5">
        <v>30000</v>
      </c>
      <c r="E3968" s="5">
        <f t="shared" si="189"/>
        <v>106250</v>
      </c>
      <c r="F3968" s="5">
        <v>200325</v>
      </c>
      <c r="G3968" s="5">
        <v>300</v>
      </c>
      <c r="H3968" s="5">
        <v>2525</v>
      </c>
      <c r="I3968" s="5">
        <v>144325</v>
      </c>
      <c r="J3968" s="263">
        <f t="shared" si="188"/>
        <v>0.72045426182453509</v>
      </c>
      <c r="K3968" s="24">
        <v>2133</v>
      </c>
      <c r="L3968" s="6">
        <v>2138.5</v>
      </c>
      <c r="M3968" s="270">
        <f t="shared" si="181"/>
        <v>5.5</v>
      </c>
      <c r="Q3968" s="1001"/>
      <c r="R3968" s="1001"/>
      <c r="S3968" s="1001"/>
      <c r="T3968" s="1001"/>
      <c r="U3968" s="1001"/>
    </row>
    <row r="3969" spans="1:23" ht="15" customHeight="1">
      <c r="A3969" s="3">
        <v>41438</v>
      </c>
      <c r="B3969" s="4">
        <v>325</v>
      </c>
      <c r="C3969" s="4">
        <v>63750</v>
      </c>
      <c r="D3969" s="5">
        <v>29500</v>
      </c>
      <c r="E3969" s="5">
        <f t="shared" si="189"/>
        <v>106400</v>
      </c>
      <c r="F3969" s="5">
        <v>199975</v>
      </c>
      <c r="G3969" s="5">
        <v>2150</v>
      </c>
      <c r="H3969" s="5">
        <v>2500</v>
      </c>
      <c r="I3969" s="5">
        <v>141825</v>
      </c>
      <c r="J3969" s="263">
        <f t="shared" si="188"/>
        <v>0.70921365170646333</v>
      </c>
      <c r="K3969" s="24">
        <v>2092</v>
      </c>
      <c r="L3969" s="6">
        <v>2098</v>
      </c>
      <c r="M3969" s="270">
        <f t="shared" si="181"/>
        <v>6</v>
      </c>
      <c r="P3969" s="448">
        <v>13990</v>
      </c>
      <c r="Q3969" s="28">
        <f>184.99/1134.8</f>
        <v>0.16301550934085302</v>
      </c>
      <c r="R3969" s="312">
        <f t="shared" si="193"/>
        <v>2280.5869756785337</v>
      </c>
      <c r="S3969" s="313" t="e">
        <f>R3969*#REF!</f>
        <v>#REF!</v>
      </c>
      <c r="T3969" s="313" t="e">
        <f t="shared" ref="T3969:T3980" si="194">(R3969+S3969)*U3969</f>
        <v>#REF!</v>
      </c>
      <c r="U3969" s="358">
        <v>0.1</v>
      </c>
      <c r="W3969" s="741">
        <f t="shared" ref="W3969:W3979" si="195">(P3969*Q3969)*(1+U3969)</f>
        <v>2508.6456732463871</v>
      </c>
    </row>
    <row r="3970" spans="1:23" ht="15" customHeight="1">
      <c r="A3970" s="3">
        <v>41439</v>
      </c>
      <c r="B3970" s="4">
        <v>325</v>
      </c>
      <c r="C3970" s="4">
        <v>63750</v>
      </c>
      <c r="D3970" s="5">
        <v>28975</v>
      </c>
      <c r="E3970" s="5">
        <f t="shared" si="189"/>
        <v>104300</v>
      </c>
      <c r="F3970" s="5">
        <v>197350</v>
      </c>
      <c r="G3970" s="5">
        <v>0</v>
      </c>
      <c r="H3970" s="5">
        <v>2625</v>
      </c>
      <c r="I3970" s="5">
        <v>139200</v>
      </c>
      <c r="J3970" s="263">
        <f t="shared" si="188"/>
        <v>0.70534583227767922</v>
      </c>
      <c r="K3970" s="24">
        <v>2100</v>
      </c>
      <c r="L3970" s="6">
        <v>2109</v>
      </c>
      <c r="M3970" s="270">
        <f t="shared" si="181"/>
        <v>9</v>
      </c>
      <c r="O3970" s="422"/>
      <c r="P3970" s="448">
        <v>13940</v>
      </c>
      <c r="Q3970" s="28">
        <f>184.02/1128.2</f>
        <v>0.16310937776989895</v>
      </c>
      <c r="R3970" s="312">
        <f t="shared" si="193"/>
        <v>2273.7447261123912</v>
      </c>
      <c r="S3970" s="313" t="e">
        <f>R3970*#REF!</f>
        <v>#REF!</v>
      </c>
      <c r="T3970" s="313" t="e">
        <f t="shared" si="194"/>
        <v>#REF!</v>
      </c>
      <c r="U3970" s="358">
        <v>0.1</v>
      </c>
      <c r="W3970" s="741">
        <f t="shared" si="195"/>
        <v>2501.1191987236307</v>
      </c>
    </row>
    <row r="3971" spans="1:23" ht="15" customHeight="1">
      <c r="A3971" s="3">
        <v>41442</v>
      </c>
      <c r="B3971" s="4">
        <v>325</v>
      </c>
      <c r="C3971" s="4">
        <v>63450</v>
      </c>
      <c r="D3971" s="5">
        <v>28475</v>
      </c>
      <c r="E3971" s="5">
        <f t="shared" si="189"/>
        <v>100350</v>
      </c>
      <c r="F3971" s="5">
        <v>192600</v>
      </c>
      <c r="G3971" s="5">
        <v>150</v>
      </c>
      <c r="H3971" s="5">
        <v>4900</v>
      </c>
      <c r="I3971" s="5">
        <v>134300</v>
      </c>
      <c r="J3971" s="263">
        <f t="shared" si="188"/>
        <v>0.6973001038421599</v>
      </c>
      <c r="K3971" s="24">
        <v>2099.5</v>
      </c>
      <c r="L3971" s="6">
        <v>2105.5</v>
      </c>
      <c r="M3971" s="270">
        <f t="shared" si="181"/>
        <v>6</v>
      </c>
      <c r="P3971" s="448">
        <v>13940</v>
      </c>
      <c r="Q3971" s="28">
        <f>184.16/1128</f>
        <v>0.16326241134751773</v>
      </c>
      <c r="R3971" s="312">
        <f t="shared" si="193"/>
        <v>2275.8780141843972</v>
      </c>
      <c r="S3971" s="313" t="e">
        <f>R3971*#REF!</f>
        <v>#REF!</v>
      </c>
      <c r="T3971" s="313" t="e">
        <f t="shared" si="194"/>
        <v>#REF!</v>
      </c>
      <c r="U3971" s="358">
        <v>0.1</v>
      </c>
      <c r="W3971" s="741">
        <f t="shared" si="195"/>
        <v>2503.4658156028372</v>
      </c>
    </row>
    <row r="3972" spans="1:23" ht="15" customHeight="1">
      <c r="A3972" s="3">
        <v>41443</v>
      </c>
      <c r="B3972" s="4">
        <v>325</v>
      </c>
      <c r="C3972" s="4">
        <v>61250</v>
      </c>
      <c r="D3972" s="5">
        <v>28000</v>
      </c>
      <c r="E3972" s="5">
        <f t="shared" si="189"/>
        <v>99475</v>
      </c>
      <c r="F3972" s="5">
        <v>189050</v>
      </c>
      <c r="G3972" s="5">
        <v>0</v>
      </c>
      <c r="H3972" s="5">
        <v>3550</v>
      </c>
      <c r="I3972" s="5">
        <v>130750</v>
      </c>
      <c r="J3972" s="263">
        <f t="shared" si="188"/>
        <v>0.69161597460989155</v>
      </c>
      <c r="K3972" s="24">
        <v>2076</v>
      </c>
      <c r="L3972" s="6">
        <v>2084</v>
      </c>
      <c r="M3972" s="270">
        <f t="shared" si="181"/>
        <v>8</v>
      </c>
      <c r="P3972" s="448">
        <v>13920</v>
      </c>
      <c r="Q3972" s="28">
        <f>184.37/1129.9</f>
        <v>0.16317373218868925</v>
      </c>
      <c r="R3972" s="312">
        <f t="shared" si="193"/>
        <v>2271.3783520665543</v>
      </c>
      <c r="S3972" s="313" t="e">
        <f>R3972*#REF!</f>
        <v>#REF!</v>
      </c>
      <c r="T3972" s="313" t="e">
        <f t="shared" si="194"/>
        <v>#REF!</v>
      </c>
      <c r="U3972" s="358">
        <v>0.1</v>
      </c>
      <c r="W3972" s="741">
        <f t="shared" si="195"/>
        <v>2498.5161872732101</v>
      </c>
    </row>
    <row r="3973" spans="1:23" ht="15" customHeight="1">
      <c r="A3973" s="3">
        <v>41444</v>
      </c>
      <c r="B3973" s="4">
        <v>325</v>
      </c>
      <c r="C3973" s="4">
        <v>59250</v>
      </c>
      <c r="D3973" s="5">
        <v>27475</v>
      </c>
      <c r="E3973" s="5">
        <f t="shared" si="189"/>
        <v>117575</v>
      </c>
      <c r="F3973" s="5">
        <v>204625</v>
      </c>
      <c r="G3973" s="5">
        <v>20675</v>
      </c>
      <c r="H3973" s="5">
        <v>5100</v>
      </c>
      <c r="I3973" s="5">
        <v>125650</v>
      </c>
      <c r="J3973" s="263">
        <f t="shared" si="188"/>
        <v>0.61405009163103241</v>
      </c>
      <c r="K3973" s="24">
        <v>2082</v>
      </c>
      <c r="L3973" s="6">
        <v>2091.5</v>
      </c>
      <c r="M3973" s="270">
        <f t="shared" si="181"/>
        <v>9.5</v>
      </c>
      <c r="N3973" s="429"/>
      <c r="P3973" s="448">
        <v>13910</v>
      </c>
      <c r="Q3973" s="28">
        <f>184.92/1133</f>
        <v>0.1632127096204766</v>
      </c>
      <c r="R3973" s="312">
        <f t="shared" si="193"/>
        <v>2270.2887908208295</v>
      </c>
      <c r="S3973" s="313" t="e">
        <f>R3973*#REF!</f>
        <v>#REF!</v>
      </c>
      <c r="T3973" s="313" t="e">
        <f t="shared" si="194"/>
        <v>#REF!</v>
      </c>
      <c r="U3973" s="358">
        <v>0.1</v>
      </c>
      <c r="W3973" s="741">
        <f t="shared" si="195"/>
        <v>2497.3176699029127</v>
      </c>
    </row>
    <row r="3974" spans="1:23" ht="15" customHeight="1">
      <c r="A3974" s="3">
        <v>41445</v>
      </c>
      <c r="B3974" s="4">
        <v>325</v>
      </c>
      <c r="C3974" s="4">
        <v>77450</v>
      </c>
      <c r="D3974" s="5">
        <v>27175</v>
      </c>
      <c r="E3974" s="5">
        <f t="shared" si="189"/>
        <v>98175</v>
      </c>
      <c r="F3974" s="5">
        <v>203125</v>
      </c>
      <c r="G3974" s="5">
        <v>0</v>
      </c>
      <c r="H3974" s="5">
        <v>1500</v>
      </c>
      <c r="I3974" s="5">
        <v>122000</v>
      </c>
      <c r="J3974" s="263">
        <f t="shared" si="188"/>
        <v>0.60061538461538466</v>
      </c>
      <c r="K3974" s="24">
        <v>2009</v>
      </c>
      <c r="L3974" s="6">
        <v>2017.5</v>
      </c>
      <c r="M3974" s="270">
        <f t="shared" si="181"/>
        <v>8.5</v>
      </c>
      <c r="P3974" s="448">
        <v>13880</v>
      </c>
      <c r="Q3974" s="28">
        <f>186.78/1144.6</f>
        <v>0.16318364494146428</v>
      </c>
      <c r="R3974" s="312">
        <f t="shared" si="193"/>
        <v>2264.9889917875244</v>
      </c>
      <c r="S3974" s="313" t="e">
        <f>R3974*#REF!</f>
        <v>#REF!</v>
      </c>
      <c r="T3974" s="313" t="e">
        <f t="shared" si="194"/>
        <v>#REF!</v>
      </c>
      <c r="U3974" s="358">
        <v>0.1</v>
      </c>
      <c r="W3974" s="741">
        <f t="shared" si="195"/>
        <v>2491.4878909662771</v>
      </c>
    </row>
    <row r="3975" spans="1:23" ht="15" customHeight="1">
      <c r="A3975" s="3">
        <v>41446</v>
      </c>
      <c r="B3975" s="4">
        <v>325</v>
      </c>
      <c r="C3975" s="4">
        <v>77400</v>
      </c>
      <c r="D3975" s="5">
        <v>27175</v>
      </c>
      <c r="E3975" s="5">
        <f t="shared" si="189"/>
        <v>94125</v>
      </c>
      <c r="F3975" s="5">
        <v>199025</v>
      </c>
      <c r="G3975" s="5">
        <v>0</v>
      </c>
      <c r="H3975" s="5">
        <v>4100</v>
      </c>
      <c r="I3975" s="5">
        <v>117900</v>
      </c>
      <c r="J3975" s="263">
        <f t="shared" si="188"/>
        <v>0.59238789096847133</v>
      </c>
      <c r="K3975" s="24">
        <v>2017</v>
      </c>
      <c r="L3975" s="6">
        <v>2026</v>
      </c>
      <c r="M3975" s="270">
        <f t="shared" si="181"/>
        <v>9</v>
      </c>
      <c r="P3975" s="448">
        <v>13880</v>
      </c>
      <c r="Q3975" s="28">
        <f>188.41/1155.6</f>
        <v>0.16304084458290066</v>
      </c>
      <c r="R3975" s="312">
        <f t="shared" si="193"/>
        <v>2263.0069228106613</v>
      </c>
      <c r="S3975" s="313" t="e">
        <f>R3975*#REF!</f>
        <v>#REF!</v>
      </c>
      <c r="T3975" s="313" t="e">
        <f t="shared" si="194"/>
        <v>#REF!</v>
      </c>
      <c r="U3975" s="358">
        <v>0.1</v>
      </c>
      <c r="W3975" s="741">
        <f t="shared" si="195"/>
        <v>2489.3076150917277</v>
      </c>
    </row>
    <row r="3976" spans="1:23" ht="15" customHeight="1">
      <c r="A3976" s="3">
        <v>41449</v>
      </c>
      <c r="B3976" s="4">
        <v>325</v>
      </c>
      <c r="C3976" s="4">
        <v>75400</v>
      </c>
      <c r="D3976" s="5">
        <v>27125</v>
      </c>
      <c r="E3976" s="5">
        <f t="shared" si="189"/>
        <v>93025</v>
      </c>
      <c r="F3976" s="5">
        <v>195875</v>
      </c>
      <c r="G3976" s="5">
        <v>0</v>
      </c>
      <c r="H3976" s="5">
        <v>3150</v>
      </c>
      <c r="I3976" s="5">
        <v>114750</v>
      </c>
      <c r="J3976" s="263">
        <f t="shared" si="188"/>
        <v>0.58583280153158901</v>
      </c>
      <c r="K3976" s="24">
        <v>1996</v>
      </c>
      <c r="L3976" s="6">
        <v>2003</v>
      </c>
      <c r="M3976" s="270">
        <f t="shared" si="181"/>
        <v>7</v>
      </c>
      <c r="P3976" s="448">
        <v>13820</v>
      </c>
      <c r="Q3976" s="28">
        <f>188.3/1157.1</f>
        <v>0.16273442226255297</v>
      </c>
      <c r="R3976" s="312">
        <f t="shared" si="193"/>
        <v>2248.9897156684819</v>
      </c>
      <c r="S3976" s="313" t="e">
        <f>R3976*#REF!</f>
        <v>#REF!</v>
      </c>
      <c r="T3976" s="313" t="e">
        <f t="shared" si="194"/>
        <v>#REF!</v>
      </c>
      <c r="U3976" s="358">
        <v>0.1</v>
      </c>
      <c r="W3976" s="741">
        <f t="shared" si="195"/>
        <v>2473.8886872353305</v>
      </c>
    </row>
    <row r="3977" spans="1:23" ht="15" customHeight="1">
      <c r="A3977" s="3">
        <v>41450</v>
      </c>
      <c r="B3977" s="4">
        <v>325</v>
      </c>
      <c r="C3977" s="4">
        <v>72800</v>
      </c>
      <c r="D3977" s="5">
        <v>27075</v>
      </c>
      <c r="E3977" s="5">
        <f t="shared" si="189"/>
        <v>94000</v>
      </c>
      <c r="F3977" s="5">
        <v>194200</v>
      </c>
      <c r="G3977" s="5">
        <v>0</v>
      </c>
      <c r="H3977" s="5">
        <v>1675</v>
      </c>
      <c r="I3977" s="5">
        <v>113075</v>
      </c>
      <c r="J3977" s="263">
        <f t="shared" si="188"/>
        <v>0.58226055612770344</v>
      </c>
      <c r="K3977" s="24">
        <v>2023</v>
      </c>
      <c r="L3977" s="6">
        <v>2028</v>
      </c>
      <c r="M3977" s="270">
        <f t="shared" si="181"/>
        <v>5</v>
      </c>
      <c r="P3977" s="448">
        <v>13740</v>
      </c>
      <c r="Q3977" s="28">
        <f>188.62/1159.1</f>
        <v>0.16272970408075232</v>
      </c>
      <c r="R3977" s="312">
        <f t="shared" si="193"/>
        <v>2235.9061340695371</v>
      </c>
      <c r="S3977" s="313" t="e">
        <f>R3977*#REF!</f>
        <v>#REF!</v>
      </c>
      <c r="T3977" s="313" t="e">
        <f t="shared" si="194"/>
        <v>#REF!</v>
      </c>
      <c r="U3977" s="358">
        <v>0.1</v>
      </c>
      <c r="W3977" s="741">
        <f t="shared" si="195"/>
        <v>2459.4967474764908</v>
      </c>
    </row>
    <row r="3978" spans="1:23" ht="15" customHeight="1">
      <c r="A3978" s="3">
        <v>41451</v>
      </c>
      <c r="B3978" s="4">
        <v>325</v>
      </c>
      <c r="C3978" s="4">
        <v>71275</v>
      </c>
      <c r="D3978" s="5">
        <v>26975</v>
      </c>
      <c r="E3978" s="5">
        <f t="shared" si="189"/>
        <v>96025</v>
      </c>
      <c r="F3978" s="5">
        <v>194600</v>
      </c>
      <c r="G3978" s="5">
        <v>500</v>
      </c>
      <c r="H3978" s="5">
        <v>100</v>
      </c>
      <c r="I3978" s="5">
        <v>112975</v>
      </c>
      <c r="J3978" s="263">
        <f t="shared" si="188"/>
        <v>0.5805498458376156</v>
      </c>
      <c r="K3978" s="24">
        <v>2032</v>
      </c>
      <c r="L3978" s="6">
        <v>2039</v>
      </c>
      <c r="M3978" s="270">
        <f t="shared" si="181"/>
        <v>7</v>
      </c>
      <c r="P3978" s="448">
        <v>13740</v>
      </c>
      <c r="Q3978" s="28">
        <f>187.64/1153.4</f>
        <v>0.16268423790532335</v>
      </c>
      <c r="R3978" s="312">
        <f t="shared" si="193"/>
        <v>2235.281428819143</v>
      </c>
      <c r="S3978" s="313" t="e">
        <f>R3978*#REF!</f>
        <v>#REF!</v>
      </c>
      <c r="T3978" s="313" t="e">
        <f t="shared" si="194"/>
        <v>#REF!</v>
      </c>
      <c r="U3978" s="358">
        <v>0.1</v>
      </c>
      <c r="W3978" s="741">
        <f t="shared" si="195"/>
        <v>2458.8095717010574</v>
      </c>
    </row>
    <row r="3979" spans="1:23" ht="15" customHeight="1">
      <c r="A3979" s="3">
        <v>41452</v>
      </c>
      <c r="B3979" s="4">
        <v>325</v>
      </c>
      <c r="C3979" s="4">
        <v>71275</v>
      </c>
      <c r="D3979" s="5">
        <v>26925</v>
      </c>
      <c r="E3979" s="5">
        <f t="shared" si="189"/>
        <v>99475</v>
      </c>
      <c r="F3979" s="5">
        <v>198000</v>
      </c>
      <c r="G3979" s="5">
        <v>3450</v>
      </c>
      <c r="H3979" s="5">
        <v>50</v>
      </c>
      <c r="I3979" s="5">
        <v>112925</v>
      </c>
      <c r="J3979" s="263">
        <f t="shared" si="188"/>
        <v>0.57032828282828285</v>
      </c>
      <c r="K3979" s="24">
        <v>2038</v>
      </c>
      <c r="L3979" s="6">
        <v>2043</v>
      </c>
      <c r="M3979" s="270">
        <f t="shared" si="181"/>
        <v>5</v>
      </c>
      <c r="P3979" s="448">
        <v>13760</v>
      </c>
      <c r="Q3979" s="28">
        <f>186.97/1149.7</f>
        <v>0.16262503261720448</v>
      </c>
      <c r="R3979" s="312">
        <f t="shared" si="193"/>
        <v>2237.7204488127336</v>
      </c>
      <c r="S3979" s="313" t="e">
        <f>R3979*#REF!</f>
        <v>#REF!</v>
      </c>
      <c r="T3979" s="313" t="e">
        <f t="shared" si="194"/>
        <v>#REF!</v>
      </c>
      <c r="U3979" s="358">
        <v>0.1</v>
      </c>
      <c r="W3979" s="741">
        <f t="shared" si="195"/>
        <v>2461.492493694007</v>
      </c>
    </row>
    <row r="3980" spans="1:23" ht="15" customHeight="1">
      <c r="A3980" s="3">
        <v>41453</v>
      </c>
      <c r="B3980" s="4">
        <v>325</v>
      </c>
      <c r="C3980" s="4">
        <v>74225</v>
      </c>
      <c r="D3980" s="5">
        <v>26825</v>
      </c>
      <c r="E3980" s="5">
        <f t="shared" si="189"/>
        <v>96925</v>
      </c>
      <c r="F3980" s="5">
        <v>198300</v>
      </c>
      <c r="G3980" s="5">
        <v>500</v>
      </c>
      <c r="H3980" s="5">
        <v>200</v>
      </c>
      <c r="I3980" s="5">
        <v>112725</v>
      </c>
      <c r="J3980" s="263">
        <f t="shared" si="188"/>
        <v>0.56845688350983359</v>
      </c>
      <c r="K3980" s="24">
        <v>2058</v>
      </c>
      <c r="L3980" s="6">
        <v>2065.5</v>
      </c>
      <c r="M3980" s="270">
        <f t="shared" si="181"/>
        <v>7.5</v>
      </c>
      <c r="N3980" s="420">
        <f>AVERAGE(K3961:K3980)</f>
        <v>2103.8249999999998</v>
      </c>
      <c r="O3980" s="410">
        <f>AVERAGE(K3848:K3980)</f>
        <v>2177.3024193548385</v>
      </c>
      <c r="P3980" s="448">
        <v>13740</v>
      </c>
      <c r="Q3980" s="28">
        <f>186.6/1145.3</f>
        <v>0.16292674408451935</v>
      </c>
      <c r="R3980" s="312">
        <f t="shared" si="193"/>
        <v>2238.6134637212958</v>
      </c>
      <c r="S3980" s="313" t="e">
        <f>R3980*#REF!</f>
        <v>#REF!</v>
      </c>
      <c r="T3980" s="313" t="e">
        <f t="shared" si="194"/>
        <v>#REF!</v>
      </c>
      <c r="U3980" s="358">
        <v>0.1</v>
      </c>
      <c r="W3980" s="741">
        <f t="shared" ref="W3980:W4003" si="196">(P3980*Q3980)*(1+U3980)</f>
        <v>2462.4748100934257</v>
      </c>
    </row>
    <row r="3981" spans="1:23" ht="15" customHeight="1" thickBot="1">
      <c r="A3981" s="392"/>
      <c r="B3981" s="995"/>
      <c r="C3981" s="995"/>
      <c r="D3981" s="995"/>
      <c r="E3981" s="995"/>
      <c r="F3981" s="392"/>
      <c r="G3981" s="332"/>
      <c r="H3981" s="332"/>
      <c r="I3981" s="332"/>
      <c r="J3981" s="333"/>
      <c r="K3981" s="334"/>
      <c r="L3981" s="335"/>
      <c r="M3981" s="336"/>
      <c r="N3981" s="337"/>
      <c r="O3981" s="353"/>
      <c r="P3981" s="350"/>
      <c r="Q3981" s="299"/>
      <c r="R3981" s="453"/>
      <c r="S3981" s="454"/>
      <c r="T3981" s="454"/>
      <c r="U3981" s="302"/>
      <c r="V3981" s="298">
        <f>AVERAGE(P3961:P3980)</f>
        <v>13891.176470588236</v>
      </c>
      <c r="W3981" s="750"/>
    </row>
    <row r="3982" spans="1:23" ht="15" customHeight="1">
      <c r="A3982" s="3">
        <v>41456</v>
      </c>
      <c r="B3982" s="4">
        <v>325</v>
      </c>
      <c r="C3982" s="4">
        <v>74225</v>
      </c>
      <c r="D3982" s="5">
        <v>26725</v>
      </c>
      <c r="E3982" s="5">
        <f t="shared" ref="E3982:E4004" si="197">F3982-(D3982+C3982+B3982)</f>
        <v>96925</v>
      </c>
      <c r="F3982" s="5">
        <v>198200</v>
      </c>
      <c r="G3982" s="5">
        <v>0</v>
      </c>
      <c r="H3982" s="5">
        <v>100</v>
      </c>
      <c r="I3982" s="5">
        <v>112625</v>
      </c>
      <c r="J3982" s="263">
        <f t="shared" ref="J3982:J4027" si="198">I3982/F3982</f>
        <v>0.56823915237134204</v>
      </c>
      <c r="K3982" s="24">
        <v>2059</v>
      </c>
      <c r="L3982" s="6">
        <v>2071</v>
      </c>
      <c r="M3982" s="270">
        <f t="shared" ref="M3982:M4004" si="199">L3982-K3982</f>
        <v>12</v>
      </c>
      <c r="P3982" s="448">
        <v>13760</v>
      </c>
      <c r="Q3982" s="28">
        <f>185.38/1136.9</f>
        <v>0.16305743688978799</v>
      </c>
      <c r="R3982" s="312">
        <f t="shared" si="193"/>
        <v>2243.6703316034827</v>
      </c>
      <c r="S3982" s="313" t="e">
        <f>R3982*#REF!</f>
        <v>#REF!</v>
      </c>
      <c r="T3982" s="313" t="e">
        <f t="shared" ref="T3982:T4004" si="200">(R3982+S3982)*U3982</f>
        <v>#REF!</v>
      </c>
      <c r="U3982" s="358">
        <v>0.1</v>
      </c>
      <c r="W3982" s="741">
        <f t="shared" si="196"/>
        <v>2468.0373647638312</v>
      </c>
    </row>
    <row r="3983" spans="1:23" ht="15" customHeight="1">
      <c r="A3983" s="3">
        <v>41457</v>
      </c>
      <c r="B3983" s="4">
        <v>325</v>
      </c>
      <c r="C3983" s="4">
        <v>74225</v>
      </c>
      <c r="D3983" s="5">
        <v>26625</v>
      </c>
      <c r="E3983" s="5">
        <f t="shared" si="197"/>
        <v>96875</v>
      </c>
      <c r="F3983" s="5">
        <v>198050</v>
      </c>
      <c r="G3983" s="5">
        <v>0</v>
      </c>
      <c r="H3983" s="5">
        <v>150</v>
      </c>
      <c r="I3983" s="5">
        <v>112475</v>
      </c>
      <c r="J3983" s="263">
        <f t="shared" si="198"/>
        <v>0.56791214339813179</v>
      </c>
      <c r="K3983" s="24">
        <v>2088</v>
      </c>
      <c r="L3983" s="6">
        <v>2098</v>
      </c>
      <c r="M3983" s="270">
        <f t="shared" si="199"/>
        <v>10</v>
      </c>
      <c r="P3983" s="448">
        <v>13840</v>
      </c>
      <c r="Q3983" s="28">
        <f>184.72/1132.9</f>
        <v>0.1630505781622385</v>
      </c>
      <c r="R3983" s="312">
        <f t="shared" si="193"/>
        <v>2256.6200017653809</v>
      </c>
      <c r="S3983" s="313" t="e">
        <f>R3983*#REF!</f>
        <v>#REF!</v>
      </c>
      <c r="T3983" s="313" t="e">
        <f t="shared" si="200"/>
        <v>#REF!</v>
      </c>
      <c r="U3983" s="358">
        <v>0.1</v>
      </c>
      <c r="W3983" s="741">
        <f t="shared" si="196"/>
        <v>2482.2820019419191</v>
      </c>
    </row>
    <row r="3984" spans="1:23" ht="15" customHeight="1">
      <c r="A3984" s="3">
        <v>41458</v>
      </c>
      <c r="B3984" s="4">
        <v>325</v>
      </c>
      <c r="C3984" s="4">
        <v>74175</v>
      </c>
      <c r="D3984" s="5">
        <v>26600</v>
      </c>
      <c r="E3984" s="5">
        <f t="shared" si="197"/>
        <v>96650</v>
      </c>
      <c r="F3984" s="5">
        <v>197750</v>
      </c>
      <c r="G3984" s="5">
        <v>0</v>
      </c>
      <c r="H3984" s="5">
        <v>300</v>
      </c>
      <c r="I3984" s="5">
        <v>112175</v>
      </c>
      <c r="J3984" s="263">
        <f t="shared" si="198"/>
        <v>0.56725663716814156</v>
      </c>
      <c r="K3984" s="24">
        <v>2058</v>
      </c>
      <c r="L3984" s="6">
        <v>2070.5</v>
      </c>
      <c r="M3984" s="270">
        <f t="shared" si="199"/>
        <v>12.5</v>
      </c>
      <c r="P3984" s="448">
        <v>13740</v>
      </c>
      <c r="Q3984" s="28">
        <f>186.04/1140.6</f>
        <v>0.16310713659477469</v>
      </c>
      <c r="R3984" s="312">
        <f t="shared" si="193"/>
        <v>2241.0920568122042</v>
      </c>
      <c r="S3984" s="313" t="e">
        <f>R3984*#REF!</f>
        <v>#REF!</v>
      </c>
      <c r="T3984" s="313" t="e">
        <f t="shared" si="200"/>
        <v>#REF!</v>
      </c>
      <c r="U3984" s="358">
        <v>0.1</v>
      </c>
      <c r="W3984" s="741">
        <f t="shared" si="196"/>
        <v>2465.201262493425</v>
      </c>
    </row>
    <row r="3985" spans="1:23" ht="15" customHeight="1">
      <c r="A3985" s="3">
        <v>41459</v>
      </c>
      <c r="B3985" s="4">
        <v>325</v>
      </c>
      <c r="C3985" s="4">
        <v>73925</v>
      </c>
      <c r="D3985" s="5">
        <v>26600</v>
      </c>
      <c r="E3985" s="5">
        <f t="shared" si="197"/>
        <v>96725</v>
      </c>
      <c r="F3985" s="5">
        <v>197575</v>
      </c>
      <c r="G3985" s="5">
        <v>575</v>
      </c>
      <c r="H3985" s="5">
        <v>750</v>
      </c>
      <c r="I3985" s="5">
        <v>111425</v>
      </c>
      <c r="J3985" s="263">
        <f t="shared" si="198"/>
        <v>0.56396305200556751</v>
      </c>
      <c r="K3985" s="24">
        <v>2067.5</v>
      </c>
      <c r="L3985" s="6">
        <v>2075</v>
      </c>
      <c r="M3985" s="270">
        <f t="shared" si="199"/>
        <v>7.5</v>
      </c>
      <c r="O3985" s="422"/>
      <c r="P3985" s="448">
        <v>13810</v>
      </c>
      <c r="Q3985" s="28">
        <f>186.13/1140.2</f>
        <v>0.16324329065076301</v>
      </c>
      <c r="R3985" s="312">
        <f t="shared" si="193"/>
        <v>2254.3898438870374</v>
      </c>
      <c r="S3985" s="313" t="e">
        <f>R3985*#REF!</f>
        <v>#REF!</v>
      </c>
      <c r="T3985" s="313" t="e">
        <f t="shared" si="200"/>
        <v>#REF!</v>
      </c>
      <c r="U3985" s="358">
        <v>0.1</v>
      </c>
      <c r="W3985" s="741">
        <f t="shared" si="196"/>
        <v>2479.8288282757412</v>
      </c>
    </row>
    <row r="3986" spans="1:23" ht="15" customHeight="1">
      <c r="A3986" s="3">
        <v>41460</v>
      </c>
      <c r="B3986" s="4">
        <v>325</v>
      </c>
      <c r="C3986" s="4">
        <v>73175</v>
      </c>
      <c r="D3986" s="5">
        <v>26600</v>
      </c>
      <c r="E3986" s="5">
        <f t="shared" si="197"/>
        <v>97225</v>
      </c>
      <c r="F3986" s="5">
        <v>197325</v>
      </c>
      <c r="G3986" s="5">
        <v>0</v>
      </c>
      <c r="H3986" s="5">
        <v>250</v>
      </c>
      <c r="I3986" s="5">
        <v>111175</v>
      </c>
      <c r="J3986" s="263">
        <f t="shared" si="198"/>
        <v>0.56341061700240724</v>
      </c>
      <c r="K3986" s="24">
        <v>2035.5</v>
      </c>
      <c r="L3986" s="6">
        <v>2046</v>
      </c>
      <c r="M3986" s="270">
        <f t="shared" si="199"/>
        <v>10.5</v>
      </c>
      <c r="P3986" s="448">
        <v>13810</v>
      </c>
      <c r="Q3986" s="28">
        <f>186.17/1141.7</f>
        <v>0.16306385215030217</v>
      </c>
      <c r="R3986" s="312">
        <f t="shared" si="193"/>
        <v>2251.9117981956729</v>
      </c>
      <c r="S3986" s="313" t="e">
        <f>R3986*#REF!</f>
        <v>#REF!</v>
      </c>
      <c r="T3986" s="313" t="e">
        <f t="shared" si="200"/>
        <v>#REF!</v>
      </c>
      <c r="U3986" s="358">
        <v>0.1</v>
      </c>
      <c r="W3986" s="741">
        <f t="shared" si="196"/>
        <v>2477.1029780152403</v>
      </c>
    </row>
    <row r="3987" spans="1:23" ht="15" customHeight="1">
      <c r="A3987" s="3">
        <v>41463</v>
      </c>
      <c r="B3987" s="4">
        <v>325</v>
      </c>
      <c r="C3987" s="4">
        <v>72925</v>
      </c>
      <c r="D3987" s="5">
        <v>26600</v>
      </c>
      <c r="E3987" s="5">
        <f t="shared" si="197"/>
        <v>96325</v>
      </c>
      <c r="F3987" s="5">
        <v>196175</v>
      </c>
      <c r="G3987" s="5">
        <v>0</v>
      </c>
      <c r="H3987" s="5">
        <v>1150</v>
      </c>
      <c r="I3987" s="5">
        <v>110525</v>
      </c>
      <c r="J3987" s="263">
        <f t="shared" si="198"/>
        <v>0.56340002548744739</v>
      </c>
      <c r="K3987" s="24">
        <v>2032</v>
      </c>
      <c r="L3987" s="6">
        <v>2049</v>
      </c>
      <c r="M3987" s="270">
        <f t="shared" si="199"/>
        <v>17</v>
      </c>
      <c r="P3987" s="448">
        <v>13760</v>
      </c>
      <c r="Q3987" s="28">
        <f>187.71/1151.4</f>
        <v>0.1630276185513288</v>
      </c>
      <c r="R3987" s="312">
        <f t="shared" si="193"/>
        <v>2243.2600312662844</v>
      </c>
      <c r="S3987" s="313" t="e">
        <f>R3987*#REF!</f>
        <v>#REF!</v>
      </c>
      <c r="T3987" s="313" t="e">
        <f t="shared" si="200"/>
        <v>#REF!</v>
      </c>
      <c r="U3987" s="358">
        <v>0.1</v>
      </c>
      <c r="W3987" s="741">
        <f t="shared" si="196"/>
        <v>2467.586034392913</v>
      </c>
    </row>
    <row r="3988" spans="1:23" ht="15" customHeight="1">
      <c r="A3988" s="3">
        <v>41464</v>
      </c>
      <c r="B3988" s="4">
        <v>325</v>
      </c>
      <c r="C3988" s="4">
        <v>71775</v>
      </c>
      <c r="D3988" s="5">
        <v>26600</v>
      </c>
      <c r="E3988" s="5">
        <f t="shared" si="197"/>
        <v>97275</v>
      </c>
      <c r="F3988" s="5">
        <v>195975</v>
      </c>
      <c r="G3988" s="5">
        <v>0</v>
      </c>
      <c r="H3988" s="5">
        <v>200</v>
      </c>
      <c r="I3988" s="5">
        <v>110325</v>
      </c>
      <c r="J3988" s="263">
        <f t="shared" si="198"/>
        <v>0.56295445847684655</v>
      </c>
      <c r="K3988" s="24">
        <v>2029</v>
      </c>
      <c r="L3988" s="6">
        <v>2048</v>
      </c>
      <c r="M3988" s="270">
        <f t="shared" si="199"/>
        <v>19</v>
      </c>
      <c r="P3988" s="448">
        <v>13780</v>
      </c>
      <c r="Q3988" s="28">
        <f>186.75/1144.7</f>
        <v>0.16314318161963834</v>
      </c>
      <c r="R3988" s="312">
        <f t="shared" si="193"/>
        <v>2248.1130427186163</v>
      </c>
      <c r="S3988" s="313" t="e">
        <f>R3988*#REF!</f>
        <v>#REF!</v>
      </c>
      <c r="T3988" s="313" t="e">
        <f t="shared" si="200"/>
        <v>#REF!</v>
      </c>
      <c r="U3988" s="358">
        <v>0.1</v>
      </c>
      <c r="W3988" s="741">
        <f t="shared" si="196"/>
        <v>2472.9243469904782</v>
      </c>
    </row>
    <row r="3989" spans="1:23" ht="15" customHeight="1">
      <c r="A3989" s="3">
        <v>41465</v>
      </c>
      <c r="B3989" s="4">
        <v>325</v>
      </c>
      <c r="C3989" s="4">
        <v>71575</v>
      </c>
      <c r="D3989" s="5">
        <v>26600</v>
      </c>
      <c r="E3989" s="5">
        <f t="shared" si="197"/>
        <v>96375</v>
      </c>
      <c r="F3989" s="5">
        <v>194875</v>
      </c>
      <c r="G3989" s="5">
        <v>0</v>
      </c>
      <c r="H3989" s="5">
        <v>1100</v>
      </c>
      <c r="I3989" s="5">
        <v>109225</v>
      </c>
      <c r="J3989" s="263">
        <f t="shared" si="198"/>
        <v>0.56048749198203973</v>
      </c>
      <c r="K3989" s="24">
        <v>2046</v>
      </c>
      <c r="L3989" s="6">
        <v>2065</v>
      </c>
      <c r="M3989" s="270">
        <f t="shared" si="199"/>
        <v>19</v>
      </c>
      <c r="P3989" s="448">
        <v>13780</v>
      </c>
      <c r="Q3989" s="28">
        <f>185.65/1138.8</f>
        <v>0.16302247980330173</v>
      </c>
      <c r="R3989" s="312">
        <f t="shared" si="193"/>
        <v>2246.449771689498</v>
      </c>
      <c r="S3989" s="313" t="e">
        <f>R3989*#REF!</f>
        <v>#REF!</v>
      </c>
      <c r="T3989" s="313" t="e">
        <f t="shared" si="200"/>
        <v>#REF!</v>
      </c>
      <c r="U3989" s="358">
        <v>0.1</v>
      </c>
      <c r="W3989" s="741">
        <f t="shared" si="196"/>
        <v>2471.0947488584479</v>
      </c>
    </row>
    <row r="3990" spans="1:23" ht="15" customHeight="1">
      <c r="A3990" s="3">
        <v>41466</v>
      </c>
      <c r="B3990" s="4">
        <v>325</v>
      </c>
      <c r="C3990" s="4">
        <v>70475</v>
      </c>
      <c r="D3990" s="5">
        <v>26600</v>
      </c>
      <c r="E3990" s="5">
        <f t="shared" si="197"/>
        <v>96975</v>
      </c>
      <c r="F3990" s="5">
        <v>194375</v>
      </c>
      <c r="G3990" s="5">
        <v>0</v>
      </c>
      <c r="H3990" s="5">
        <v>500</v>
      </c>
      <c r="I3990" s="5">
        <v>108725</v>
      </c>
      <c r="J3990" s="263">
        <f t="shared" si="198"/>
        <v>0.55935691318327974</v>
      </c>
      <c r="K3990" s="24">
        <v>2093</v>
      </c>
      <c r="L3990" s="6">
        <v>2105.5</v>
      </c>
      <c r="M3990" s="270">
        <f t="shared" si="199"/>
        <v>12.5</v>
      </c>
      <c r="P3990" s="448">
        <v>13830</v>
      </c>
      <c r="Q3990" s="28">
        <f>185.35/1124.9</f>
        <v>0.16477020179571517</v>
      </c>
      <c r="R3990" s="312">
        <f t="shared" si="193"/>
        <v>2278.7718908347406</v>
      </c>
      <c r="S3990" s="313" t="e">
        <f>R3990*#REF!</f>
        <v>#REF!</v>
      </c>
      <c r="T3990" s="313" t="e">
        <f t="shared" si="200"/>
        <v>#REF!</v>
      </c>
      <c r="U3990" s="358">
        <v>0.1</v>
      </c>
      <c r="W3990" s="741">
        <f t="shared" si="196"/>
        <v>2506.6490799182147</v>
      </c>
    </row>
    <row r="3991" spans="1:23" ht="15" customHeight="1">
      <c r="A3991" s="3">
        <v>41467</v>
      </c>
      <c r="B3991" s="4">
        <v>325</v>
      </c>
      <c r="C3991" s="4">
        <v>69975</v>
      </c>
      <c r="D3991" s="5">
        <v>26600</v>
      </c>
      <c r="E3991" s="5">
        <f t="shared" si="197"/>
        <v>96925</v>
      </c>
      <c r="F3991" s="5">
        <v>193825</v>
      </c>
      <c r="G3991" s="5">
        <v>0</v>
      </c>
      <c r="H3991" s="5">
        <v>550</v>
      </c>
      <c r="I3991" s="5">
        <v>108175</v>
      </c>
      <c r="J3991" s="263">
        <f t="shared" si="198"/>
        <v>0.5581065394041016</v>
      </c>
      <c r="K3991" s="24">
        <v>2050</v>
      </c>
      <c r="L3991" s="6">
        <v>2063</v>
      </c>
      <c r="M3991" s="270">
        <f t="shared" si="199"/>
        <v>13</v>
      </c>
      <c r="N3991" s="429"/>
      <c r="P3991" s="448">
        <v>13810</v>
      </c>
      <c r="Q3991" s="28">
        <f>182.86/1122.3</f>
        <v>0.162933262051145</v>
      </c>
      <c r="R3991" s="312">
        <f t="shared" ref="R3991:R4006" si="201">P3991*Q3991</f>
        <v>2250.1083489263124</v>
      </c>
      <c r="S3991" s="313" t="e">
        <f>R3991*#REF!</f>
        <v>#REF!</v>
      </c>
      <c r="T3991" s="313" t="e">
        <f t="shared" si="200"/>
        <v>#REF!</v>
      </c>
      <c r="U3991" s="358">
        <v>0.1</v>
      </c>
      <c r="W3991" s="741">
        <f t="shared" si="196"/>
        <v>2475.1191838189438</v>
      </c>
    </row>
    <row r="3992" spans="1:23" ht="15" customHeight="1">
      <c r="A3992" s="3">
        <v>41470</v>
      </c>
      <c r="B3992" s="4">
        <v>325</v>
      </c>
      <c r="C3992" s="4">
        <v>69425</v>
      </c>
      <c r="D3992" s="5">
        <v>26600</v>
      </c>
      <c r="E3992" s="5">
        <f t="shared" si="197"/>
        <v>97600</v>
      </c>
      <c r="F3992" s="5">
        <v>193950</v>
      </c>
      <c r="G3992" s="5">
        <v>125</v>
      </c>
      <c r="H3992" s="5">
        <v>0</v>
      </c>
      <c r="I3992" s="5">
        <v>108000</v>
      </c>
      <c r="J3992" s="263">
        <f t="shared" si="198"/>
        <v>0.55684454756380508</v>
      </c>
      <c r="K3992" s="24">
        <v>2049.5</v>
      </c>
      <c r="L3992" s="6">
        <v>2063.5</v>
      </c>
      <c r="M3992" s="270">
        <f t="shared" si="199"/>
        <v>14</v>
      </c>
      <c r="P3992" s="448">
        <v>13810</v>
      </c>
      <c r="Q3992" s="28">
        <f>182.91/1122.6</f>
        <v>0.16293425975414219</v>
      </c>
      <c r="R3992" s="312">
        <f t="shared" si="201"/>
        <v>2250.1221272047037</v>
      </c>
      <c r="S3992" s="313" t="e">
        <f>R3992*#REF!</f>
        <v>#REF!</v>
      </c>
      <c r="T3992" s="313" t="e">
        <f t="shared" si="200"/>
        <v>#REF!</v>
      </c>
      <c r="U3992" s="358">
        <v>0.1</v>
      </c>
      <c r="W3992" s="741">
        <f t="shared" si="196"/>
        <v>2475.1343399251741</v>
      </c>
    </row>
    <row r="3993" spans="1:23" ht="15" customHeight="1">
      <c r="A3993" s="3">
        <v>41471</v>
      </c>
      <c r="B3993" s="4">
        <v>325</v>
      </c>
      <c r="C3993" s="4">
        <v>69250</v>
      </c>
      <c r="D3993" s="5">
        <v>26600</v>
      </c>
      <c r="E3993" s="5">
        <f t="shared" si="197"/>
        <v>97775</v>
      </c>
      <c r="F3993" s="5">
        <v>193950</v>
      </c>
      <c r="G3993" s="5">
        <v>0</v>
      </c>
      <c r="H3993" s="5">
        <v>0</v>
      </c>
      <c r="I3993" s="5">
        <v>108000</v>
      </c>
      <c r="J3993" s="263">
        <f t="shared" si="198"/>
        <v>0.55684454756380508</v>
      </c>
      <c r="K3993" s="24">
        <v>2044.5</v>
      </c>
      <c r="L3993" s="6">
        <v>2062</v>
      </c>
      <c r="M3993" s="270">
        <f t="shared" si="199"/>
        <v>17.5</v>
      </c>
      <c r="P3993" s="448">
        <v>13810</v>
      </c>
      <c r="Q3993" s="28">
        <f>182.4/1119</f>
        <v>0.16300268096514745</v>
      </c>
      <c r="R3993" s="312">
        <f t="shared" si="201"/>
        <v>2251.0670241286862</v>
      </c>
      <c r="S3993" s="313" t="e">
        <f>R3993*#REF!</f>
        <v>#REF!</v>
      </c>
      <c r="T3993" s="313" t="e">
        <f t="shared" si="200"/>
        <v>#REF!</v>
      </c>
      <c r="U3993" s="358">
        <v>0.1</v>
      </c>
      <c r="W3993" s="741">
        <f t="shared" si="196"/>
        <v>2476.173726541555</v>
      </c>
    </row>
    <row r="3994" spans="1:23" ht="15" customHeight="1">
      <c r="A3994" s="3">
        <v>41472</v>
      </c>
      <c r="B3994" s="4">
        <v>325</v>
      </c>
      <c r="C3994" s="4">
        <v>69250</v>
      </c>
      <c r="D3994" s="5">
        <v>26600</v>
      </c>
      <c r="E3994" s="5">
        <f t="shared" si="197"/>
        <v>100700</v>
      </c>
      <c r="F3994" s="5">
        <v>196875</v>
      </c>
      <c r="G3994" s="5">
        <v>2950</v>
      </c>
      <c r="H3994" s="5">
        <v>25</v>
      </c>
      <c r="I3994" s="5">
        <v>107975</v>
      </c>
      <c r="J3994" s="263">
        <f t="shared" si="198"/>
        <v>0.5484444444444444</v>
      </c>
      <c r="K3994" s="24">
        <v>2037.5</v>
      </c>
      <c r="L3994" s="6">
        <v>2049</v>
      </c>
      <c r="M3994" s="270">
        <f t="shared" si="199"/>
        <v>11.5</v>
      </c>
      <c r="P3994" s="448">
        <v>13810</v>
      </c>
      <c r="Q3994" s="28">
        <f>182.24/1118.1</f>
        <v>0.16299078794383332</v>
      </c>
      <c r="R3994" s="312">
        <f t="shared" si="201"/>
        <v>2250.9027815043382</v>
      </c>
      <c r="S3994" s="313" t="e">
        <f>R3994*#REF!</f>
        <v>#REF!</v>
      </c>
      <c r="T3994" s="313" t="e">
        <f t="shared" si="200"/>
        <v>#REF!</v>
      </c>
      <c r="U3994" s="358">
        <v>0.1</v>
      </c>
      <c r="W3994" s="741">
        <f t="shared" si="196"/>
        <v>2475.9930596547724</v>
      </c>
    </row>
    <row r="3995" spans="1:23" ht="15" customHeight="1">
      <c r="A3995" s="3">
        <v>41473</v>
      </c>
      <c r="B3995" s="4">
        <v>325</v>
      </c>
      <c r="C3995" s="4">
        <v>72175</v>
      </c>
      <c r="D3995" s="5">
        <v>26600</v>
      </c>
      <c r="E3995" s="5">
        <f t="shared" si="197"/>
        <v>97375</v>
      </c>
      <c r="F3995" s="5">
        <v>196475</v>
      </c>
      <c r="G3995" s="5">
        <v>0</v>
      </c>
      <c r="H3995" s="5">
        <v>400</v>
      </c>
      <c r="I3995" s="5">
        <v>107575</v>
      </c>
      <c r="J3995" s="263">
        <f t="shared" si="198"/>
        <v>0.54752513042371798</v>
      </c>
      <c r="K3995" s="24">
        <v>2016.5</v>
      </c>
      <c r="L3995" s="6">
        <v>2030</v>
      </c>
      <c r="M3995" s="270">
        <f t="shared" si="199"/>
        <v>13.5</v>
      </c>
      <c r="O3995" s="422"/>
      <c r="P3995" s="448">
        <v>13780</v>
      </c>
      <c r="Q3995" s="28">
        <f>182.75/1122.3</f>
        <v>0.16283524904214561</v>
      </c>
      <c r="R3995" s="312">
        <f t="shared" si="201"/>
        <v>2243.8697318007667</v>
      </c>
      <c r="S3995" s="313" t="e">
        <f>R3995*#REF!</f>
        <v>#REF!</v>
      </c>
      <c r="T3995" s="313" t="e">
        <f t="shared" si="200"/>
        <v>#REF!</v>
      </c>
      <c r="U3995" s="358">
        <v>0.1</v>
      </c>
      <c r="W3995" s="741">
        <f t="shared" si="196"/>
        <v>2468.2567049808436</v>
      </c>
    </row>
    <row r="3996" spans="1:23" ht="15" customHeight="1">
      <c r="A3996" s="3">
        <v>41474</v>
      </c>
      <c r="B3996" s="4">
        <v>325</v>
      </c>
      <c r="C3996" s="4">
        <v>71775</v>
      </c>
      <c r="D3996" s="5">
        <v>26600</v>
      </c>
      <c r="E3996" s="5">
        <f t="shared" si="197"/>
        <v>97775</v>
      </c>
      <c r="F3996" s="5">
        <v>196475</v>
      </c>
      <c r="G3996" s="5">
        <v>0</v>
      </c>
      <c r="H3996" s="5">
        <v>0</v>
      </c>
      <c r="I3996" s="5">
        <v>107575</v>
      </c>
      <c r="J3996" s="263">
        <f t="shared" si="198"/>
        <v>0.54752513042371798</v>
      </c>
      <c r="K3996" s="24">
        <v>2036</v>
      </c>
      <c r="L3996" s="6">
        <v>2054</v>
      </c>
      <c r="M3996" s="270">
        <f t="shared" si="199"/>
        <v>18</v>
      </c>
      <c r="O3996" s="422"/>
      <c r="P3996" s="448">
        <v>13810</v>
      </c>
      <c r="Q3996" s="28">
        <f>183.04/1123.5</f>
        <v>0.162919448153093</v>
      </c>
      <c r="R3996" s="312">
        <f t="shared" si="201"/>
        <v>2249.9175789942142</v>
      </c>
      <c r="S3996" s="313" t="e">
        <f>R3996*#REF!</f>
        <v>#REF!</v>
      </c>
      <c r="T3996" s="313" t="e">
        <f t="shared" si="200"/>
        <v>#REF!</v>
      </c>
      <c r="U3996" s="358">
        <v>0.1</v>
      </c>
      <c r="W3996" s="741">
        <f t="shared" si="196"/>
        <v>2474.909336893636</v>
      </c>
    </row>
    <row r="3997" spans="1:23" ht="15" customHeight="1">
      <c r="A3997" s="3">
        <v>41477</v>
      </c>
      <c r="B3997" s="4">
        <v>325</v>
      </c>
      <c r="C3997" s="4">
        <v>71775</v>
      </c>
      <c r="D3997" s="5">
        <v>26600</v>
      </c>
      <c r="E3997" s="5">
        <f t="shared" si="197"/>
        <v>99275</v>
      </c>
      <c r="F3997" s="5">
        <v>197975</v>
      </c>
      <c r="G3997" s="5">
        <v>1525</v>
      </c>
      <c r="H3997" s="5">
        <v>25</v>
      </c>
      <c r="I3997" s="5">
        <v>108075</v>
      </c>
      <c r="J3997" s="263">
        <f t="shared" si="198"/>
        <v>0.54590226038641243</v>
      </c>
      <c r="K3997" s="24">
        <v>2036</v>
      </c>
      <c r="L3997" s="6">
        <v>2045.5</v>
      </c>
      <c r="M3997" s="270">
        <f t="shared" si="199"/>
        <v>9.5</v>
      </c>
      <c r="P3997" s="448">
        <v>13810</v>
      </c>
      <c r="Q3997" s="28">
        <f>182.14/1118.5</f>
        <v>0.16284309342869913</v>
      </c>
      <c r="R3997" s="312">
        <f t="shared" si="201"/>
        <v>2248.8631202503348</v>
      </c>
      <c r="S3997" s="313" t="e">
        <f>R3997*#REF!</f>
        <v>#REF!</v>
      </c>
      <c r="T3997" s="313" t="e">
        <f t="shared" si="200"/>
        <v>#REF!</v>
      </c>
      <c r="U3997" s="358">
        <v>0.1</v>
      </c>
      <c r="W3997" s="741">
        <f t="shared" si="196"/>
        <v>2473.7494322753682</v>
      </c>
    </row>
    <row r="3998" spans="1:23" ht="15" customHeight="1">
      <c r="A3998" s="3">
        <v>41478</v>
      </c>
      <c r="B3998" s="4">
        <v>325</v>
      </c>
      <c r="C3998" s="4">
        <v>71775</v>
      </c>
      <c r="D3998" s="5">
        <v>26600</v>
      </c>
      <c r="E3998" s="5">
        <f t="shared" si="197"/>
        <v>100075</v>
      </c>
      <c r="F3998" s="5">
        <v>198775</v>
      </c>
      <c r="G3998" s="5">
        <v>800</v>
      </c>
      <c r="H3998" s="5">
        <v>0</v>
      </c>
      <c r="I3998" s="5">
        <v>108075</v>
      </c>
      <c r="J3998" s="263">
        <f t="shared" si="198"/>
        <v>0.5437051943151805</v>
      </c>
      <c r="K3998" s="24">
        <v>2039.5</v>
      </c>
      <c r="L3998" s="6">
        <v>2047.5</v>
      </c>
      <c r="M3998" s="270">
        <f t="shared" si="199"/>
        <v>8</v>
      </c>
      <c r="P3998" s="448">
        <v>13810</v>
      </c>
      <c r="Q3998" s="28">
        <f>181.92/1116.5</f>
        <v>0.16293775190326915</v>
      </c>
      <c r="R3998" s="312">
        <f t="shared" si="201"/>
        <v>2250.1703537841468</v>
      </c>
      <c r="S3998" s="313" t="e">
        <f>R3998*#REF!</f>
        <v>#REF!</v>
      </c>
      <c r="T3998" s="313" t="e">
        <f t="shared" si="200"/>
        <v>#REF!</v>
      </c>
      <c r="U3998" s="358">
        <v>0.1</v>
      </c>
      <c r="W3998" s="741">
        <f t="shared" si="196"/>
        <v>2475.1873891625614</v>
      </c>
    </row>
    <row r="3999" spans="1:23" ht="15" customHeight="1">
      <c r="A3999" s="3">
        <v>41479</v>
      </c>
      <c r="B3999" s="4">
        <v>325</v>
      </c>
      <c r="C3999" s="4">
        <v>71775</v>
      </c>
      <c r="D3999" s="5">
        <v>26600</v>
      </c>
      <c r="E3999" s="5">
        <f t="shared" si="197"/>
        <v>100075</v>
      </c>
      <c r="F3999" s="5">
        <v>198775</v>
      </c>
      <c r="G3999" s="5">
        <v>0</v>
      </c>
      <c r="H3999" s="5">
        <v>0</v>
      </c>
      <c r="I3999" s="5">
        <v>108075</v>
      </c>
      <c r="J3999" s="263">
        <f t="shared" si="198"/>
        <v>0.5437051943151805</v>
      </c>
      <c r="K3999" s="24">
        <v>2063</v>
      </c>
      <c r="L3999" s="6">
        <v>2075</v>
      </c>
      <c r="M3999" s="270">
        <f t="shared" si="199"/>
        <v>12</v>
      </c>
      <c r="P3999" s="448">
        <v>13810</v>
      </c>
      <c r="Q3999" s="28">
        <f>181.57/1114.1</f>
        <v>0.16297459833049099</v>
      </c>
      <c r="R3999" s="312">
        <f t="shared" si="201"/>
        <v>2250.6792029440808</v>
      </c>
      <c r="S3999" s="313" t="e">
        <f>R3999*#REF!</f>
        <v>#REF!</v>
      </c>
      <c r="T3999" s="313" t="e">
        <f t="shared" si="200"/>
        <v>#REF!</v>
      </c>
      <c r="U3999" s="358">
        <v>0.1</v>
      </c>
      <c r="W3999" s="741">
        <f t="shared" si="196"/>
        <v>2475.7471232384892</v>
      </c>
    </row>
    <row r="4000" spans="1:23" ht="15" customHeight="1">
      <c r="A4000" s="3">
        <v>41480</v>
      </c>
      <c r="B4000" s="4">
        <v>300</v>
      </c>
      <c r="C4000" s="4">
        <v>71775</v>
      </c>
      <c r="D4000" s="5">
        <v>26600</v>
      </c>
      <c r="E4000" s="5">
        <f t="shared" si="197"/>
        <v>99825</v>
      </c>
      <c r="F4000" s="5">
        <v>198500</v>
      </c>
      <c r="G4000" s="5">
        <v>0</v>
      </c>
      <c r="H4000" s="5">
        <v>275</v>
      </c>
      <c r="I4000" s="5">
        <v>107800</v>
      </c>
      <c r="J4000" s="263">
        <f t="shared" si="198"/>
        <v>0.54307304785894206</v>
      </c>
      <c r="K4000" s="24">
        <v>2050</v>
      </c>
      <c r="L4000" s="6">
        <v>2059</v>
      </c>
      <c r="M4000" s="270">
        <f t="shared" si="199"/>
        <v>9</v>
      </c>
      <c r="P4000" s="448">
        <v>13810</v>
      </c>
      <c r="Q4000" s="28">
        <f>182.13/1117.3</f>
        <v>0.16300903964915422</v>
      </c>
      <c r="R4000" s="312">
        <f t="shared" si="201"/>
        <v>2251.15483755482</v>
      </c>
      <c r="S4000" s="313" t="e">
        <f>R4000*#REF!</f>
        <v>#REF!</v>
      </c>
      <c r="T4000" s="313" t="e">
        <f t="shared" si="200"/>
        <v>#REF!</v>
      </c>
      <c r="U4000" s="358">
        <v>0.1</v>
      </c>
      <c r="W4000" s="741">
        <f t="shared" si="196"/>
        <v>2476.2703213103023</v>
      </c>
    </row>
    <row r="4001" spans="1:23" ht="15" customHeight="1">
      <c r="A4001" s="3">
        <v>41481</v>
      </c>
      <c r="B4001" s="4">
        <v>300</v>
      </c>
      <c r="C4001" s="4">
        <v>71525</v>
      </c>
      <c r="D4001" s="5">
        <v>26600</v>
      </c>
      <c r="E4001" s="5">
        <f t="shared" si="197"/>
        <v>100075</v>
      </c>
      <c r="F4001" s="5">
        <v>198500</v>
      </c>
      <c r="G4001" s="5">
        <v>0</v>
      </c>
      <c r="H4001" s="5">
        <v>250</v>
      </c>
      <c r="I4001" s="5">
        <v>107550</v>
      </c>
      <c r="J4001" s="263">
        <f t="shared" si="198"/>
        <v>0.5418136020151133</v>
      </c>
      <c r="K4001" s="24">
        <v>2060.5</v>
      </c>
      <c r="L4001" s="6">
        <v>2066</v>
      </c>
      <c r="M4001" s="270">
        <f t="shared" si="199"/>
        <v>5.5</v>
      </c>
      <c r="P4001" s="448">
        <v>13810</v>
      </c>
      <c r="Q4001" s="28">
        <f>181.31/1111.7</f>
        <v>0.16309256094270036</v>
      </c>
      <c r="R4001" s="312">
        <f t="shared" si="201"/>
        <v>2252.308266618692</v>
      </c>
      <c r="S4001" s="313" t="e">
        <f>R4001*#REF!</f>
        <v>#REF!</v>
      </c>
      <c r="T4001" s="313" t="e">
        <f t="shared" si="200"/>
        <v>#REF!</v>
      </c>
      <c r="U4001" s="358">
        <v>0.1</v>
      </c>
      <c r="W4001" s="741">
        <f t="shared" si="196"/>
        <v>2477.5390932805612</v>
      </c>
    </row>
    <row r="4002" spans="1:23" ht="15" customHeight="1">
      <c r="A4002" s="3">
        <v>41484</v>
      </c>
      <c r="B4002" s="4">
        <v>400</v>
      </c>
      <c r="C4002" s="4">
        <v>71275</v>
      </c>
      <c r="D4002" s="5">
        <v>26600</v>
      </c>
      <c r="E4002" s="5">
        <f t="shared" si="197"/>
        <v>100075</v>
      </c>
      <c r="F4002" s="5">
        <v>198350</v>
      </c>
      <c r="G4002" s="5">
        <v>100</v>
      </c>
      <c r="H4002" s="5">
        <v>0</v>
      </c>
      <c r="I4002" s="5">
        <v>107550</v>
      </c>
      <c r="J4002" s="263">
        <f t="shared" si="198"/>
        <v>0.54222334257625404</v>
      </c>
      <c r="K4002" s="24">
        <v>2056</v>
      </c>
      <c r="L4002" s="6">
        <v>2060</v>
      </c>
      <c r="M4002" s="270">
        <f t="shared" si="199"/>
        <v>4</v>
      </c>
      <c r="P4002" s="448">
        <v>13760</v>
      </c>
      <c r="Q4002" s="28">
        <f>180.91/1109.4</f>
        <v>0.16307012799711554</v>
      </c>
      <c r="R4002" s="312">
        <f t="shared" si="201"/>
        <v>2243.8449612403097</v>
      </c>
      <c r="S4002" s="313" t="e">
        <f>R4002*#REF!</f>
        <v>#REF!</v>
      </c>
      <c r="T4002" s="313" t="e">
        <f t="shared" si="200"/>
        <v>#REF!</v>
      </c>
      <c r="U4002" s="358">
        <v>0.1</v>
      </c>
      <c r="W4002" s="741">
        <f t="shared" si="196"/>
        <v>2468.2294573643408</v>
      </c>
    </row>
    <row r="4003" spans="1:23" ht="15" customHeight="1">
      <c r="A4003" s="3">
        <v>41485</v>
      </c>
      <c r="B4003" s="4">
        <v>400</v>
      </c>
      <c r="C4003" s="4">
        <v>71275</v>
      </c>
      <c r="D4003" s="5">
        <v>26600</v>
      </c>
      <c r="E4003" s="5">
        <f t="shared" si="197"/>
        <v>101950</v>
      </c>
      <c r="F4003" s="5">
        <v>200225</v>
      </c>
      <c r="G4003" s="5">
        <v>1875</v>
      </c>
      <c r="H4003" s="5">
        <v>0</v>
      </c>
      <c r="I4003" s="5">
        <v>107650</v>
      </c>
      <c r="J4003" s="263">
        <f t="shared" si="198"/>
        <v>0.53764514920714201</v>
      </c>
      <c r="K4003" s="24">
        <v>2029</v>
      </c>
      <c r="L4003" s="6">
        <v>2037</v>
      </c>
      <c r="M4003" s="270">
        <f t="shared" si="199"/>
        <v>8</v>
      </c>
      <c r="P4003" s="448">
        <v>13760</v>
      </c>
      <c r="Q4003" s="28">
        <f>181.61/1113.6</f>
        <v>0.16308369252873567</v>
      </c>
      <c r="R4003" s="312">
        <f t="shared" si="201"/>
        <v>2244.0316091954028</v>
      </c>
      <c r="S4003" s="313" t="e">
        <f>R4003*#REF!</f>
        <v>#REF!</v>
      </c>
      <c r="T4003" s="313" t="e">
        <f t="shared" si="200"/>
        <v>#REF!</v>
      </c>
      <c r="U4003" s="358">
        <v>0.1</v>
      </c>
      <c r="W4003" s="741">
        <f t="shared" si="196"/>
        <v>2468.4347701149431</v>
      </c>
    </row>
    <row r="4004" spans="1:23" ht="15" customHeight="1">
      <c r="A4004" s="3">
        <v>41486</v>
      </c>
      <c r="B4004" s="4">
        <v>400</v>
      </c>
      <c r="C4004" s="4">
        <v>72750</v>
      </c>
      <c r="D4004" s="5">
        <v>26600</v>
      </c>
      <c r="E4004" s="5">
        <f t="shared" si="197"/>
        <v>100475</v>
      </c>
      <c r="F4004" s="5">
        <v>200225</v>
      </c>
      <c r="G4004" s="5">
        <v>0</v>
      </c>
      <c r="H4004" s="5">
        <v>0</v>
      </c>
      <c r="I4004" s="5">
        <v>107650</v>
      </c>
      <c r="J4004" s="263">
        <f t="shared" si="198"/>
        <v>0.53764514920714201</v>
      </c>
      <c r="K4004" s="24">
        <v>2033.5</v>
      </c>
      <c r="L4004" s="6">
        <v>2044</v>
      </c>
      <c r="M4004" s="270">
        <f t="shared" si="199"/>
        <v>10.5</v>
      </c>
      <c r="N4004" s="420">
        <f>AVERAGE(K3982:K4004)</f>
        <v>2048.2391304347825</v>
      </c>
      <c r="O4004" s="410">
        <f>AVERAGE(K3848:K4004)</f>
        <v>2157.1088435374149</v>
      </c>
      <c r="P4004" s="448">
        <v>13760</v>
      </c>
      <c r="Q4004" s="28">
        <f>182.68/1119.6</f>
        <v>0.16316541622007863</v>
      </c>
      <c r="R4004" s="312">
        <f t="shared" si="201"/>
        <v>2245.156127188282</v>
      </c>
      <c r="S4004" s="313" t="e">
        <f>R4004*#REF!</f>
        <v>#REF!</v>
      </c>
      <c r="T4004" s="313" t="e">
        <f t="shared" si="200"/>
        <v>#REF!</v>
      </c>
      <c r="U4004" s="358">
        <v>0.1</v>
      </c>
      <c r="W4004" s="741">
        <f t="shared" ref="W4004:W4026" si="202">(P4004*Q4004)*(1+U4004)</f>
        <v>2469.6717399071104</v>
      </c>
    </row>
    <row r="4005" spans="1:23" ht="15" customHeight="1" thickBot="1">
      <c r="A4005" s="392"/>
      <c r="B4005" s="995"/>
      <c r="C4005" s="995"/>
      <c r="D4005" s="995"/>
      <c r="E4005" s="995"/>
      <c r="F4005" s="392"/>
      <c r="G4005" s="332"/>
      <c r="H4005" s="332"/>
      <c r="I4005" s="332"/>
      <c r="J4005" s="334"/>
      <c r="K4005" s="334"/>
      <c r="L4005" s="335"/>
      <c r="M4005" s="336"/>
      <c r="N4005" s="337"/>
      <c r="O4005" s="353"/>
      <c r="P4005" s="350"/>
      <c r="Q4005" s="299"/>
      <c r="R4005" s="453"/>
      <c r="S4005" s="454"/>
      <c r="T4005" s="454"/>
      <c r="U4005" s="302"/>
      <c r="V4005" s="298">
        <f>AVERAGE(P3982:P4004)</f>
        <v>13794.347826086956</v>
      </c>
      <c r="W4005" s="751"/>
    </row>
    <row r="4006" spans="1:23" ht="15" customHeight="1">
      <c r="A4006" s="3">
        <v>41487</v>
      </c>
      <c r="B4006" s="4">
        <v>400</v>
      </c>
      <c r="C4006" s="4">
        <v>72750</v>
      </c>
      <c r="D4006" s="5">
        <v>26600</v>
      </c>
      <c r="E4006" s="5">
        <f t="shared" ref="E4006:E4027" si="203">F4006-D4006-C4006-B4006</f>
        <v>100475</v>
      </c>
      <c r="F4006" s="5">
        <v>200225</v>
      </c>
      <c r="G4006" s="5">
        <v>0</v>
      </c>
      <c r="H4006" s="5">
        <v>0</v>
      </c>
      <c r="I4006" s="5">
        <v>107650</v>
      </c>
      <c r="J4006" s="263">
        <f t="shared" si="198"/>
        <v>0.53764514920714201</v>
      </c>
      <c r="K4006" s="24">
        <v>2090</v>
      </c>
      <c r="L4006" s="6">
        <v>2115</v>
      </c>
      <c r="M4006" s="270">
        <f t="shared" ref="M4006:M4027" si="204">L4006-K4006</f>
        <v>25</v>
      </c>
      <c r="N4006" s="429"/>
      <c r="P4006" s="448">
        <v>13810</v>
      </c>
      <c r="Q4006" s="28">
        <f>183.64/1125.8</f>
        <v>0.16311955942440931</v>
      </c>
      <c r="R4006" s="312">
        <f t="shared" si="201"/>
        <v>2252.6811156510926</v>
      </c>
      <c r="S4006" s="313" t="e">
        <f>R4006*#REF!</f>
        <v>#REF!</v>
      </c>
      <c r="T4006" s="313" t="e">
        <f t="shared" ref="T4006:T4027" si="205">(R4006+S4006)*U4006</f>
        <v>#REF!</v>
      </c>
      <c r="U4006" s="358">
        <v>0.1</v>
      </c>
      <c r="W4006" s="741">
        <f t="shared" si="202"/>
        <v>2477.949227216202</v>
      </c>
    </row>
    <row r="4007" spans="1:23" ht="15" customHeight="1">
      <c r="A4007" s="3">
        <v>41488</v>
      </c>
      <c r="B4007" s="4">
        <v>300</v>
      </c>
      <c r="C4007" s="4">
        <v>72750</v>
      </c>
      <c r="D4007" s="5">
        <v>26600</v>
      </c>
      <c r="E4007" s="5">
        <f t="shared" si="203"/>
        <v>100475</v>
      </c>
      <c r="F4007" s="5">
        <v>200125</v>
      </c>
      <c r="G4007" s="5">
        <v>0</v>
      </c>
      <c r="H4007" s="5">
        <v>100</v>
      </c>
      <c r="I4007" s="5">
        <v>107550</v>
      </c>
      <c r="J4007" s="263">
        <f t="shared" si="198"/>
        <v>0.5374141161773891</v>
      </c>
      <c r="K4007" s="24">
        <v>2111.5</v>
      </c>
      <c r="L4007" s="6">
        <v>2123</v>
      </c>
      <c r="M4007" s="270">
        <f t="shared" si="204"/>
        <v>11.5</v>
      </c>
      <c r="P4007" s="448">
        <v>13810</v>
      </c>
      <c r="Q4007" s="28">
        <f>183.61/1125.4</f>
        <v>0.16315087968722233</v>
      </c>
      <c r="R4007" s="312">
        <f t="shared" ref="R4007:R4019" si="206">P4007*Q4007</f>
        <v>2253.1136484805406</v>
      </c>
      <c r="S4007" s="313" t="e">
        <f>R4007*#REF!</f>
        <v>#REF!</v>
      </c>
      <c r="T4007" s="313" t="e">
        <f t="shared" si="205"/>
        <v>#REF!</v>
      </c>
      <c r="U4007" s="358">
        <v>0.1</v>
      </c>
      <c r="W4007" s="741">
        <f t="shared" si="202"/>
        <v>2478.425013328595</v>
      </c>
    </row>
    <row r="4008" spans="1:23" ht="15" customHeight="1">
      <c r="A4008" s="3">
        <v>41491</v>
      </c>
      <c r="B4008" s="4">
        <v>300</v>
      </c>
      <c r="C4008" s="4">
        <v>72750</v>
      </c>
      <c r="D4008" s="5">
        <v>26600</v>
      </c>
      <c r="E4008" s="5">
        <f t="shared" si="203"/>
        <v>100125</v>
      </c>
      <c r="F4008" s="5">
        <v>199775</v>
      </c>
      <c r="G4008" s="5">
        <v>0</v>
      </c>
      <c r="H4008" s="5">
        <v>350</v>
      </c>
      <c r="I4008" s="5">
        <v>107200</v>
      </c>
      <c r="J4008" s="263">
        <f t="shared" si="198"/>
        <v>0.5366036791390314</v>
      </c>
      <c r="K4008" s="24">
        <v>2112</v>
      </c>
      <c r="L4008" s="6">
        <v>2129</v>
      </c>
      <c r="M4008" s="270">
        <f t="shared" si="204"/>
        <v>17</v>
      </c>
      <c r="P4008" s="448">
        <v>13860</v>
      </c>
      <c r="Q4008" s="28">
        <f>182.26/1116.3</f>
        <v>0.16327152199229597</v>
      </c>
      <c r="R4008" s="312">
        <f t="shared" si="206"/>
        <v>2262.9432948132221</v>
      </c>
      <c r="S4008" s="313" t="e">
        <f>R4008*#REF!</f>
        <v>#REF!</v>
      </c>
      <c r="T4008" s="313" t="e">
        <f t="shared" si="205"/>
        <v>#REF!</v>
      </c>
      <c r="U4008" s="358">
        <v>0.1</v>
      </c>
      <c r="W4008" s="741">
        <f t="shared" si="202"/>
        <v>2489.2376242945447</v>
      </c>
    </row>
    <row r="4009" spans="1:23" ht="15" customHeight="1">
      <c r="A4009" s="3">
        <v>41492</v>
      </c>
      <c r="B4009" s="4">
        <v>300</v>
      </c>
      <c r="C4009" s="4">
        <v>72750</v>
      </c>
      <c r="D4009" s="5">
        <v>26600</v>
      </c>
      <c r="E4009" s="5">
        <f t="shared" si="203"/>
        <v>100550</v>
      </c>
      <c r="F4009" s="5">
        <v>200200</v>
      </c>
      <c r="G4009" s="5">
        <v>975</v>
      </c>
      <c r="H4009" s="5">
        <v>550</v>
      </c>
      <c r="I4009" s="5">
        <v>106650</v>
      </c>
      <c r="J4009" s="263">
        <f t="shared" si="198"/>
        <v>0.53271728271728269</v>
      </c>
      <c r="K4009" s="24">
        <v>2118</v>
      </c>
      <c r="L4009" s="6">
        <v>2130.5</v>
      </c>
      <c r="M4009" s="270">
        <f t="shared" si="204"/>
        <v>12.5</v>
      </c>
      <c r="P4009" s="448">
        <v>13860</v>
      </c>
      <c r="Q4009" s="28">
        <f>182.01/1114.2</f>
        <v>0.16335487345180397</v>
      </c>
      <c r="R4009" s="312">
        <f t="shared" si="206"/>
        <v>2264.0985460420029</v>
      </c>
      <c r="S4009" s="313" t="e">
        <f>R4009*#REF!</f>
        <v>#REF!</v>
      </c>
      <c r="T4009" s="313" t="e">
        <f t="shared" si="205"/>
        <v>#REF!</v>
      </c>
      <c r="U4009" s="358">
        <v>0.1</v>
      </c>
      <c r="W4009" s="741">
        <f t="shared" si="202"/>
        <v>2490.5084006462034</v>
      </c>
    </row>
    <row r="4010" spans="1:23" ht="15" customHeight="1">
      <c r="A4010" s="3">
        <v>41493</v>
      </c>
      <c r="B4010" s="4">
        <v>300</v>
      </c>
      <c r="C4010" s="4">
        <v>73725</v>
      </c>
      <c r="D4010" s="5">
        <v>26600</v>
      </c>
      <c r="E4010" s="5">
        <f t="shared" si="203"/>
        <v>99000</v>
      </c>
      <c r="F4010" s="5">
        <v>199625</v>
      </c>
      <c r="G4010" s="5">
        <v>0</v>
      </c>
      <c r="H4010" s="5">
        <v>575</v>
      </c>
      <c r="I4010" s="5">
        <v>106075</v>
      </c>
      <c r="J4010" s="263">
        <f t="shared" si="198"/>
        <v>0.53137132122730124</v>
      </c>
      <c r="K4010" s="24">
        <v>2090</v>
      </c>
      <c r="L4010" s="6">
        <v>2102</v>
      </c>
      <c r="M4010" s="270">
        <f t="shared" si="204"/>
        <v>12</v>
      </c>
      <c r="P4010" s="448">
        <v>13890</v>
      </c>
      <c r="Q4010" s="28">
        <f>182.59/1117.3</f>
        <v>0.1634207464423163</v>
      </c>
      <c r="R4010" s="312">
        <f t="shared" si="206"/>
        <v>2269.9141680837733</v>
      </c>
      <c r="S4010" s="313" t="e">
        <f>R4010*#REF!</f>
        <v>#REF!</v>
      </c>
      <c r="T4010" s="313" t="e">
        <f t="shared" si="205"/>
        <v>#REF!</v>
      </c>
      <c r="U4010" s="358">
        <v>0.1</v>
      </c>
      <c r="W4010" s="741">
        <f t="shared" si="202"/>
        <v>2496.9055848921507</v>
      </c>
    </row>
    <row r="4011" spans="1:23" ht="15" customHeight="1">
      <c r="A4011" s="3">
        <v>41494</v>
      </c>
      <c r="B4011" s="4">
        <v>300</v>
      </c>
      <c r="C4011" s="4">
        <v>73700</v>
      </c>
      <c r="D4011" s="5">
        <v>26600</v>
      </c>
      <c r="E4011" s="5">
        <f t="shared" si="203"/>
        <v>99225</v>
      </c>
      <c r="F4011" s="5">
        <v>199825</v>
      </c>
      <c r="G4011" s="5">
        <v>750</v>
      </c>
      <c r="H4011" s="5">
        <v>550</v>
      </c>
      <c r="I4011" s="5">
        <v>105525</v>
      </c>
      <c r="J4011" s="263">
        <f t="shared" si="198"/>
        <v>0.52808707619166773</v>
      </c>
      <c r="K4011" s="24">
        <v>2120</v>
      </c>
      <c r="L4011" s="6">
        <v>2129</v>
      </c>
      <c r="M4011" s="270">
        <f t="shared" si="204"/>
        <v>9</v>
      </c>
      <c r="P4011" s="448">
        <v>13950</v>
      </c>
      <c r="Q4011" s="28">
        <f>181.92/1113.6</f>
        <v>0.16336206896551725</v>
      </c>
      <c r="R4011" s="312">
        <f t="shared" si="206"/>
        <v>2278.9008620689656</v>
      </c>
      <c r="S4011" s="313" t="e">
        <f>R4011*#REF!</f>
        <v>#REF!</v>
      </c>
      <c r="T4011" s="313" t="e">
        <f t="shared" si="205"/>
        <v>#REF!</v>
      </c>
      <c r="U4011" s="358">
        <v>0.1</v>
      </c>
      <c r="W4011" s="741">
        <f t="shared" si="202"/>
        <v>2506.7909482758623</v>
      </c>
    </row>
    <row r="4012" spans="1:23" ht="15" customHeight="1">
      <c r="A4012" s="3">
        <v>41495</v>
      </c>
      <c r="B4012" s="4">
        <v>300</v>
      </c>
      <c r="C4012" s="4">
        <v>74450</v>
      </c>
      <c r="D4012" s="5">
        <v>26600</v>
      </c>
      <c r="E4012" s="5">
        <f t="shared" si="203"/>
        <v>97925</v>
      </c>
      <c r="F4012" s="5">
        <v>199275</v>
      </c>
      <c r="G4012" s="5">
        <v>0</v>
      </c>
      <c r="H4012" s="5">
        <v>550</v>
      </c>
      <c r="I4012" s="5">
        <v>104975</v>
      </c>
      <c r="J4012" s="263">
        <f t="shared" si="198"/>
        <v>0.52678459415380752</v>
      </c>
      <c r="K4012" s="24">
        <v>2152</v>
      </c>
      <c r="L4012" s="6">
        <v>2161</v>
      </c>
      <c r="M4012" s="270">
        <f t="shared" si="204"/>
        <v>9</v>
      </c>
      <c r="P4012" s="448">
        <v>14060</v>
      </c>
      <c r="Q4012" s="28">
        <f>181.64/1112</f>
        <v>0.16334532374100719</v>
      </c>
      <c r="R4012" s="312">
        <f t="shared" si="206"/>
        <v>2296.6352517985611</v>
      </c>
      <c r="S4012" s="313" t="e">
        <f>R4012*#REF!</f>
        <v>#REF!</v>
      </c>
      <c r="T4012" s="313" t="e">
        <f t="shared" si="205"/>
        <v>#REF!</v>
      </c>
      <c r="U4012" s="358">
        <v>0.1</v>
      </c>
      <c r="W4012" s="741">
        <f t="shared" si="202"/>
        <v>2526.2987769784172</v>
      </c>
    </row>
    <row r="4013" spans="1:23" ht="15" customHeight="1">
      <c r="A4013" s="3">
        <v>41498</v>
      </c>
      <c r="B4013" s="4">
        <v>300</v>
      </c>
      <c r="C4013" s="4">
        <v>74450</v>
      </c>
      <c r="D4013" s="5">
        <v>26600</v>
      </c>
      <c r="E4013" s="5">
        <f t="shared" si="203"/>
        <v>97375</v>
      </c>
      <c r="F4013" s="5">
        <v>198725</v>
      </c>
      <c r="G4013" s="5">
        <v>0</v>
      </c>
      <c r="H4013" s="5">
        <v>550</v>
      </c>
      <c r="I4013" s="5">
        <v>104425</v>
      </c>
      <c r="J4013" s="263">
        <f t="shared" si="198"/>
        <v>0.52547490250345952</v>
      </c>
      <c r="K4013" s="24">
        <v>2180</v>
      </c>
      <c r="L4013" s="6">
        <v>2192</v>
      </c>
      <c r="M4013" s="270">
        <f t="shared" si="204"/>
        <v>12</v>
      </c>
      <c r="P4013" s="448">
        <v>14240</v>
      </c>
      <c r="Q4013" s="28">
        <f>181.79/1113</f>
        <v>0.16333333333333333</v>
      </c>
      <c r="R4013" s="312">
        <f t="shared" si="206"/>
        <v>2325.8666666666668</v>
      </c>
      <c r="S4013" s="313" t="e">
        <f>R4013*#REF!</f>
        <v>#REF!</v>
      </c>
      <c r="T4013" s="313" t="e">
        <f t="shared" si="205"/>
        <v>#REF!</v>
      </c>
      <c r="U4013" s="358">
        <v>0.1</v>
      </c>
      <c r="W4013" s="741">
        <f t="shared" si="202"/>
        <v>2558.4533333333338</v>
      </c>
    </row>
    <row r="4014" spans="1:23" ht="15" customHeight="1">
      <c r="A4014" s="3">
        <v>41499</v>
      </c>
      <c r="B4014" s="4">
        <v>300</v>
      </c>
      <c r="C4014" s="4">
        <v>74450</v>
      </c>
      <c r="D4014" s="5">
        <v>26575</v>
      </c>
      <c r="E4014" s="5">
        <f t="shared" si="203"/>
        <v>96350</v>
      </c>
      <c r="F4014" s="5">
        <v>197675</v>
      </c>
      <c r="G4014" s="5">
        <v>0</v>
      </c>
      <c r="H4014" s="5">
        <v>1050</v>
      </c>
      <c r="I4014" s="5">
        <v>103375</v>
      </c>
      <c r="J4014" s="263">
        <f t="shared" si="198"/>
        <v>0.52295434425192866</v>
      </c>
      <c r="K4014" s="24">
        <v>2178</v>
      </c>
      <c r="L4014" s="6">
        <v>2190</v>
      </c>
      <c r="M4014" s="270">
        <f t="shared" si="204"/>
        <v>12</v>
      </c>
      <c r="P4014" s="448">
        <v>14290</v>
      </c>
      <c r="Q4014" s="28">
        <f>182.38/1116.5</f>
        <v>0.16334975369458127</v>
      </c>
      <c r="R4014" s="312">
        <f t="shared" si="206"/>
        <v>2334.2679802955663</v>
      </c>
      <c r="S4014" s="313" t="e">
        <f>R4014*#REF!</f>
        <v>#REF!</v>
      </c>
      <c r="T4014" s="313" t="e">
        <f t="shared" si="205"/>
        <v>#REF!</v>
      </c>
      <c r="U4014" s="358">
        <v>0.1</v>
      </c>
      <c r="W4014" s="741">
        <f t="shared" si="202"/>
        <v>2567.694778325123</v>
      </c>
    </row>
    <row r="4015" spans="1:23" ht="15" customHeight="1">
      <c r="A4015" s="3">
        <v>41500</v>
      </c>
      <c r="B4015" s="4">
        <v>300</v>
      </c>
      <c r="C4015" s="4">
        <v>74450</v>
      </c>
      <c r="D4015" s="5">
        <v>26475</v>
      </c>
      <c r="E4015" s="5">
        <f t="shared" si="203"/>
        <v>93800</v>
      </c>
      <c r="F4015" s="5">
        <v>195025</v>
      </c>
      <c r="G4015" s="5">
        <v>0</v>
      </c>
      <c r="H4015" s="5">
        <v>2650</v>
      </c>
      <c r="I4015" s="5">
        <v>100725</v>
      </c>
      <c r="J4015" s="263">
        <f t="shared" si="198"/>
        <v>0.5164722471478016</v>
      </c>
      <c r="K4015" s="24">
        <v>2169</v>
      </c>
      <c r="L4015" s="6">
        <v>2180</v>
      </c>
      <c r="M4015" s="270">
        <f t="shared" si="204"/>
        <v>11</v>
      </c>
      <c r="O4015" s="422"/>
      <c r="P4015" s="448">
        <v>14290</v>
      </c>
      <c r="Q4015" s="28">
        <f>182.38/1116.5</f>
        <v>0.16334975369458127</v>
      </c>
      <c r="R4015" s="312">
        <f t="shared" si="206"/>
        <v>2334.2679802955663</v>
      </c>
      <c r="S4015" s="313" t="e">
        <f>R4015*#REF!</f>
        <v>#REF!</v>
      </c>
      <c r="T4015" s="313" t="e">
        <f t="shared" si="205"/>
        <v>#REF!</v>
      </c>
      <c r="U4015" s="358">
        <v>0.1</v>
      </c>
      <c r="W4015" s="741">
        <f t="shared" si="202"/>
        <v>2567.694778325123</v>
      </c>
    </row>
    <row r="4016" spans="1:23" ht="15" customHeight="1">
      <c r="A4016" s="3">
        <v>41501</v>
      </c>
      <c r="B4016" s="4">
        <v>300</v>
      </c>
      <c r="C4016" s="4">
        <v>74450</v>
      </c>
      <c r="D4016" s="5">
        <v>25975</v>
      </c>
      <c r="E4016" s="5">
        <f t="shared" si="203"/>
        <v>91250</v>
      </c>
      <c r="F4016" s="5">
        <v>191975</v>
      </c>
      <c r="G4016" s="5">
        <v>0</v>
      </c>
      <c r="H4016" s="5">
        <v>3050</v>
      </c>
      <c r="I4016" s="5">
        <v>98975</v>
      </c>
      <c r="J4016" s="263">
        <f t="shared" si="198"/>
        <v>0.51556192212527674</v>
      </c>
      <c r="K4016" s="24">
        <v>2190</v>
      </c>
      <c r="L4016" s="6">
        <v>2200</v>
      </c>
      <c r="M4016" s="270">
        <f t="shared" si="204"/>
        <v>10</v>
      </c>
      <c r="P4016" s="448">
        <v>14420</v>
      </c>
      <c r="Q4016" s="28">
        <f>183.15/1119.5</f>
        <v>0.16359982134881645</v>
      </c>
      <c r="R4016" s="312">
        <f t="shared" si="206"/>
        <v>2359.1094238499331</v>
      </c>
      <c r="S4016" s="313" t="e">
        <f>R4016*#REF!</f>
        <v>#REF!</v>
      </c>
      <c r="T4016" s="313" t="e">
        <f t="shared" si="205"/>
        <v>#REF!</v>
      </c>
      <c r="U4016" s="358">
        <v>0.1</v>
      </c>
      <c r="W4016" s="741">
        <f t="shared" si="202"/>
        <v>2595.0203662349268</v>
      </c>
    </row>
    <row r="4017" spans="1:23" ht="15" customHeight="1">
      <c r="A4017" s="3">
        <v>41502</v>
      </c>
      <c r="B4017" s="4">
        <v>300</v>
      </c>
      <c r="C4017" s="4">
        <v>74450</v>
      </c>
      <c r="D4017" s="5">
        <v>25475</v>
      </c>
      <c r="E4017" s="5">
        <f t="shared" si="203"/>
        <v>90700</v>
      </c>
      <c r="F4017" s="5">
        <v>190925</v>
      </c>
      <c r="G4017" s="5">
        <v>0</v>
      </c>
      <c r="H4017" s="5">
        <v>1050</v>
      </c>
      <c r="I4017" s="5">
        <v>97925</v>
      </c>
      <c r="J4017" s="263">
        <f t="shared" si="198"/>
        <v>0.51289773471258349</v>
      </c>
      <c r="K4017" s="24">
        <v>2224.5</v>
      </c>
      <c r="L4017" s="6">
        <v>2230.5</v>
      </c>
      <c r="M4017" s="270">
        <f t="shared" si="204"/>
        <v>6</v>
      </c>
      <c r="P4017" s="448">
        <v>14640</v>
      </c>
      <c r="Q4017" s="28">
        <f>182.34/1115</f>
        <v>0.16353363228699552</v>
      </c>
      <c r="R4017" s="312">
        <f t="shared" si="206"/>
        <v>2394.1323766816145</v>
      </c>
      <c r="S4017" s="313" t="e">
        <f>R4017*#REF!</f>
        <v>#REF!</v>
      </c>
      <c r="T4017" s="313" t="e">
        <f t="shared" si="205"/>
        <v>#REF!</v>
      </c>
      <c r="U4017" s="358">
        <v>0.1</v>
      </c>
      <c r="W4017" s="741">
        <f t="shared" si="202"/>
        <v>2633.5456143497763</v>
      </c>
    </row>
    <row r="4018" spans="1:23" ht="15" customHeight="1">
      <c r="A4018" s="3">
        <v>41505</v>
      </c>
      <c r="B4018" s="4">
        <v>300</v>
      </c>
      <c r="C4018" s="4">
        <v>74450</v>
      </c>
      <c r="D4018" s="5">
        <v>24975</v>
      </c>
      <c r="E4018" s="5">
        <f t="shared" si="203"/>
        <v>89275</v>
      </c>
      <c r="F4018" s="5">
        <v>189000</v>
      </c>
      <c r="G4018" s="5">
        <v>975</v>
      </c>
      <c r="H4018" s="5">
        <v>2900</v>
      </c>
      <c r="I4018" s="5">
        <v>95025</v>
      </c>
      <c r="J4018" s="263">
        <f t="shared" si="198"/>
        <v>0.50277777777777777</v>
      </c>
      <c r="K4018" s="24">
        <v>2238</v>
      </c>
      <c r="L4018" s="6">
        <v>2242.5</v>
      </c>
      <c r="M4018" s="270">
        <f t="shared" si="204"/>
        <v>4.5</v>
      </c>
      <c r="N4018" s="429"/>
      <c r="P4018" s="448">
        <v>14940</v>
      </c>
      <c r="Q4018" s="28">
        <f>181.89/1113.7</f>
        <v>0.16332046332046329</v>
      </c>
      <c r="R4018" s="312">
        <f t="shared" si="206"/>
        <v>2440.0077220077214</v>
      </c>
      <c r="S4018" s="313" t="e">
        <f>R4018*#REF!</f>
        <v>#REF!</v>
      </c>
      <c r="T4018" s="313" t="e">
        <f t="shared" si="205"/>
        <v>#REF!</v>
      </c>
      <c r="U4018" s="358">
        <v>0.1</v>
      </c>
      <c r="W4018" s="741">
        <f t="shared" si="202"/>
        <v>2684.0084942084936</v>
      </c>
    </row>
    <row r="4019" spans="1:23" ht="15" customHeight="1">
      <c r="A4019" s="3">
        <v>41506</v>
      </c>
      <c r="B4019" s="4">
        <v>300</v>
      </c>
      <c r="C4019" s="4">
        <v>75025</v>
      </c>
      <c r="D4019" s="5">
        <v>24500</v>
      </c>
      <c r="E4019" s="5">
        <f t="shared" si="203"/>
        <v>86200</v>
      </c>
      <c r="F4019" s="5">
        <v>186025</v>
      </c>
      <c r="H4019" s="5">
        <v>2975</v>
      </c>
      <c r="I4019" s="5">
        <v>92050</v>
      </c>
      <c r="J4019" s="263">
        <f t="shared" si="198"/>
        <v>0.49482596425211667</v>
      </c>
      <c r="K4019" s="24">
        <v>2229.5</v>
      </c>
      <c r="L4019" s="6">
        <v>2234</v>
      </c>
      <c r="M4019" s="270">
        <f t="shared" si="204"/>
        <v>4.5</v>
      </c>
      <c r="N4019" s="429"/>
      <c r="P4019" s="448">
        <v>14810</v>
      </c>
      <c r="Q4019" s="28">
        <f>183.18/1121.9</f>
        <v>0.163276584365808</v>
      </c>
      <c r="R4019" s="312">
        <f t="shared" si="206"/>
        <v>2418.1262144576162</v>
      </c>
      <c r="S4019" s="313" t="e">
        <f>R4019*#REF!</f>
        <v>#REF!</v>
      </c>
      <c r="T4019" s="313" t="e">
        <f t="shared" si="205"/>
        <v>#REF!</v>
      </c>
      <c r="U4019" s="358">
        <v>0.1</v>
      </c>
      <c r="W4019" s="741">
        <f t="shared" si="202"/>
        <v>2659.9388359033783</v>
      </c>
    </row>
    <row r="4020" spans="1:23" ht="15" customHeight="1">
      <c r="A4020" s="3">
        <v>41507</v>
      </c>
      <c r="B4020" s="4">
        <v>300</v>
      </c>
      <c r="C4020" s="4">
        <v>75025</v>
      </c>
      <c r="D4020" s="5">
        <v>24000</v>
      </c>
      <c r="E4020" s="5">
        <f t="shared" si="203"/>
        <v>90275</v>
      </c>
      <c r="F4020" s="5">
        <v>189600</v>
      </c>
      <c r="G4020" s="5">
        <v>3575</v>
      </c>
      <c r="I4020" s="5">
        <v>90275</v>
      </c>
      <c r="J4020" s="263">
        <f t="shared" si="198"/>
        <v>0.47613396624472576</v>
      </c>
      <c r="K4020" s="24">
        <v>2220</v>
      </c>
      <c r="L4020" s="6">
        <v>2228.5</v>
      </c>
      <c r="M4020" s="270">
        <f t="shared" si="204"/>
        <v>8.5</v>
      </c>
      <c r="N4020" s="429"/>
      <c r="P4020" s="448">
        <v>14760</v>
      </c>
      <c r="Q4020" s="28">
        <f>182.59/1118.1</f>
        <v>0.16330381897862448</v>
      </c>
      <c r="R4020" s="312">
        <f t="shared" ref="R4020:R4038" si="207">P4020*Q4020</f>
        <v>2410.3643681244971</v>
      </c>
      <c r="S4020" s="313" t="e">
        <f>R4020*#REF!</f>
        <v>#REF!</v>
      </c>
      <c r="T4020" s="313" t="e">
        <f t="shared" si="205"/>
        <v>#REF!</v>
      </c>
      <c r="U4020" s="358">
        <v>0.1</v>
      </c>
      <c r="W4020" s="741">
        <f t="shared" si="202"/>
        <v>2651.4008049369472</v>
      </c>
    </row>
    <row r="4021" spans="1:23" ht="15" customHeight="1">
      <c r="A4021" s="3">
        <v>41508</v>
      </c>
      <c r="B4021" s="4">
        <v>300</v>
      </c>
      <c r="C4021" s="4">
        <v>75025</v>
      </c>
      <c r="D4021" s="5">
        <v>23525</v>
      </c>
      <c r="E4021" s="5">
        <f t="shared" si="203"/>
        <v>87775</v>
      </c>
      <c r="F4021" s="5">
        <v>186625</v>
      </c>
      <c r="H4021" s="5">
        <v>2975</v>
      </c>
      <c r="I4021" s="5">
        <v>87500</v>
      </c>
      <c r="J4021" s="263">
        <f t="shared" si="198"/>
        <v>0.46885465505693236</v>
      </c>
      <c r="K4021" s="24">
        <v>2227.5</v>
      </c>
      <c r="L4021" s="6">
        <v>2240</v>
      </c>
      <c r="M4021" s="270">
        <f t="shared" si="204"/>
        <v>12.5</v>
      </c>
      <c r="P4021" s="448">
        <v>14790</v>
      </c>
      <c r="Q4021" s="28">
        <f>183.68/1124.3</f>
        <v>0.16337276527617187</v>
      </c>
      <c r="R4021" s="312">
        <f t="shared" si="207"/>
        <v>2416.2831984345821</v>
      </c>
      <c r="S4021" s="313" t="e">
        <f>R4021*#REF!</f>
        <v>#REF!</v>
      </c>
      <c r="T4021" s="313" t="e">
        <f t="shared" si="205"/>
        <v>#REF!</v>
      </c>
      <c r="U4021" s="358">
        <v>0.1</v>
      </c>
      <c r="W4021" s="741">
        <f t="shared" si="202"/>
        <v>2657.9115182780406</v>
      </c>
    </row>
    <row r="4022" spans="1:23" ht="15" customHeight="1">
      <c r="A4022" s="3">
        <v>41509</v>
      </c>
      <c r="B4022" s="4">
        <v>300</v>
      </c>
      <c r="C4022" s="4">
        <v>75025</v>
      </c>
      <c r="D4022" s="5">
        <v>23025</v>
      </c>
      <c r="E4022" s="5">
        <f t="shared" si="203"/>
        <v>89500</v>
      </c>
      <c r="F4022" s="5">
        <v>187850</v>
      </c>
      <c r="G4022" s="5">
        <v>4225</v>
      </c>
      <c r="H4022" s="5">
        <v>3000</v>
      </c>
      <c r="I4022" s="5">
        <v>84500</v>
      </c>
      <c r="J4022" s="263">
        <f t="shared" si="198"/>
        <v>0.44982698961937717</v>
      </c>
      <c r="K4022" s="24">
        <v>2197</v>
      </c>
      <c r="L4022" s="6">
        <v>2209</v>
      </c>
      <c r="M4022" s="270">
        <f t="shared" si="204"/>
        <v>12</v>
      </c>
      <c r="O4022" s="422"/>
      <c r="P4022" s="448">
        <v>14790</v>
      </c>
      <c r="Q4022" s="28">
        <f>182.68/1118.2</f>
        <v>0.16336970130566983</v>
      </c>
      <c r="R4022" s="312">
        <f t="shared" si="207"/>
        <v>2416.2378823108565</v>
      </c>
      <c r="S4022" s="313" t="e">
        <f>R4022*#REF!</f>
        <v>#REF!</v>
      </c>
      <c r="T4022" s="313" t="e">
        <f t="shared" si="205"/>
        <v>#REF!</v>
      </c>
      <c r="U4022" s="358">
        <v>0.1</v>
      </c>
      <c r="W4022" s="741">
        <f t="shared" si="202"/>
        <v>2657.8616705419422</v>
      </c>
    </row>
    <row r="4023" spans="1:23" ht="15" customHeight="1">
      <c r="A4023" s="3">
        <v>41512</v>
      </c>
      <c r="B4023" s="455"/>
      <c r="C4023" s="455"/>
      <c r="D4023" s="455"/>
      <c r="F4023" s="455"/>
      <c r="G4023" s="26" t="s">
        <v>146</v>
      </c>
      <c r="H4023" s="26"/>
      <c r="I4023" s="26"/>
      <c r="M4023" s="270"/>
      <c r="O4023" s="422"/>
      <c r="P4023" s="448">
        <v>14860</v>
      </c>
      <c r="Q4023" s="28">
        <f>181.99/1114</f>
        <v>0.16336624775583483</v>
      </c>
      <c r="R4023" s="312">
        <f t="shared" si="207"/>
        <v>2427.6224416517057</v>
      </c>
      <c r="S4023" s="313" t="e">
        <f>R4023*#REF!</f>
        <v>#REF!</v>
      </c>
      <c r="T4023" s="313" t="e">
        <f t="shared" si="205"/>
        <v>#REF!</v>
      </c>
      <c r="U4023" s="358">
        <v>0.1</v>
      </c>
      <c r="W4023" s="741">
        <f t="shared" si="202"/>
        <v>2670.3846858168763</v>
      </c>
    </row>
    <row r="4024" spans="1:23" ht="15" customHeight="1">
      <c r="A4024" s="3">
        <v>41513</v>
      </c>
      <c r="B4024" s="4">
        <v>300</v>
      </c>
      <c r="C4024" s="4">
        <v>77625</v>
      </c>
      <c r="D4024" s="5">
        <v>22525</v>
      </c>
      <c r="E4024" s="5">
        <f t="shared" si="203"/>
        <v>86075</v>
      </c>
      <c r="F4024" s="5">
        <v>186525</v>
      </c>
      <c r="G4024" s="5">
        <v>0</v>
      </c>
      <c r="H4024" s="5">
        <v>1325</v>
      </c>
      <c r="I4024" s="5">
        <v>83175</v>
      </c>
      <c r="J4024" s="263">
        <f t="shared" si="198"/>
        <v>0.44591877764374749</v>
      </c>
      <c r="K4024" s="24">
        <v>2205.5</v>
      </c>
      <c r="L4024" s="6">
        <v>2222</v>
      </c>
      <c r="M4024" s="270">
        <f t="shared" si="204"/>
        <v>16.5</v>
      </c>
      <c r="P4024" s="448">
        <v>14860</v>
      </c>
      <c r="Q4024" s="28">
        <f>182.27/1115.8</f>
        <v>0.16335364760709806</v>
      </c>
      <c r="R4024" s="312">
        <f t="shared" si="207"/>
        <v>2427.4352034414769</v>
      </c>
      <c r="S4024" s="313" t="e">
        <f>R4024*#REF!</f>
        <v>#REF!</v>
      </c>
      <c r="T4024" s="313" t="e">
        <f t="shared" si="205"/>
        <v>#REF!</v>
      </c>
      <c r="U4024" s="358">
        <v>0.1</v>
      </c>
      <c r="W4024" s="741">
        <f t="shared" si="202"/>
        <v>2670.1787237856247</v>
      </c>
    </row>
    <row r="4025" spans="1:23" ht="15" customHeight="1">
      <c r="A4025" s="3">
        <v>41514</v>
      </c>
      <c r="B4025" s="4">
        <v>0</v>
      </c>
      <c r="C4025" s="4">
        <v>77625</v>
      </c>
      <c r="D4025" s="5">
        <v>21525</v>
      </c>
      <c r="E4025" s="5">
        <f t="shared" si="203"/>
        <v>86800</v>
      </c>
      <c r="F4025" s="5">
        <v>185950</v>
      </c>
      <c r="G4025" s="5">
        <v>800</v>
      </c>
      <c r="H4025" s="5">
        <v>1375</v>
      </c>
      <c r="I4025" s="5">
        <v>81800</v>
      </c>
      <c r="J4025" s="263">
        <f t="shared" si="198"/>
        <v>0.4399031997848884</v>
      </c>
      <c r="K4025" s="24">
        <v>2229.5</v>
      </c>
      <c r="L4025" s="6">
        <v>2227</v>
      </c>
      <c r="M4025" s="270">
        <f t="shared" si="204"/>
        <v>-2.5</v>
      </c>
      <c r="P4025" s="448">
        <v>14860</v>
      </c>
      <c r="Q4025" s="28">
        <f>182.51/1117</f>
        <v>0.16339301700984779</v>
      </c>
      <c r="R4025" s="312">
        <f t="shared" si="207"/>
        <v>2428.0202327663383</v>
      </c>
      <c r="S4025" s="313" t="e">
        <f>R4025*#REF!</f>
        <v>#REF!</v>
      </c>
      <c r="T4025" s="313" t="e">
        <f t="shared" si="205"/>
        <v>#REF!</v>
      </c>
      <c r="U4025" s="358">
        <v>0.1</v>
      </c>
      <c r="W4025" s="741">
        <f t="shared" si="202"/>
        <v>2670.8222560429722</v>
      </c>
    </row>
    <row r="4026" spans="1:23" ht="15" customHeight="1">
      <c r="A4026" s="3">
        <v>41515</v>
      </c>
      <c r="B4026" s="4">
        <v>0</v>
      </c>
      <c r="C4026" s="4">
        <v>78425</v>
      </c>
      <c r="D4026" s="5">
        <v>20975</v>
      </c>
      <c r="E4026" s="5">
        <f t="shared" si="203"/>
        <v>86800</v>
      </c>
      <c r="F4026" s="5">
        <v>186200</v>
      </c>
      <c r="G4026" s="5">
        <v>800</v>
      </c>
      <c r="H4026" s="5">
        <v>550</v>
      </c>
      <c r="I4026" s="5">
        <v>81250</v>
      </c>
      <c r="J4026" s="263">
        <f t="shared" si="198"/>
        <v>0.43635875402792695</v>
      </c>
      <c r="K4026" s="24">
        <v>2200</v>
      </c>
      <c r="L4026" s="6">
        <v>2203</v>
      </c>
      <c r="M4026" s="270">
        <f t="shared" si="204"/>
        <v>3</v>
      </c>
      <c r="P4026" s="448">
        <v>14760</v>
      </c>
      <c r="Q4026" s="28">
        <f>181.51/1110.9</f>
        <v>0.16339004410838057</v>
      </c>
      <c r="R4026" s="312">
        <f t="shared" si="207"/>
        <v>2411.6370510396973</v>
      </c>
      <c r="S4026" s="313" t="e">
        <f>R4026*#REF!</f>
        <v>#REF!</v>
      </c>
      <c r="T4026" s="313" t="e">
        <f t="shared" si="205"/>
        <v>#REF!</v>
      </c>
      <c r="U4026" s="358">
        <v>0.1</v>
      </c>
      <c r="W4026" s="741">
        <f t="shared" si="202"/>
        <v>2652.8007561436671</v>
      </c>
    </row>
    <row r="4027" spans="1:23" ht="15" customHeight="1">
      <c r="A4027" s="3">
        <v>41516</v>
      </c>
      <c r="B4027" s="4">
        <v>0</v>
      </c>
      <c r="C4027" s="4">
        <v>78425</v>
      </c>
      <c r="D4027" s="5">
        <v>20450</v>
      </c>
      <c r="E4027" s="5">
        <f t="shared" si="203"/>
        <v>86800</v>
      </c>
      <c r="F4027" s="5">
        <v>185675</v>
      </c>
      <c r="G4027" s="5">
        <v>0</v>
      </c>
      <c r="H4027" s="5">
        <v>525</v>
      </c>
      <c r="I4027" s="5">
        <v>80725</v>
      </c>
      <c r="J4027" s="263">
        <f t="shared" si="198"/>
        <v>0.4347650464521341</v>
      </c>
      <c r="K4027" s="24">
        <v>2160.5</v>
      </c>
      <c r="L4027" s="6">
        <v>2165</v>
      </c>
      <c r="M4027" s="270">
        <f t="shared" si="204"/>
        <v>4.5</v>
      </c>
      <c r="N4027" s="420">
        <f>AVERAGE(K4006:K4027)</f>
        <v>2173.4523809523807</v>
      </c>
      <c r="O4027" s="410">
        <f>AVERAGE(K3848:K4027)</f>
        <v>2159.1517857142858</v>
      </c>
      <c r="P4027" s="448">
        <v>14690</v>
      </c>
      <c r="Q4027" s="28">
        <f>181.32/1109.6</f>
        <v>0.16341023792357606</v>
      </c>
      <c r="R4027" s="312">
        <f t="shared" si="207"/>
        <v>2400.4963950973324</v>
      </c>
      <c r="S4027" s="313" t="e">
        <f>R4027*#REF!</f>
        <v>#REF!</v>
      </c>
      <c r="T4027" s="313" t="e">
        <f t="shared" si="205"/>
        <v>#REF!</v>
      </c>
      <c r="U4027" s="358">
        <v>0.1</v>
      </c>
      <c r="W4027" s="741">
        <f t="shared" ref="W4027:W4048" si="208">(P4027*Q4027)*(1+U4027)</f>
        <v>2640.5460346070658</v>
      </c>
    </row>
    <row r="4028" spans="1:23" ht="15" customHeight="1" thickBot="1">
      <c r="A4028" s="392"/>
      <c r="B4028" s="995"/>
      <c r="C4028" s="995"/>
      <c r="D4028" s="995"/>
      <c r="E4028" s="995"/>
      <c r="F4028" s="392"/>
      <c r="G4028" s="332"/>
      <c r="H4028" s="332"/>
      <c r="I4028" s="332"/>
      <c r="J4028" s="334"/>
      <c r="K4028" s="334"/>
      <c r="L4028" s="335"/>
      <c r="M4028" s="336"/>
      <c r="N4028" s="337"/>
      <c r="O4028" s="353"/>
      <c r="P4028" s="350"/>
      <c r="Q4028" s="299"/>
      <c r="R4028" s="453"/>
      <c r="S4028" s="454"/>
      <c r="T4028" s="454"/>
      <c r="U4028" s="302"/>
      <c r="V4028" s="298">
        <f>AVERAGE(P4006:P4027)</f>
        <v>14420</v>
      </c>
      <c r="W4028" s="751"/>
    </row>
    <row r="4029" spans="1:23" ht="15" customHeight="1">
      <c r="A4029" s="3">
        <v>41519</v>
      </c>
      <c r="B4029" s="4">
        <v>0</v>
      </c>
      <c r="C4029" s="4">
        <v>78425</v>
      </c>
      <c r="D4029" s="5">
        <v>19925</v>
      </c>
      <c r="E4029" s="5">
        <f t="shared" ref="E4029:E4044" si="209">F4029-D4029-C4029-B4029</f>
        <v>86800</v>
      </c>
      <c r="F4029" s="5">
        <v>185150</v>
      </c>
      <c r="G4029" s="5">
        <v>0</v>
      </c>
      <c r="H4029" s="5">
        <v>525</v>
      </c>
      <c r="I4029" s="5">
        <v>80200</v>
      </c>
      <c r="J4029" s="263">
        <f t="shared" ref="J4029:J4080" si="210">I4029/F4029</f>
        <v>0.43316230083715906</v>
      </c>
      <c r="K4029" s="24">
        <v>2152</v>
      </c>
      <c r="L4029" s="6">
        <v>2161.5</v>
      </c>
      <c r="M4029" s="270">
        <f t="shared" ref="M4029:M4113" si="211">L4029-K4029</f>
        <v>9.5</v>
      </c>
      <c r="P4029" s="448">
        <v>14690</v>
      </c>
      <c r="Q4029" s="28">
        <f>180.42/1104.1</f>
        <v>0.16340911149352413</v>
      </c>
      <c r="R4029" s="312">
        <f t="shared" si="207"/>
        <v>2400.4798478398693</v>
      </c>
      <c r="S4029" s="313" t="e">
        <f>R4029*#REF!</f>
        <v>#REF!</v>
      </c>
      <c r="T4029" s="313" t="e">
        <f t="shared" ref="T4029:T4038" si="212">(R4029+S4029)*U4029</f>
        <v>#REF!</v>
      </c>
      <c r="U4029" s="358">
        <v>0.1</v>
      </c>
      <c r="W4029" s="741">
        <f t="shared" si="208"/>
        <v>2640.5278326238563</v>
      </c>
    </row>
    <row r="4030" spans="1:23" ht="15" customHeight="1">
      <c r="A4030" s="3">
        <v>41520</v>
      </c>
      <c r="B4030" s="4">
        <v>0</v>
      </c>
      <c r="C4030" s="4">
        <v>78425</v>
      </c>
      <c r="D4030" s="5">
        <v>19500</v>
      </c>
      <c r="E4030" s="5">
        <f t="shared" si="209"/>
        <v>86800</v>
      </c>
      <c r="F4030" s="5">
        <v>184725</v>
      </c>
      <c r="G4030" s="5">
        <v>0</v>
      </c>
      <c r="H4030" s="5">
        <v>425</v>
      </c>
      <c r="I4030" s="5">
        <v>79775</v>
      </c>
      <c r="J4030" s="263">
        <f t="shared" si="210"/>
        <v>0.4318581675463527</v>
      </c>
      <c r="K4030" s="24">
        <v>2151.5</v>
      </c>
      <c r="L4030" s="6">
        <v>2168</v>
      </c>
      <c r="M4030" s="270">
        <f t="shared" si="211"/>
        <v>16.5</v>
      </c>
      <c r="P4030" s="448">
        <v>14660</v>
      </c>
      <c r="Q4030" s="28">
        <f>179.05/1095.9</f>
        <v>0.16338169541016515</v>
      </c>
      <c r="R4030" s="312">
        <f t="shared" si="207"/>
        <v>2395.1756547130212</v>
      </c>
      <c r="S4030" s="313" t="e">
        <f>R4030*#REF!</f>
        <v>#REF!</v>
      </c>
      <c r="T4030" s="313" t="e">
        <f t="shared" si="212"/>
        <v>#REF!</v>
      </c>
      <c r="U4030" s="358">
        <v>0.1</v>
      </c>
      <c r="W4030" s="741">
        <f t="shared" si="208"/>
        <v>2634.6932201843238</v>
      </c>
    </row>
    <row r="4031" spans="1:23" ht="15" customHeight="1">
      <c r="A4031" s="3">
        <v>41521</v>
      </c>
      <c r="B4031" s="4">
        <v>0</v>
      </c>
      <c r="C4031" s="4">
        <v>78425</v>
      </c>
      <c r="D4031" s="5">
        <v>19500</v>
      </c>
      <c r="E4031" s="5">
        <f t="shared" si="209"/>
        <v>87425</v>
      </c>
      <c r="F4031" s="5">
        <v>185350</v>
      </c>
      <c r="G4031" s="5">
        <v>625</v>
      </c>
      <c r="H4031" s="5">
        <v>0</v>
      </c>
      <c r="I4031" s="5">
        <v>79775</v>
      </c>
      <c r="J4031" s="263">
        <f t="shared" si="210"/>
        <v>0.43040194227137846</v>
      </c>
      <c r="K4031" s="24">
        <v>2122</v>
      </c>
      <c r="L4031" s="6">
        <v>2127.5</v>
      </c>
      <c r="M4031" s="270">
        <f t="shared" si="211"/>
        <v>5.5</v>
      </c>
      <c r="P4031" s="448">
        <v>14490</v>
      </c>
      <c r="Q4031" s="28">
        <f>179.7/1099.8</f>
        <v>0.16339334424440807</v>
      </c>
      <c r="R4031" s="312">
        <f t="shared" si="207"/>
        <v>2367.5695581014729</v>
      </c>
      <c r="S4031" s="313" t="e">
        <f>R4031*#REF!</f>
        <v>#REF!</v>
      </c>
      <c r="T4031" s="313" t="e">
        <f t="shared" si="212"/>
        <v>#REF!</v>
      </c>
      <c r="U4031" s="358">
        <v>0.1</v>
      </c>
      <c r="W4031" s="741">
        <f t="shared" si="208"/>
        <v>2604.3265139116206</v>
      </c>
    </row>
    <row r="4032" spans="1:23" ht="15" customHeight="1">
      <c r="A4032" s="3">
        <v>41522</v>
      </c>
      <c r="B4032" s="4">
        <v>0</v>
      </c>
      <c r="C4032" s="4">
        <v>79050</v>
      </c>
      <c r="D4032" s="5">
        <v>19000</v>
      </c>
      <c r="E4032" s="5">
        <f t="shared" si="209"/>
        <v>86400</v>
      </c>
      <c r="F4032" s="5">
        <v>184450</v>
      </c>
      <c r="G4032" s="5">
        <v>0</v>
      </c>
      <c r="H4032" s="5">
        <v>900</v>
      </c>
      <c r="I4032" s="5">
        <v>78875</v>
      </c>
      <c r="J4032" s="263">
        <f t="shared" si="210"/>
        <v>0.42762266196801302</v>
      </c>
      <c r="K4032" s="24">
        <v>2122</v>
      </c>
      <c r="L4032" s="6">
        <v>2137</v>
      </c>
      <c r="M4032" s="270">
        <f t="shared" si="211"/>
        <v>15</v>
      </c>
      <c r="O4032" s="422"/>
      <c r="P4032" s="448">
        <v>14440</v>
      </c>
      <c r="Q4032" s="28">
        <f>178.73/1093.8</f>
        <v>0.16340281587127445</v>
      </c>
      <c r="R4032" s="312">
        <f t="shared" si="207"/>
        <v>2359.5366611812028</v>
      </c>
      <c r="S4032" s="313" t="e">
        <f>R4032*#REF!</f>
        <v>#REF!</v>
      </c>
      <c r="T4032" s="313" t="e">
        <f t="shared" si="212"/>
        <v>#REF!</v>
      </c>
      <c r="U4032" s="358">
        <v>0.1</v>
      </c>
      <c r="W4032" s="741">
        <f t="shared" si="208"/>
        <v>2595.4903272993233</v>
      </c>
    </row>
    <row r="4033" spans="1:32" ht="15" customHeight="1">
      <c r="A4033" s="3">
        <v>41523</v>
      </c>
      <c r="B4033" s="4">
        <v>0</v>
      </c>
      <c r="C4033" s="4">
        <v>79050</v>
      </c>
      <c r="D4033" s="5">
        <v>18450</v>
      </c>
      <c r="E4033" s="5">
        <f t="shared" si="209"/>
        <v>85900</v>
      </c>
      <c r="F4033" s="5">
        <v>183400</v>
      </c>
      <c r="G4033" s="5">
        <v>0</v>
      </c>
      <c r="H4033" s="5">
        <v>1050</v>
      </c>
      <c r="I4033" s="5">
        <v>77825</v>
      </c>
      <c r="J4033" s="263">
        <f t="shared" si="210"/>
        <v>0.42434569247546344</v>
      </c>
      <c r="K4033" s="24">
        <v>2151</v>
      </c>
      <c r="L4033" s="6">
        <v>2165</v>
      </c>
      <c r="M4033" s="270">
        <f t="shared" si="211"/>
        <v>14</v>
      </c>
      <c r="O4033" s="422"/>
      <c r="P4033" s="448">
        <v>14360</v>
      </c>
      <c r="Q4033" s="28">
        <f>178.97/1095.4</f>
        <v>0.16338323899945223</v>
      </c>
      <c r="R4033" s="312">
        <f t="shared" si="207"/>
        <v>2346.1833120321339</v>
      </c>
      <c r="S4033" s="313" t="e">
        <f>R4033*#REF!</f>
        <v>#REF!</v>
      </c>
      <c r="T4033" s="313" t="e">
        <f t="shared" si="212"/>
        <v>#REF!</v>
      </c>
      <c r="U4033" s="358">
        <v>0.1</v>
      </c>
      <c r="W4033" s="741">
        <f t="shared" si="208"/>
        <v>2580.8016432353475</v>
      </c>
    </row>
    <row r="4034" spans="1:32" ht="15" customHeight="1">
      <c r="A4034" s="3">
        <v>41526</v>
      </c>
      <c r="B4034" s="4">
        <v>0</v>
      </c>
      <c r="C4034" s="4">
        <v>79050</v>
      </c>
      <c r="D4034" s="5">
        <v>17925</v>
      </c>
      <c r="E4034" s="5">
        <f t="shared" si="209"/>
        <v>85400</v>
      </c>
      <c r="F4034" s="5">
        <v>182375</v>
      </c>
      <c r="G4034" s="5">
        <v>0</v>
      </c>
      <c r="H4034" s="5">
        <v>1025</v>
      </c>
      <c r="I4034" s="5">
        <v>76800</v>
      </c>
      <c r="J4034" s="263">
        <f t="shared" si="210"/>
        <v>0.42111034955448939</v>
      </c>
      <c r="K4034" s="24">
        <v>2134.5</v>
      </c>
      <c r="L4034" s="6">
        <v>2156.5</v>
      </c>
      <c r="M4034" s="270">
        <f t="shared" si="211"/>
        <v>22</v>
      </c>
      <c r="P4034" s="448">
        <v>14440</v>
      </c>
      <c r="Q4034" s="28">
        <f>177.78/1088.2</f>
        <v>0.16337070391472155</v>
      </c>
      <c r="R4034" s="312">
        <f t="shared" si="207"/>
        <v>2359.0729645285792</v>
      </c>
      <c r="S4034" s="313" t="e">
        <f>R4034*#REF!</f>
        <v>#REF!</v>
      </c>
      <c r="T4034" s="313" t="e">
        <f t="shared" si="212"/>
        <v>#REF!</v>
      </c>
      <c r="U4034" s="358">
        <v>0.1</v>
      </c>
      <c r="W4034" s="741">
        <f t="shared" si="208"/>
        <v>2594.9802609814374</v>
      </c>
    </row>
    <row r="4035" spans="1:32" ht="15" customHeight="1">
      <c r="A4035" s="3">
        <v>41527</v>
      </c>
      <c r="B4035" s="4">
        <v>0</v>
      </c>
      <c r="C4035" s="4">
        <v>79050</v>
      </c>
      <c r="D4035" s="5">
        <v>17475</v>
      </c>
      <c r="E4035" s="5">
        <f t="shared" si="209"/>
        <v>84900</v>
      </c>
      <c r="F4035" s="5">
        <v>181425</v>
      </c>
      <c r="G4035" s="5">
        <v>0</v>
      </c>
      <c r="H4035" s="5">
        <v>950</v>
      </c>
      <c r="I4035" s="5">
        <v>75850</v>
      </c>
      <c r="J4035" s="263">
        <f t="shared" si="210"/>
        <v>0.41807909604519772</v>
      </c>
      <c r="K4035" s="24">
        <v>2125</v>
      </c>
      <c r="L4035" s="6">
        <v>2141.5</v>
      </c>
      <c r="M4035" s="270">
        <f t="shared" si="211"/>
        <v>16.5</v>
      </c>
      <c r="P4035" s="448">
        <v>14390</v>
      </c>
      <c r="Q4035" s="28">
        <f>177.27/1084.9</f>
        <v>0.16339754816112084</v>
      </c>
      <c r="R4035" s="312">
        <f t="shared" si="207"/>
        <v>2351.2907180385291</v>
      </c>
      <c r="S4035" s="313" t="e">
        <f>R4035*#REF!</f>
        <v>#REF!</v>
      </c>
      <c r="T4035" s="313" t="e">
        <f t="shared" si="212"/>
        <v>#REF!</v>
      </c>
      <c r="U4035" s="358">
        <v>0.1</v>
      </c>
      <c r="W4035" s="741">
        <f t="shared" si="208"/>
        <v>2586.4197898423822</v>
      </c>
    </row>
    <row r="4036" spans="1:32" ht="15" customHeight="1">
      <c r="A4036" s="3">
        <v>41528</v>
      </c>
      <c r="B4036" s="4">
        <v>0</v>
      </c>
      <c r="C4036" s="4">
        <v>79050</v>
      </c>
      <c r="D4036" s="5">
        <v>16975</v>
      </c>
      <c r="E4036" s="5">
        <f t="shared" si="209"/>
        <v>84400</v>
      </c>
      <c r="F4036" s="5">
        <v>180425</v>
      </c>
      <c r="G4036" s="5">
        <v>0</v>
      </c>
      <c r="H4036" s="5">
        <v>1000</v>
      </c>
      <c r="I4036" s="5">
        <v>74850</v>
      </c>
      <c r="J4036" s="263">
        <f t="shared" si="210"/>
        <v>0.41485381737564087</v>
      </c>
      <c r="K4036" s="24">
        <v>2120</v>
      </c>
      <c r="L4036" s="6">
        <v>2140</v>
      </c>
      <c r="M4036" s="270">
        <f t="shared" si="211"/>
        <v>20</v>
      </c>
      <c r="N4036" s="429"/>
      <c r="P4036" s="448">
        <v>14370</v>
      </c>
      <c r="Q4036" s="28">
        <f>177.67/1087.1</f>
        <v>0.16343482660288841</v>
      </c>
      <c r="R4036" s="312">
        <f t="shared" si="207"/>
        <v>2348.5584582835063</v>
      </c>
      <c r="S4036" s="313" t="e">
        <f>R4036*#REF!</f>
        <v>#REF!</v>
      </c>
      <c r="T4036" s="313" t="e">
        <f t="shared" si="212"/>
        <v>#REF!</v>
      </c>
      <c r="U4036" s="358">
        <v>0.1</v>
      </c>
      <c r="W4036" s="741">
        <f t="shared" si="208"/>
        <v>2583.4143041118573</v>
      </c>
    </row>
    <row r="4037" spans="1:32" ht="15" customHeight="1">
      <c r="A4037" s="3">
        <v>41529</v>
      </c>
      <c r="B4037" s="4">
        <v>0</v>
      </c>
      <c r="C4037" s="4">
        <v>79050</v>
      </c>
      <c r="D4037" s="5">
        <v>16475</v>
      </c>
      <c r="E4037" s="5">
        <f t="shared" si="209"/>
        <v>86675</v>
      </c>
      <c r="F4037" s="5">
        <v>182200</v>
      </c>
      <c r="G4037" s="5">
        <v>1775</v>
      </c>
      <c r="H4037" s="5">
        <v>0</v>
      </c>
      <c r="I4037" s="5">
        <v>73850</v>
      </c>
      <c r="J4037" s="263">
        <f t="shared" si="210"/>
        <v>0.40532381997804612</v>
      </c>
      <c r="K4037" s="24">
        <v>2083</v>
      </c>
      <c r="L4037" s="6">
        <v>2103.5</v>
      </c>
      <c r="M4037" s="270">
        <f t="shared" si="211"/>
        <v>20.5</v>
      </c>
      <c r="N4037" s="429"/>
      <c r="P4037" s="448">
        <v>14340</v>
      </c>
      <c r="Q4037" s="28">
        <f>178.8/1094.2</f>
        <v>0.16340705538292816</v>
      </c>
      <c r="R4037" s="312">
        <f t="shared" si="207"/>
        <v>2343.2571741911897</v>
      </c>
      <c r="S4037" s="313" t="e">
        <f>R4037*#REF!</f>
        <v>#REF!</v>
      </c>
      <c r="T4037" s="313" t="e">
        <f t="shared" si="212"/>
        <v>#REF!</v>
      </c>
      <c r="U4037" s="358">
        <v>0.1</v>
      </c>
      <c r="W4037" s="741">
        <f t="shared" si="208"/>
        <v>2577.5828916103087</v>
      </c>
    </row>
    <row r="4038" spans="1:32" ht="15" customHeight="1">
      <c r="A4038" s="3">
        <v>41530</v>
      </c>
      <c r="B4038" s="4">
        <v>0</v>
      </c>
      <c r="C4038" s="4">
        <v>79050</v>
      </c>
      <c r="D4038" s="5">
        <v>16000</v>
      </c>
      <c r="E4038" s="5">
        <f t="shared" si="209"/>
        <v>136625</v>
      </c>
      <c r="F4038" s="5">
        <v>231675</v>
      </c>
      <c r="G4038" s="5">
        <v>50450</v>
      </c>
      <c r="H4038" s="5">
        <v>975</v>
      </c>
      <c r="I4038" s="5">
        <v>72875</v>
      </c>
      <c r="J4038" s="263">
        <f t="shared" si="210"/>
        <v>0.31455703032265026</v>
      </c>
      <c r="K4038" s="24">
        <v>2063</v>
      </c>
      <c r="L4038" s="6">
        <v>2088.5</v>
      </c>
      <c r="M4038" s="270">
        <f t="shared" si="211"/>
        <v>25.5</v>
      </c>
      <c r="P4038" s="448">
        <v>14290</v>
      </c>
      <c r="Q4038" s="28">
        <f>177.37/1085.3</f>
        <v>0.16342946650695661</v>
      </c>
      <c r="R4038" s="312">
        <f t="shared" si="207"/>
        <v>2335.4070763844102</v>
      </c>
      <c r="S4038" s="313" t="e">
        <f>R4038*#REF!</f>
        <v>#REF!</v>
      </c>
      <c r="T4038" s="313" t="e">
        <f t="shared" si="212"/>
        <v>#REF!</v>
      </c>
      <c r="U4038" s="358">
        <v>0.1</v>
      </c>
      <c r="W4038" s="741">
        <f t="shared" si="208"/>
        <v>2568.9477840228515</v>
      </c>
    </row>
    <row r="4039" spans="1:32" ht="15" customHeight="1">
      <c r="A4039" s="3">
        <v>41533</v>
      </c>
      <c r="B4039" s="4">
        <v>4400</v>
      </c>
      <c r="C4039" s="4">
        <v>79050</v>
      </c>
      <c r="D4039" s="5">
        <v>15475</v>
      </c>
      <c r="E4039" s="5">
        <f t="shared" si="209"/>
        <v>132300</v>
      </c>
      <c r="F4039" s="5">
        <v>231225</v>
      </c>
      <c r="G4039" s="5">
        <v>575</v>
      </c>
      <c r="H4039" s="5">
        <v>1025</v>
      </c>
      <c r="I4039" s="5">
        <v>71850</v>
      </c>
      <c r="J4039" s="263">
        <f t="shared" si="210"/>
        <v>0.31073629581576384</v>
      </c>
      <c r="K4039" s="24">
        <v>2039.5</v>
      </c>
      <c r="L4039" s="6">
        <v>2065</v>
      </c>
      <c r="M4039" s="270">
        <f t="shared" si="211"/>
        <v>25.5</v>
      </c>
      <c r="P4039" s="448">
        <v>14190</v>
      </c>
      <c r="Q4039" s="28">
        <f>176.82/1082.2</f>
        <v>0.16338939197930141</v>
      </c>
      <c r="U4039" s="358">
        <v>0.1</v>
      </c>
      <c r="W4039" s="741">
        <f t="shared" si="208"/>
        <v>2550.3450194049155</v>
      </c>
    </row>
    <row r="4040" spans="1:32" ht="15" customHeight="1">
      <c r="A4040" s="3">
        <v>41534</v>
      </c>
      <c r="B4040" s="4">
        <v>0</v>
      </c>
      <c r="C4040" s="4">
        <v>79050</v>
      </c>
      <c r="D4040" s="5">
        <v>15000</v>
      </c>
      <c r="E4040" s="5">
        <f t="shared" si="209"/>
        <v>152050</v>
      </c>
      <c r="F4040" s="5">
        <v>246100</v>
      </c>
      <c r="G4040" s="5">
        <v>15850</v>
      </c>
      <c r="H4040" s="5">
        <v>975</v>
      </c>
      <c r="I4040" s="5">
        <v>70875</v>
      </c>
      <c r="J4040" s="263">
        <f t="shared" si="210"/>
        <v>0.28799268590004062</v>
      </c>
      <c r="K4040" s="24">
        <v>2023</v>
      </c>
      <c r="L4040" s="6">
        <v>2046</v>
      </c>
      <c r="M4040" s="270">
        <f t="shared" si="211"/>
        <v>23</v>
      </c>
      <c r="P4040" s="448">
        <v>14060</v>
      </c>
      <c r="Q4040" s="28">
        <f>176.82/1082.2</f>
        <v>0.16338939197930141</v>
      </c>
      <c r="R4040" s="312">
        <f>P4040*Q4040</f>
        <v>2297.2548512289777</v>
      </c>
      <c r="S4040" s="313" t="e">
        <f>R4040*#REF!</f>
        <v>#REF!</v>
      </c>
      <c r="T4040" s="313" t="e">
        <f t="shared" ref="T4040:T4049" si="213">(R4040+S4040)*U4040</f>
        <v>#REF!</v>
      </c>
      <c r="U4040" s="358">
        <v>0.1</v>
      </c>
      <c r="W4040" s="741">
        <f t="shared" si="208"/>
        <v>2526.9803363518758</v>
      </c>
    </row>
    <row r="4041" spans="1:32" ht="15" customHeight="1">
      <c r="A4041" s="3">
        <v>41535</v>
      </c>
      <c r="B4041" s="4">
        <v>0</v>
      </c>
      <c r="C4041" s="4">
        <v>79050</v>
      </c>
      <c r="D4041" s="5">
        <v>14500</v>
      </c>
      <c r="E4041" s="5">
        <f t="shared" si="209"/>
        <v>151550</v>
      </c>
      <c r="F4041" s="5">
        <v>245100</v>
      </c>
      <c r="G4041" s="5">
        <v>0</v>
      </c>
      <c r="H4041" s="5">
        <v>1000</v>
      </c>
      <c r="I4041" s="5">
        <v>69875</v>
      </c>
      <c r="J4041" s="263">
        <f t="shared" si="210"/>
        <v>0.28508771929824561</v>
      </c>
      <c r="K4041" s="24">
        <v>2053</v>
      </c>
      <c r="L4041" s="6">
        <v>2075</v>
      </c>
      <c r="M4041" s="270">
        <f t="shared" si="211"/>
        <v>22</v>
      </c>
      <c r="P4041" s="448">
        <v>13990</v>
      </c>
      <c r="Q4041" s="28">
        <f>176.82/1082.2</f>
        <v>0.16338939197930141</v>
      </c>
      <c r="R4041" s="312">
        <f>P4041*Q4041</f>
        <v>2285.8175937904266</v>
      </c>
      <c r="S4041" s="313" t="e">
        <f>R4041*#REF!</f>
        <v>#REF!</v>
      </c>
      <c r="T4041" s="313" t="e">
        <f t="shared" si="213"/>
        <v>#REF!</v>
      </c>
      <c r="U4041" s="358">
        <v>0.1</v>
      </c>
      <c r="W4041" s="741">
        <f t="shared" si="208"/>
        <v>2514.3993531694696</v>
      </c>
    </row>
    <row r="4042" spans="1:32" ht="15" customHeight="1">
      <c r="A4042" s="3">
        <v>41536</v>
      </c>
      <c r="B4042" s="4">
        <v>0</v>
      </c>
      <c r="C4042" s="4">
        <v>79050</v>
      </c>
      <c r="D4042" s="5">
        <v>14000</v>
      </c>
      <c r="E4042" s="5">
        <f t="shared" si="209"/>
        <v>151050</v>
      </c>
      <c r="F4042" s="5">
        <v>244100</v>
      </c>
      <c r="G4042" s="5">
        <v>0</v>
      </c>
      <c r="H4042" s="5">
        <v>1000</v>
      </c>
      <c r="I4042" s="5">
        <v>68875</v>
      </c>
      <c r="J4042" s="263">
        <f t="shared" si="210"/>
        <v>0.28215895124948792</v>
      </c>
      <c r="K4042" s="24">
        <v>2092</v>
      </c>
      <c r="L4042" s="6">
        <v>2118.5</v>
      </c>
      <c r="M4042" s="270">
        <f t="shared" si="211"/>
        <v>26.5</v>
      </c>
      <c r="P4042" s="467"/>
      <c r="Q4042" s="462"/>
      <c r="R4042" s="312">
        <f t="shared" ref="R4042:R4049" si="214">P4042*Q4042</f>
        <v>0</v>
      </c>
      <c r="S4042" s="313" t="e">
        <f>R4042*#REF!</f>
        <v>#REF!</v>
      </c>
      <c r="T4042" s="313" t="e">
        <f t="shared" si="213"/>
        <v>#REF!</v>
      </c>
      <c r="U4042" s="462"/>
      <c r="V4042" s="462"/>
      <c r="Z4042" s="1047" t="s">
        <v>147</v>
      </c>
      <c r="AA4042" s="1047"/>
      <c r="AB4042" s="1047"/>
      <c r="AC4042" s="1047"/>
      <c r="AD4042" s="1047"/>
      <c r="AE4042" s="1047"/>
      <c r="AF4042" s="1047"/>
    </row>
    <row r="4043" spans="1:32" ht="16.5" customHeight="1">
      <c r="A4043" s="3">
        <v>41537</v>
      </c>
      <c r="B4043" s="4">
        <v>25</v>
      </c>
      <c r="C4043" s="4">
        <v>79050</v>
      </c>
      <c r="D4043" s="5">
        <v>13425</v>
      </c>
      <c r="E4043" s="5">
        <f t="shared" si="209"/>
        <v>151875</v>
      </c>
      <c r="F4043" s="5">
        <v>244375</v>
      </c>
      <c r="G4043" s="5">
        <v>1350</v>
      </c>
      <c r="H4043" s="5">
        <v>1075</v>
      </c>
      <c r="I4043" s="5">
        <v>67800</v>
      </c>
      <c r="J4043" s="263">
        <f t="shared" si="210"/>
        <v>0.27744245524296673</v>
      </c>
      <c r="K4043" s="24">
        <v>2075.5</v>
      </c>
      <c r="L4043" s="6">
        <v>2101</v>
      </c>
      <c r="M4043" s="270">
        <f t="shared" si="211"/>
        <v>25.5</v>
      </c>
      <c r="P4043" s="467"/>
      <c r="Q4043" s="462"/>
      <c r="R4043" s="312">
        <f t="shared" si="214"/>
        <v>0</v>
      </c>
      <c r="S4043" s="313" t="e">
        <f>R4043*#REF!</f>
        <v>#REF!</v>
      </c>
      <c r="T4043" s="313" t="e">
        <f t="shared" si="213"/>
        <v>#REF!</v>
      </c>
      <c r="U4043" s="462"/>
      <c r="V4043" s="462"/>
      <c r="Z4043" s="1047"/>
      <c r="AA4043" s="1047"/>
      <c r="AB4043" s="1047"/>
      <c r="AC4043" s="1047"/>
      <c r="AD4043" s="1047"/>
      <c r="AE4043" s="1047"/>
      <c r="AF4043" s="1047"/>
    </row>
    <row r="4044" spans="1:32" ht="15" customHeight="1">
      <c r="A4044" s="3">
        <v>41540</v>
      </c>
      <c r="B4044" s="4">
        <v>150</v>
      </c>
      <c r="C4044" s="4">
        <v>79050</v>
      </c>
      <c r="D4044" s="5">
        <v>12925</v>
      </c>
      <c r="E4044" s="5">
        <f t="shared" si="209"/>
        <v>151425</v>
      </c>
      <c r="F4044" s="5">
        <v>243550</v>
      </c>
      <c r="G4044" s="5">
        <v>125</v>
      </c>
      <c r="H4044" s="5">
        <v>950</v>
      </c>
      <c r="I4044" s="5">
        <v>66875</v>
      </c>
      <c r="J4044" s="263">
        <f t="shared" si="210"/>
        <v>0.27458427427632931</v>
      </c>
      <c r="K4044" s="24">
        <v>2043</v>
      </c>
      <c r="L4044" s="6">
        <v>2069</v>
      </c>
      <c r="M4044" s="270">
        <f t="shared" si="211"/>
        <v>26</v>
      </c>
      <c r="N4044" s="463"/>
      <c r="P4044" s="448">
        <v>14010</v>
      </c>
      <c r="Q4044" s="28">
        <f>175.77/1075.9</f>
        <v>0.16337020169160701</v>
      </c>
      <c r="R4044" s="312">
        <f t="shared" si="214"/>
        <v>2288.8165256994143</v>
      </c>
      <c r="S4044" s="313" t="e">
        <f>R4044*#REF!</f>
        <v>#REF!</v>
      </c>
      <c r="T4044" s="313" t="e">
        <f t="shared" si="213"/>
        <v>#REF!</v>
      </c>
      <c r="U4044" s="358">
        <v>0.1</v>
      </c>
      <c r="W4044" s="741">
        <f t="shared" si="208"/>
        <v>2517.698178269356</v>
      </c>
    </row>
    <row r="4045" spans="1:32" ht="15" customHeight="1">
      <c r="A4045" s="3">
        <v>41541</v>
      </c>
      <c r="B4045" s="4">
        <v>150</v>
      </c>
      <c r="C4045" s="4">
        <v>79025</v>
      </c>
      <c r="D4045" s="5">
        <v>12450</v>
      </c>
      <c r="E4045" s="5">
        <f>F4045-D4045-C4045-B4045</f>
        <v>152375</v>
      </c>
      <c r="F4045" s="5">
        <v>244000</v>
      </c>
      <c r="G4045" s="5">
        <v>925</v>
      </c>
      <c r="H4045" s="5">
        <v>475</v>
      </c>
      <c r="I4045" s="5">
        <v>66400</v>
      </c>
      <c r="J4045" s="263">
        <f t="shared" si="210"/>
        <v>0.27213114754098361</v>
      </c>
      <c r="K4045" s="24">
        <v>2045</v>
      </c>
      <c r="L4045" s="6">
        <v>2073</v>
      </c>
      <c r="M4045" s="270">
        <f t="shared" si="211"/>
        <v>28</v>
      </c>
      <c r="P4045" s="448">
        <v>14060</v>
      </c>
      <c r="Q4045" s="28">
        <f>175.61/1074.9</f>
        <v>0.16337333705460974</v>
      </c>
      <c r="R4045" s="312">
        <f t="shared" si="214"/>
        <v>2297.029118987813</v>
      </c>
      <c r="S4045" s="313" t="e">
        <f>R4045*#REF!</f>
        <v>#REF!</v>
      </c>
      <c r="T4045" s="313" t="e">
        <f t="shared" si="213"/>
        <v>#REF!</v>
      </c>
      <c r="U4045" s="358">
        <v>0.1</v>
      </c>
      <c r="W4045" s="741">
        <f t="shared" si="208"/>
        <v>2526.7320308865947</v>
      </c>
    </row>
    <row r="4046" spans="1:32" ht="15" customHeight="1">
      <c r="A4046" s="3">
        <v>41542</v>
      </c>
      <c r="B4046" s="4">
        <v>150</v>
      </c>
      <c r="C4046" s="4">
        <v>79025</v>
      </c>
      <c r="D4046" s="5">
        <v>11950</v>
      </c>
      <c r="E4046" s="5">
        <f>F4046-D4046-C4046-B4046</f>
        <v>152375</v>
      </c>
      <c r="F4046" s="5">
        <v>243500</v>
      </c>
      <c r="G4046" s="5">
        <v>0</v>
      </c>
      <c r="H4046" s="5">
        <v>500</v>
      </c>
      <c r="I4046" s="5">
        <v>65900</v>
      </c>
      <c r="J4046" s="263">
        <f t="shared" si="210"/>
        <v>0.27063655030800821</v>
      </c>
      <c r="K4046" s="24">
        <v>2042.5</v>
      </c>
      <c r="L4046" s="6">
        <v>2074</v>
      </c>
      <c r="M4046" s="270">
        <f t="shared" si="211"/>
        <v>31.5</v>
      </c>
      <c r="P4046" s="448">
        <v>14060</v>
      </c>
      <c r="Q4046" s="28">
        <f>175.95/1076.8</f>
        <v>0.16340081723625557</v>
      </c>
      <c r="R4046" s="312">
        <f t="shared" si="214"/>
        <v>2297.4154903417534</v>
      </c>
      <c r="S4046" s="313" t="e">
        <f>R4046*#REF!</f>
        <v>#REF!</v>
      </c>
      <c r="T4046" s="313" t="e">
        <f t="shared" si="213"/>
        <v>#REF!</v>
      </c>
      <c r="U4046" s="358">
        <v>0.1</v>
      </c>
      <c r="W4046" s="741">
        <f t="shared" si="208"/>
        <v>2527.1570393759289</v>
      </c>
    </row>
    <row r="4047" spans="1:32" ht="15" customHeight="1">
      <c r="A4047" s="3">
        <v>41543</v>
      </c>
      <c r="B4047" s="4">
        <v>150</v>
      </c>
      <c r="C4047" s="4">
        <v>79025</v>
      </c>
      <c r="D4047" s="5">
        <v>11475</v>
      </c>
      <c r="E4047" s="5">
        <f>F4047-D4047-C4047-B4047</f>
        <v>151075</v>
      </c>
      <c r="F4047" s="5">
        <v>241725</v>
      </c>
      <c r="G4047" s="5">
        <v>0</v>
      </c>
      <c r="H4047" s="5">
        <v>1775</v>
      </c>
      <c r="I4047" s="5">
        <v>64125</v>
      </c>
      <c r="J4047" s="263">
        <f t="shared" si="210"/>
        <v>0.26528079429103318</v>
      </c>
      <c r="K4047" s="24">
        <v>2061</v>
      </c>
      <c r="L4047" s="6">
        <v>2091</v>
      </c>
      <c r="M4047" s="270">
        <f t="shared" si="211"/>
        <v>30</v>
      </c>
      <c r="P4047" s="448">
        <v>14060</v>
      </c>
      <c r="Q4047" s="28">
        <f>175.52/1074.4</f>
        <v>0.16336559940431869</v>
      </c>
      <c r="R4047" s="312">
        <f t="shared" si="214"/>
        <v>2296.9203276247208</v>
      </c>
      <c r="S4047" s="313" t="e">
        <f>R4047*#REF!</f>
        <v>#REF!</v>
      </c>
      <c r="T4047" s="313" t="e">
        <f t="shared" si="213"/>
        <v>#REF!</v>
      </c>
      <c r="U4047" s="358">
        <v>0.1</v>
      </c>
      <c r="W4047" s="741">
        <f t="shared" si="208"/>
        <v>2526.6123603871929</v>
      </c>
    </row>
    <row r="4048" spans="1:32" ht="15" customHeight="1">
      <c r="A4048" s="3">
        <v>41544</v>
      </c>
      <c r="B4048" s="4">
        <v>150</v>
      </c>
      <c r="C4048" s="4">
        <v>79025</v>
      </c>
      <c r="D4048" s="5">
        <v>11000</v>
      </c>
      <c r="E4048" s="5">
        <f>F4048-D4048-C4048-B4048</f>
        <v>150425</v>
      </c>
      <c r="F4048" s="5">
        <v>240600</v>
      </c>
      <c r="G4048" s="5">
        <v>0</v>
      </c>
      <c r="H4048" s="5">
        <v>1125</v>
      </c>
      <c r="I4048" s="5">
        <v>63000</v>
      </c>
      <c r="J4048" s="263">
        <f t="shared" si="210"/>
        <v>0.26184538653366585</v>
      </c>
      <c r="K4048" s="24">
        <v>2083</v>
      </c>
      <c r="L4048" s="6">
        <v>2112</v>
      </c>
      <c r="M4048" s="270">
        <f t="shared" si="211"/>
        <v>29</v>
      </c>
      <c r="P4048" s="448">
        <v>14110</v>
      </c>
      <c r="Q4048" s="28">
        <f>175.75/1075.6</f>
        <v>0.16339717367050949</v>
      </c>
      <c r="R4048" s="312">
        <f t="shared" si="214"/>
        <v>2305.5341204908887</v>
      </c>
      <c r="S4048" s="313" t="e">
        <f>R4048*#REF!</f>
        <v>#REF!</v>
      </c>
      <c r="T4048" s="313" t="e">
        <f t="shared" si="213"/>
        <v>#REF!</v>
      </c>
      <c r="U4048" s="358">
        <v>0.1</v>
      </c>
      <c r="W4048" s="741">
        <f t="shared" si="208"/>
        <v>2536.0875325399779</v>
      </c>
    </row>
    <row r="4049" spans="1:35" ht="15" customHeight="1">
      <c r="A4049" s="3">
        <v>41547</v>
      </c>
      <c r="B4049" s="4">
        <v>225</v>
      </c>
      <c r="C4049" s="4">
        <v>79025</v>
      </c>
      <c r="D4049" s="5">
        <v>10475</v>
      </c>
      <c r="E4049" s="5">
        <f>F4049-D4049-C4049-B4049</f>
        <v>150125</v>
      </c>
      <c r="F4049" s="5">
        <v>239850</v>
      </c>
      <c r="G4049" s="5">
        <v>150</v>
      </c>
      <c r="H4049" s="5">
        <v>900</v>
      </c>
      <c r="I4049" s="5">
        <v>62125</v>
      </c>
      <c r="J4049" s="263">
        <f t="shared" si="210"/>
        <v>0.25901605169897851</v>
      </c>
      <c r="K4049" s="24">
        <v>2075</v>
      </c>
      <c r="L4049" s="6">
        <v>2103</v>
      </c>
      <c r="M4049" s="270">
        <f t="shared" si="211"/>
        <v>28</v>
      </c>
      <c r="N4049" s="420">
        <f>AVERAGE(K4029:K4049)</f>
        <v>2088.4047619047619</v>
      </c>
      <c r="O4049" s="410">
        <f>AVERAGE(K3848:K4049)</f>
        <v>2151.2910052910051</v>
      </c>
      <c r="P4049" s="448">
        <v>14110</v>
      </c>
      <c r="Q4049" s="28">
        <f>175.64/1075.2</f>
        <v>0.16335565476190475</v>
      </c>
      <c r="R4049" s="312">
        <f t="shared" si="214"/>
        <v>2304.9482886904761</v>
      </c>
      <c r="S4049" s="313" t="e">
        <f>R4049*#REF!</f>
        <v>#REF!</v>
      </c>
      <c r="T4049" s="313" t="e">
        <f t="shared" si="213"/>
        <v>#REF!</v>
      </c>
      <c r="U4049" s="358">
        <v>0.1</v>
      </c>
      <c r="W4049" s="741">
        <f>(P4049*Q4049)*(1+U4049)</f>
        <v>2535.4431175595241</v>
      </c>
    </row>
    <row r="4050" spans="1:35" ht="15" customHeight="1" thickBot="1">
      <c r="A4050" s="392"/>
      <c r="B4050" s="995"/>
      <c r="C4050" s="995"/>
      <c r="D4050" s="995"/>
      <c r="E4050" s="995"/>
      <c r="F4050" s="392"/>
      <c r="G4050" s="332"/>
      <c r="H4050" s="332"/>
      <c r="I4050" s="332"/>
      <c r="J4050" s="334"/>
      <c r="K4050" s="334"/>
      <c r="L4050" s="335"/>
      <c r="M4050" s="336"/>
      <c r="N4050" s="337"/>
      <c r="O4050" s="353"/>
      <c r="P4050" s="350"/>
      <c r="Q4050" s="299"/>
      <c r="R4050" s="453"/>
      <c r="S4050" s="454"/>
      <c r="T4050" s="454"/>
      <c r="U4050" s="302"/>
      <c r="V4050" s="298">
        <f>AVERAGE(P4029:P4049)</f>
        <v>14269.473684210527</v>
      </c>
      <c r="W4050" s="751"/>
    </row>
    <row r="4051" spans="1:35" ht="15" customHeight="1">
      <c r="A4051" s="3">
        <v>41548</v>
      </c>
      <c r="B4051" s="4">
        <v>225</v>
      </c>
      <c r="C4051" s="4">
        <v>78675</v>
      </c>
      <c r="D4051" s="5">
        <v>10000</v>
      </c>
      <c r="E4051" s="5">
        <f t="shared" ref="E4051:E4061" si="215">F4051-D4051-C4051-B4051</f>
        <v>150450</v>
      </c>
      <c r="F4051" s="5">
        <v>239350</v>
      </c>
      <c r="G4051" s="5">
        <v>0</v>
      </c>
      <c r="H4051" s="5">
        <v>500</v>
      </c>
      <c r="I4051" s="5">
        <v>61625</v>
      </c>
      <c r="J4051" s="263">
        <f t="shared" si="210"/>
        <v>0.25746814288698561</v>
      </c>
      <c r="K4051" s="24">
        <v>2052.5</v>
      </c>
      <c r="L4051" s="6">
        <v>2082</v>
      </c>
      <c r="M4051" s="270">
        <f t="shared" si="211"/>
        <v>29.5</v>
      </c>
      <c r="P4051" s="448">
        <v>14110</v>
      </c>
      <c r="Q4051" s="28">
        <f>175.64/1075.2</f>
        <v>0.16335565476190475</v>
      </c>
      <c r="R4051" s="312">
        <f>P4051*Q4051</f>
        <v>2304.9482886904761</v>
      </c>
      <c r="S4051" s="313" t="e">
        <f>R4051*#REF!</f>
        <v>#REF!</v>
      </c>
      <c r="T4051" s="313" t="e">
        <f t="shared" ref="T4051:T4095" si="216">(R4051+S4051)*U4051</f>
        <v>#REF!</v>
      </c>
      <c r="U4051" s="358">
        <v>0.1</v>
      </c>
      <c r="V4051" s="374"/>
      <c r="W4051" s="741">
        <f>(P4051*Q4051)*(1+U4051)</f>
        <v>2535.4431175595241</v>
      </c>
      <c r="AA4051" s="1034" t="s">
        <v>122</v>
      </c>
      <c r="AB4051" s="1034"/>
      <c r="AC4051" s="1034"/>
      <c r="AD4051" s="1034"/>
      <c r="AE4051" s="1034"/>
      <c r="AF4051" s="1034"/>
      <c r="AG4051" s="1034"/>
      <c r="AH4051" s="1034"/>
      <c r="AI4051" s="1034"/>
    </row>
    <row r="4052" spans="1:35" ht="15" customHeight="1">
      <c r="A4052" s="3">
        <v>41549</v>
      </c>
      <c r="B4052" s="4">
        <v>225</v>
      </c>
      <c r="C4052" s="4">
        <v>78650</v>
      </c>
      <c r="D4052" s="5">
        <v>9500</v>
      </c>
      <c r="E4052" s="5">
        <f t="shared" si="215"/>
        <v>150475</v>
      </c>
      <c r="F4052" s="5">
        <v>238850</v>
      </c>
      <c r="G4052" s="5">
        <v>0</v>
      </c>
      <c r="H4052" s="5">
        <v>500</v>
      </c>
      <c r="I4052" s="5">
        <v>62125</v>
      </c>
      <c r="J4052" s="263">
        <f t="shared" si="210"/>
        <v>0.26010048147372827</v>
      </c>
      <c r="K4052" s="24">
        <v>2035</v>
      </c>
      <c r="L4052" s="6">
        <v>2064</v>
      </c>
      <c r="M4052" s="270">
        <f t="shared" si="211"/>
        <v>29</v>
      </c>
      <c r="P4052" s="448">
        <v>14111</v>
      </c>
      <c r="Q4052" s="28">
        <f>175.64/1075.2</f>
        <v>0.16335565476190475</v>
      </c>
      <c r="R4052" s="312">
        <f>P4052*Q4052</f>
        <v>2305.1116443452379</v>
      </c>
      <c r="S4052" s="313" t="e">
        <f>R4052*#REF!</f>
        <v>#REF!</v>
      </c>
      <c r="T4052" s="313" t="e">
        <f t="shared" si="216"/>
        <v>#REF!</v>
      </c>
      <c r="U4052" s="358">
        <v>0.1</v>
      </c>
      <c r="V4052" s="368"/>
      <c r="W4052" s="741">
        <f t="shared" ref="W4052:W4072" si="217">(P4052*Q4052)*(1+U4052)</f>
        <v>2535.6228087797617</v>
      </c>
      <c r="AA4052" s="1007"/>
      <c r="AB4052" s="1007"/>
      <c r="AC4052" s="1007"/>
      <c r="AD4052" s="1007"/>
      <c r="AE4052" s="1007"/>
      <c r="AF4052" s="1007"/>
      <c r="AG4052" s="1007"/>
      <c r="AH4052" s="1007"/>
      <c r="AI4052" s="1007"/>
    </row>
    <row r="4053" spans="1:35" ht="15" customHeight="1">
      <c r="A4053" s="3">
        <v>41550</v>
      </c>
      <c r="B4053" s="4">
        <v>225</v>
      </c>
      <c r="C4053" s="4">
        <v>78650</v>
      </c>
      <c r="D4053" s="5">
        <v>8975</v>
      </c>
      <c r="E4053" s="5">
        <f t="shared" si="215"/>
        <v>150450</v>
      </c>
      <c r="F4053" s="5">
        <v>238300</v>
      </c>
      <c r="G4053" s="5">
        <v>0</v>
      </c>
      <c r="H4053" s="5">
        <v>550</v>
      </c>
      <c r="I4053" s="5">
        <v>61575</v>
      </c>
      <c r="J4053" s="263">
        <f t="shared" si="210"/>
        <v>0.25839278220730172</v>
      </c>
      <c r="K4053" s="24">
        <v>2048</v>
      </c>
      <c r="L4053" s="6">
        <v>2073</v>
      </c>
      <c r="M4053" s="270">
        <f t="shared" si="211"/>
        <v>25</v>
      </c>
      <c r="P4053" s="448">
        <v>14112</v>
      </c>
      <c r="Q4053" s="28">
        <f>175.64/1075.2</f>
        <v>0.16335565476190475</v>
      </c>
      <c r="R4053" s="312">
        <f>P4053*Q4053</f>
        <v>2305.2749999999996</v>
      </c>
      <c r="S4053" s="313" t="e">
        <f>R4053*#REF!</f>
        <v>#REF!</v>
      </c>
      <c r="T4053" s="313" t="e">
        <f t="shared" si="216"/>
        <v>#REF!</v>
      </c>
      <c r="U4053" s="358">
        <v>0.1</v>
      </c>
      <c r="V4053" s="368"/>
      <c r="W4053" s="741">
        <f t="shared" si="217"/>
        <v>2535.8024999999998</v>
      </c>
      <c r="AA4053" s="1007"/>
      <c r="AB4053" s="1007"/>
      <c r="AC4053" s="1007"/>
      <c r="AD4053" s="1007"/>
      <c r="AE4053" s="1007"/>
      <c r="AF4053" s="1007"/>
      <c r="AG4053" s="1007"/>
      <c r="AH4053" s="1007"/>
      <c r="AI4053" s="1007"/>
    </row>
    <row r="4054" spans="1:35" ht="15" customHeight="1">
      <c r="A4054" s="3">
        <v>41551</v>
      </c>
      <c r="B4054" s="4">
        <v>225</v>
      </c>
      <c r="C4054" s="4">
        <v>78650</v>
      </c>
      <c r="D4054" s="5">
        <v>8475</v>
      </c>
      <c r="E4054" s="5">
        <f t="shared" si="215"/>
        <v>150450</v>
      </c>
      <c r="F4054" s="5">
        <v>237800</v>
      </c>
      <c r="G4054" s="5">
        <v>0</v>
      </c>
      <c r="H4054" s="5">
        <v>500</v>
      </c>
      <c r="I4054" s="5">
        <v>61075</v>
      </c>
      <c r="J4054" s="263">
        <f t="shared" si="210"/>
        <v>0.25683347350714886</v>
      </c>
      <c r="K4054" s="24">
        <v>2027</v>
      </c>
      <c r="L4054" s="6">
        <v>2057</v>
      </c>
      <c r="M4054" s="270">
        <f t="shared" si="211"/>
        <v>30</v>
      </c>
      <c r="P4054" s="448">
        <v>14113</v>
      </c>
      <c r="Q4054" s="28">
        <f>175.64/1075.2</f>
        <v>0.16335565476190475</v>
      </c>
      <c r="R4054" s="312">
        <f>P4054*Q4054</f>
        <v>2305.4383556547618</v>
      </c>
      <c r="S4054" s="313" t="e">
        <f>R4054*#REF!</f>
        <v>#REF!</v>
      </c>
      <c r="T4054" s="313" t="e">
        <f t="shared" si="216"/>
        <v>#REF!</v>
      </c>
      <c r="U4054" s="358">
        <v>0.1</v>
      </c>
      <c r="V4054" s="368"/>
      <c r="W4054" s="741">
        <f t="shared" si="217"/>
        <v>2535.9821912202383</v>
      </c>
      <c r="AA4054" s="1007"/>
      <c r="AB4054" s="1007"/>
      <c r="AC4054" s="1007"/>
      <c r="AD4054" s="1007"/>
      <c r="AE4054" s="1007"/>
      <c r="AF4054" s="1007"/>
      <c r="AG4054" s="1007"/>
      <c r="AH4054" s="1007"/>
      <c r="AI4054" s="1007"/>
    </row>
    <row r="4055" spans="1:35" ht="15" customHeight="1">
      <c r="A4055" s="3">
        <v>41554</v>
      </c>
      <c r="B4055" s="4">
        <v>225</v>
      </c>
      <c r="C4055" s="4">
        <v>78650</v>
      </c>
      <c r="D4055" s="5">
        <v>7975</v>
      </c>
      <c r="E4055" s="5">
        <f t="shared" si="215"/>
        <v>150450</v>
      </c>
      <c r="F4055" s="5">
        <v>237300</v>
      </c>
      <c r="G4055" s="5">
        <v>0</v>
      </c>
      <c r="H4055" s="5">
        <v>500</v>
      </c>
      <c r="I4055" s="5">
        <v>60575</v>
      </c>
      <c r="J4055" s="263">
        <f t="shared" si="210"/>
        <v>0.25526759376316899</v>
      </c>
      <c r="K4055" s="24">
        <v>2028</v>
      </c>
      <c r="L4055" s="6">
        <v>2053.5</v>
      </c>
      <c r="M4055" s="270">
        <f t="shared" si="211"/>
        <v>25.5</v>
      </c>
      <c r="P4055" s="448">
        <v>14114</v>
      </c>
      <c r="Q4055" s="28">
        <f>175.64/1075.2</f>
        <v>0.16335565476190475</v>
      </c>
      <c r="R4055" s="312">
        <f>P4055*Q4055</f>
        <v>2305.6017113095236</v>
      </c>
      <c r="S4055" s="313" t="e">
        <f>R4055*#REF!</f>
        <v>#REF!</v>
      </c>
      <c r="T4055" s="313" t="e">
        <f t="shared" si="216"/>
        <v>#REF!</v>
      </c>
      <c r="U4055" s="358">
        <v>0.1</v>
      </c>
      <c r="V4055" s="368"/>
      <c r="W4055" s="741">
        <f t="shared" si="217"/>
        <v>2536.1618824404763</v>
      </c>
      <c r="AA4055" s="1007"/>
      <c r="AB4055" s="1007"/>
      <c r="AC4055" s="1007"/>
      <c r="AD4055" s="1007"/>
      <c r="AE4055" s="1007"/>
      <c r="AF4055" s="1007"/>
      <c r="AG4055" s="1007"/>
      <c r="AH4055" s="1007"/>
      <c r="AI4055" s="1007"/>
    </row>
    <row r="4056" spans="1:35" ht="15" customHeight="1">
      <c r="A4056" s="3">
        <v>41555</v>
      </c>
      <c r="B4056" s="4">
        <v>225</v>
      </c>
      <c r="C4056" s="4">
        <v>78650</v>
      </c>
      <c r="D4056" s="5">
        <v>7475</v>
      </c>
      <c r="E4056" s="5">
        <f t="shared" si="215"/>
        <v>150450</v>
      </c>
      <c r="F4056" s="5">
        <v>236800</v>
      </c>
      <c r="G4056" s="5">
        <v>0</v>
      </c>
      <c r="H4056" s="5">
        <v>500</v>
      </c>
      <c r="I4056" s="5">
        <v>60075</v>
      </c>
      <c r="J4056" s="263">
        <f t="shared" si="210"/>
        <v>0.25369510135135137</v>
      </c>
      <c r="K4056" s="24">
        <v>2056</v>
      </c>
      <c r="L4056" s="6">
        <v>2083.5</v>
      </c>
      <c r="M4056" s="270">
        <f t="shared" si="211"/>
        <v>27.5</v>
      </c>
      <c r="P4056" s="448">
        <v>14060</v>
      </c>
      <c r="Q4056" s="28">
        <f>174.88/1070.5</f>
        <v>0.16336291452592247</v>
      </c>
      <c r="R4056" s="312">
        <f t="shared" ref="R4056:R4118" si="218">P4056*Q4056</f>
        <v>2296.8825782344697</v>
      </c>
      <c r="S4056" s="313" t="e">
        <f>R4056*#REF!</f>
        <v>#REF!</v>
      </c>
      <c r="T4056" s="313" t="e">
        <f t="shared" si="216"/>
        <v>#REF!</v>
      </c>
      <c r="U4056" s="358">
        <v>0.1</v>
      </c>
      <c r="V4056" s="368"/>
      <c r="W4056" s="741">
        <f t="shared" si="217"/>
        <v>2526.5708360579169</v>
      </c>
    </row>
    <row r="4057" spans="1:35" ht="15" customHeight="1">
      <c r="A4057" s="3">
        <v>41556</v>
      </c>
      <c r="B4057" s="4">
        <v>225</v>
      </c>
      <c r="C4057" s="4">
        <v>78650</v>
      </c>
      <c r="D4057" s="5">
        <v>7100</v>
      </c>
      <c r="E4057" s="5">
        <f t="shared" si="215"/>
        <v>150450</v>
      </c>
      <c r="F4057" s="5">
        <v>236425</v>
      </c>
      <c r="G4057" s="5">
        <v>0</v>
      </c>
      <c r="H4057" s="5">
        <v>375</v>
      </c>
      <c r="I4057" s="5">
        <v>59700</v>
      </c>
      <c r="J4057" s="263">
        <f t="shared" si="210"/>
        <v>0.25251136724119699</v>
      </c>
      <c r="K4057" s="24">
        <v>2061</v>
      </c>
      <c r="L4057" s="6">
        <v>2091</v>
      </c>
      <c r="M4057" s="270">
        <f t="shared" si="211"/>
        <v>30</v>
      </c>
      <c r="P4057" s="448">
        <v>14060</v>
      </c>
      <c r="Q4057" s="28">
        <f>175.39/1073.6</f>
        <v>0.16336624441132638</v>
      </c>
      <c r="R4057" s="312">
        <f t="shared" si="218"/>
        <v>2296.9293964232488</v>
      </c>
      <c r="S4057" s="313" t="e">
        <f>R4057*#REF!</f>
        <v>#REF!</v>
      </c>
      <c r="T4057" s="313" t="e">
        <f t="shared" si="216"/>
        <v>#REF!</v>
      </c>
      <c r="U4057" s="358">
        <v>0.1</v>
      </c>
      <c r="W4057" s="741">
        <f t="shared" si="217"/>
        <v>2526.622336065574</v>
      </c>
    </row>
    <row r="4058" spans="1:35" ht="15" customHeight="1">
      <c r="A4058" s="3">
        <v>41557</v>
      </c>
      <c r="B4058" s="4">
        <v>225</v>
      </c>
      <c r="C4058" s="4">
        <v>78650</v>
      </c>
      <c r="D4058" s="5">
        <v>7100</v>
      </c>
      <c r="E4058" s="5">
        <f t="shared" si="215"/>
        <v>150750</v>
      </c>
      <c r="F4058" s="5">
        <v>236725</v>
      </c>
      <c r="G4058" s="5">
        <v>300</v>
      </c>
      <c r="H4058" s="5">
        <v>0</v>
      </c>
      <c r="I4058" s="5">
        <v>59700</v>
      </c>
      <c r="J4058" s="263">
        <f t="shared" si="210"/>
        <v>0.25219136128419051</v>
      </c>
      <c r="K4058" s="24">
        <v>2054</v>
      </c>
      <c r="L4058" s="6">
        <v>2076.5</v>
      </c>
      <c r="M4058" s="270">
        <f t="shared" si="211"/>
        <v>22.5</v>
      </c>
      <c r="P4058" s="448">
        <v>14060</v>
      </c>
      <c r="Q4058" s="28">
        <f>175.89/1075.7</f>
        <v>0.16351213163521425</v>
      </c>
      <c r="R4058" s="312">
        <f t="shared" si="218"/>
        <v>2298.9805707911123</v>
      </c>
      <c r="S4058" s="313" t="e">
        <f>R4058*#REF!</f>
        <v>#REF!</v>
      </c>
      <c r="T4058" s="313" t="e">
        <f t="shared" si="216"/>
        <v>#REF!</v>
      </c>
      <c r="U4058" s="358">
        <v>0.1</v>
      </c>
      <c r="W4058" s="741">
        <f t="shared" si="217"/>
        <v>2528.8786278702237</v>
      </c>
    </row>
    <row r="4059" spans="1:35" ht="15" customHeight="1">
      <c r="A4059" s="3">
        <v>41558</v>
      </c>
      <c r="B4059" s="4">
        <v>225</v>
      </c>
      <c r="C4059" s="4">
        <v>78650</v>
      </c>
      <c r="D4059" s="5">
        <v>7100</v>
      </c>
      <c r="E4059" s="5">
        <f t="shared" si="215"/>
        <v>150750</v>
      </c>
      <c r="F4059" s="5">
        <v>236725</v>
      </c>
      <c r="G4059" s="5">
        <v>0</v>
      </c>
      <c r="H4059" s="5">
        <v>0</v>
      </c>
      <c r="I4059" s="5">
        <v>59700</v>
      </c>
      <c r="J4059" s="263">
        <f t="shared" si="210"/>
        <v>0.25219136128419051</v>
      </c>
      <c r="K4059" s="24">
        <v>2073</v>
      </c>
      <c r="L4059" s="6">
        <v>2099.5</v>
      </c>
      <c r="M4059" s="270">
        <f t="shared" si="211"/>
        <v>26.5</v>
      </c>
      <c r="P4059" s="448">
        <v>14090</v>
      </c>
      <c r="Q4059" s="28">
        <f>174.9/1070.5</f>
        <v>0.16338159738439981</v>
      </c>
      <c r="R4059" s="312">
        <f t="shared" si="218"/>
        <v>2302.0467071461931</v>
      </c>
      <c r="S4059" s="313" t="e">
        <f>R4059*#REF!</f>
        <v>#REF!</v>
      </c>
      <c r="T4059" s="313" t="e">
        <f t="shared" si="216"/>
        <v>#REF!</v>
      </c>
      <c r="U4059" s="358">
        <v>0.1</v>
      </c>
      <c r="W4059" s="741">
        <f t="shared" si="217"/>
        <v>2532.2513778608127</v>
      </c>
    </row>
    <row r="4060" spans="1:35" ht="15" customHeight="1">
      <c r="A4060" s="3">
        <v>41561</v>
      </c>
      <c r="B4060" s="4">
        <v>225</v>
      </c>
      <c r="C4060" s="4">
        <v>78650</v>
      </c>
      <c r="D4060" s="5">
        <v>7100</v>
      </c>
      <c r="E4060" s="5">
        <f t="shared" si="215"/>
        <v>149700</v>
      </c>
      <c r="F4060" s="5">
        <v>235675</v>
      </c>
      <c r="G4060" s="5">
        <v>0</v>
      </c>
      <c r="H4060" s="5">
        <v>1050</v>
      </c>
      <c r="I4060" s="5">
        <v>58650</v>
      </c>
      <c r="J4060" s="263">
        <f t="shared" si="210"/>
        <v>0.24885965842791979</v>
      </c>
      <c r="K4060" s="24">
        <v>2102</v>
      </c>
      <c r="L4060" s="6">
        <v>2127.5</v>
      </c>
      <c r="M4060" s="270">
        <f t="shared" si="211"/>
        <v>25.5</v>
      </c>
      <c r="P4060" s="448">
        <v>14090</v>
      </c>
      <c r="Q4060" s="28">
        <f>175.56/1072.3</f>
        <v>0.16372283875781032</v>
      </c>
      <c r="R4060" s="312">
        <f t="shared" si="218"/>
        <v>2306.8547980975472</v>
      </c>
      <c r="S4060" s="313" t="e">
        <f>R4060*#REF!</f>
        <v>#REF!</v>
      </c>
      <c r="T4060" s="313" t="e">
        <f t="shared" si="216"/>
        <v>#REF!</v>
      </c>
      <c r="U4060" s="358">
        <v>0.1</v>
      </c>
      <c r="W4060" s="741">
        <f t="shared" si="217"/>
        <v>2537.540277907302</v>
      </c>
    </row>
    <row r="4061" spans="1:35" ht="15" customHeight="1">
      <c r="A4061" s="3">
        <v>41562</v>
      </c>
      <c r="B4061" s="4">
        <v>225</v>
      </c>
      <c r="C4061" s="4">
        <v>78650</v>
      </c>
      <c r="D4061" s="5">
        <v>7100</v>
      </c>
      <c r="E4061" s="5">
        <f t="shared" si="215"/>
        <v>147700</v>
      </c>
      <c r="F4061" s="5">
        <v>233675</v>
      </c>
      <c r="G4061" s="5">
        <v>0</v>
      </c>
      <c r="H4061" s="5">
        <v>2000</v>
      </c>
      <c r="I4061" s="5">
        <v>56650</v>
      </c>
      <c r="J4061" s="263">
        <f t="shared" si="210"/>
        <v>0.24243072643628971</v>
      </c>
      <c r="K4061" s="24">
        <v>2113</v>
      </c>
      <c r="L4061" s="6">
        <v>2138</v>
      </c>
      <c r="M4061" s="270">
        <f t="shared" si="211"/>
        <v>25</v>
      </c>
      <c r="P4061" s="448">
        <v>14140</v>
      </c>
      <c r="Q4061" s="28">
        <f>174.99/1067.9</f>
        <v>0.16386365764584698</v>
      </c>
      <c r="R4061" s="312">
        <f t="shared" si="218"/>
        <v>2317.0321191122762</v>
      </c>
      <c r="S4061" s="313" t="e">
        <f>R4061*#REF!</f>
        <v>#REF!</v>
      </c>
      <c r="T4061" s="313" t="e">
        <f t="shared" si="216"/>
        <v>#REF!</v>
      </c>
      <c r="U4061" s="358">
        <v>0.1</v>
      </c>
      <c r="W4061" s="741">
        <f t="shared" si="217"/>
        <v>2548.7353310235039</v>
      </c>
    </row>
    <row r="4062" spans="1:35" ht="15" customHeight="1">
      <c r="A4062" s="3">
        <v>41563</v>
      </c>
      <c r="B4062" s="4">
        <v>225</v>
      </c>
      <c r="C4062" s="4">
        <v>78650</v>
      </c>
      <c r="D4062" s="5">
        <v>7100</v>
      </c>
      <c r="E4062" s="5">
        <f t="shared" ref="E4062:E4105" si="219">F4062-D4062-C4062-B4062</f>
        <v>147050</v>
      </c>
      <c r="F4062" s="5">
        <v>233025</v>
      </c>
      <c r="G4062" s="5">
        <v>0</v>
      </c>
      <c r="H4062" s="5">
        <v>650</v>
      </c>
      <c r="I4062" s="5">
        <v>56000</v>
      </c>
      <c r="J4062" s="263">
        <f t="shared" si="210"/>
        <v>0.24031756249329472</v>
      </c>
      <c r="K4062" s="24">
        <v>2103.5</v>
      </c>
      <c r="L4062" s="6">
        <v>2128</v>
      </c>
      <c r="M4062" s="270">
        <f t="shared" si="211"/>
        <v>24.5</v>
      </c>
      <c r="P4062" s="448">
        <v>14140</v>
      </c>
      <c r="Q4062" s="28">
        <f>174.94/1067.1</f>
        <v>0.16393964951738357</v>
      </c>
      <c r="R4062" s="312">
        <f t="shared" si="218"/>
        <v>2318.1066441758039</v>
      </c>
      <c r="S4062" s="313" t="e">
        <f>R4062*#REF!</f>
        <v>#REF!</v>
      </c>
      <c r="T4062" s="313" t="e">
        <f t="shared" si="216"/>
        <v>#REF!</v>
      </c>
      <c r="U4062" s="358">
        <v>0.1</v>
      </c>
      <c r="W4062" s="741">
        <f t="shared" si="217"/>
        <v>2549.9173085933844</v>
      </c>
    </row>
    <row r="4063" spans="1:35" ht="15" customHeight="1">
      <c r="A4063" s="3">
        <v>41564</v>
      </c>
      <c r="B4063" s="4">
        <v>225</v>
      </c>
      <c r="C4063" s="4">
        <v>78650</v>
      </c>
      <c r="D4063" s="5">
        <v>7100</v>
      </c>
      <c r="E4063" s="5">
        <f t="shared" si="219"/>
        <v>147050</v>
      </c>
      <c r="F4063" s="5">
        <v>233025</v>
      </c>
      <c r="G4063" s="5">
        <v>0</v>
      </c>
      <c r="H4063" s="5">
        <v>0</v>
      </c>
      <c r="I4063" s="5">
        <v>56000</v>
      </c>
      <c r="J4063" s="263">
        <f t="shared" si="210"/>
        <v>0.24031756249329472</v>
      </c>
      <c r="K4063" s="24">
        <v>2128</v>
      </c>
      <c r="L4063" s="6">
        <v>2155</v>
      </c>
      <c r="M4063" s="270">
        <f t="shared" si="211"/>
        <v>27</v>
      </c>
      <c r="P4063" s="448">
        <v>14160</v>
      </c>
      <c r="Q4063" s="28">
        <f>174.54/1064.4</f>
        <v>0.16397970687711386</v>
      </c>
      <c r="R4063" s="312">
        <f t="shared" si="218"/>
        <v>2321.9526493799322</v>
      </c>
      <c r="S4063" s="313" t="e">
        <f>R4063*#REF!</f>
        <v>#REF!</v>
      </c>
      <c r="T4063" s="313" t="e">
        <f t="shared" si="216"/>
        <v>#REF!</v>
      </c>
      <c r="U4063" s="358">
        <v>0.1</v>
      </c>
      <c r="W4063" s="741">
        <f t="shared" si="217"/>
        <v>2554.1479143179254</v>
      </c>
    </row>
    <row r="4064" spans="1:35" ht="15" customHeight="1">
      <c r="A4064" s="3">
        <v>41565</v>
      </c>
      <c r="B4064" s="4">
        <v>225</v>
      </c>
      <c r="C4064" s="4">
        <v>78650</v>
      </c>
      <c r="D4064" s="5">
        <v>7100</v>
      </c>
      <c r="E4064" s="5">
        <f t="shared" si="219"/>
        <v>146850</v>
      </c>
      <c r="F4064" s="5">
        <v>232825</v>
      </c>
      <c r="G4064" s="5">
        <v>200</v>
      </c>
      <c r="H4064" s="5">
        <v>400</v>
      </c>
      <c r="I4064" s="5">
        <v>55600</v>
      </c>
      <c r="J4064" s="263">
        <f t="shared" si="210"/>
        <v>0.23880597014925373</v>
      </c>
      <c r="K4064" s="24">
        <v>2158.5</v>
      </c>
      <c r="L4064" s="6">
        <v>2181</v>
      </c>
      <c r="M4064" s="270">
        <f t="shared" si="211"/>
        <v>22.5</v>
      </c>
      <c r="P4064" s="448">
        <v>14240</v>
      </c>
      <c r="Q4064" s="28">
        <f>174.09/1061.4</f>
        <v>0.16401921989824758</v>
      </c>
      <c r="R4064" s="312">
        <f t="shared" si="218"/>
        <v>2335.6336913510454</v>
      </c>
      <c r="S4064" s="313" t="e">
        <f>R4064*#REF!</f>
        <v>#REF!</v>
      </c>
      <c r="T4064" s="313" t="e">
        <f t="shared" si="216"/>
        <v>#REF!</v>
      </c>
      <c r="U4064" s="358">
        <v>0.1</v>
      </c>
      <c r="W4064" s="741">
        <f t="shared" si="217"/>
        <v>2569.1970604861503</v>
      </c>
    </row>
    <row r="4065" spans="1:23" ht="15" customHeight="1">
      <c r="A4065" s="3">
        <v>41568</v>
      </c>
      <c r="B4065" s="4">
        <v>225</v>
      </c>
      <c r="C4065" s="4">
        <v>78250</v>
      </c>
      <c r="D4065" s="5">
        <v>7100</v>
      </c>
      <c r="E4065" s="5">
        <f t="shared" si="219"/>
        <v>147250</v>
      </c>
      <c r="F4065" s="5">
        <v>232825</v>
      </c>
      <c r="G4065" s="5">
        <v>0</v>
      </c>
      <c r="H4065" s="5">
        <v>0</v>
      </c>
      <c r="I4065" s="5">
        <v>55600</v>
      </c>
      <c r="J4065" s="263">
        <f t="shared" si="210"/>
        <v>0.23880597014925373</v>
      </c>
      <c r="K4065" s="24">
        <v>2157.5</v>
      </c>
      <c r="L4065" s="6">
        <v>2183.5</v>
      </c>
      <c r="M4065" s="270">
        <f t="shared" si="211"/>
        <v>26</v>
      </c>
      <c r="P4065" s="448">
        <v>14240</v>
      </c>
      <c r="Q4065" s="28">
        <f>174.31/1062</f>
        <v>0.16413370998116761</v>
      </c>
      <c r="R4065" s="312">
        <f t="shared" si="218"/>
        <v>2337.2640301318265</v>
      </c>
      <c r="S4065" s="313" t="e">
        <f>R4065*#REF!</f>
        <v>#REF!</v>
      </c>
      <c r="T4065" s="313" t="e">
        <f t="shared" si="216"/>
        <v>#REF!</v>
      </c>
      <c r="U4065" s="358">
        <v>0.1</v>
      </c>
      <c r="W4065" s="741">
        <f t="shared" si="217"/>
        <v>2570.9904331450093</v>
      </c>
    </row>
    <row r="4066" spans="1:23" ht="15" customHeight="1">
      <c r="A4066" s="3">
        <v>41569</v>
      </c>
      <c r="B4066" s="4">
        <v>225</v>
      </c>
      <c r="C4066" s="4">
        <v>78250</v>
      </c>
      <c r="D4066" s="5">
        <v>7100</v>
      </c>
      <c r="E4066" s="5">
        <f t="shared" si="219"/>
        <v>147250</v>
      </c>
      <c r="F4066" s="5">
        <v>232825</v>
      </c>
      <c r="G4066" s="5">
        <v>0</v>
      </c>
      <c r="H4066" s="5">
        <v>0</v>
      </c>
      <c r="I4066" s="5">
        <v>55600</v>
      </c>
      <c r="J4066" s="263">
        <f t="shared" si="210"/>
        <v>0.23880597014925373</v>
      </c>
      <c r="K4066" s="24">
        <v>2183</v>
      </c>
      <c r="L4066" s="6">
        <v>2203</v>
      </c>
      <c r="M4066" s="270">
        <f t="shared" si="211"/>
        <v>20</v>
      </c>
      <c r="P4066" s="448">
        <v>14260</v>
      </c>
      <c r="Q4066" s="28">
        <f>174.26/1061.7</f>
        <v>0.16413299425449748</v>
      </c>
      <c r="R4066" s="312">
        <f t="shared" si="218"/>
        <v>2340.5364980691343</v>
      </c>
      <c r="S4066" s="313" t="e">
        <f>R4066*#REF!</f>
        <v>#REF!</v>
      </c>
      <c r="T4066" s="313" t="e">
        <f t="shared" si="216"/>
        <v>#REF!</v>
      </c>
      <c r="U4066" s="358">
        <v>0.1</v>
      </c>
      <c r="W4066" s="741">
        <f t="shared" si="217"/>
        <v>2574.5901478760479</v>
      </c>
    </row>
    <row r="4067" spans="1:23" ht="15" customHeight="1">
      <c r="A4067" s="3">
        <v>41570</v>
      </c>
      <c r="B4067" s="4">
        <v>225</v>
      </c>
      <c r="C4067" s="4">
        <v>78250</v>
      </c>
      <c r="D4067" s="5">
        <v>7100</v>
      </c>
      <c r="E4067" s="5">
        <f t="shared" si="219"/>
        <v>146850</v>
      </c>
      <c r="F4067" s="5">
        <v>232425</v>
      </c>
      <c r="G4067" s="5">
        <v>0</v>
      </c>
      <c r="H4067" s="5">
        <v>400</v>
      </c>
      <c r="I4067" s="5">
        <v>55200</v>
      </c>
      <c r="J4067" s="263">
        <f t="shared" si="210"/>
        <v>0.23749596644078735</v>
      </c>
      <c r="K4067" s="24">
        <v>2159</v>
      </c>
      <c r="L4067" s="6">
        <v>2179.5</v>
      </c>
      <c r="M4067" s="270">
        <f t="shared" si="211"/>
        <v>20.5</v>
      </c>
      <c r="P4067" s="448">
        <v>14310</v>
      </c>
      <c r="Q4067" s="28">
        <f>173.67/1056.5</f>
        <v>0.16438239469947941</v>
      </c>
      <c r="R4067" s="312">
        <f t="shared" si="218"/>
        <v>2352.3120681495502</v>
      </c>
      <c r="S4067" s="313" t="e">
        <f>R4067*#REF!</f>
        <v>#REF!</v>
      </c>
      <c r="T4067" s="313" t="e">
        <f t="shared" si="216"/>
        <v>#REF!</v>
      </c>
      <c r="U4067" s="358">
        <v>0.1</v>
      </c>
      <c r="W4067" s="741">
        <f t="shared" si="217"/>
        <v>2587.5432749645056</v>
      </c>
    </row>
    <row r="4068" spans="1:23" ht="15" customHeight="1">
      <c r="A4068" s="3">
        <v>41571</v>
      </c>
      <c r="B4068" s="4">
        <v>225</v>
      </c>
      <c r="C4068" s="4">
        <v>78250</v>
      </c>
      <c r="D4068" s="5">
        <v>7100</v>
      </c>
      <c r="E4068" s="5">
        <f t="shared" si="219"/>
        <v>146650</v>
      </c>
      <c r="F4068" s="5">
        <v>232225</v>
      </c>
      <c r="G4068" s="5">
        <v>0</v>
      </c>
      <c r="H4068" s="5">
        <v>200</v>
      </c>
      <c r="I4068" s="5">
        <v>55000</v>
      </c>
      <c r="J4068" s="263">
        <f t="shared" si="210"/>
        <v>0.23683927225750889</v>
      </c>
      <c r="K4068" s="24">
        <v>2141</v>
      </c>
      <c r="L4068" s="6">
        <v>2164.5</v>
      </c>
      <c r="M4068" s="270">
        <f t="shared" si="211"/>
        <v>23.5</v>
      </c>
      <c r="P4068" s="448">
        <v>14260</v>
      </c>
      <c r="Q4068" s="28">
        <f>173.82/1057.2</f>
        <v>0.16441543700340522</v>
      </c>
      <c r="R4068" s="312">
        <f t="shared" si="218"/>
        <v>2344.5641316685583</v>
      </c>
      <c r="S4068" s="313" t="e">
        <f>R4068*#REF!</f>
        <v>#REF!</v>
      </c>
      <c r="T4068" s="313" t="e">
        <f t="shared" si="216"/>
        <v>#REF!</v>
      </c>
      <c r="U4068" s="358">
        <v>0.1</v>
      </c>
      <c r="W4068" s="741">
        <f t="shared" si="217"/>
        <v>2579.0205448354145</v>
      </c>
    </row>
    <row r="4069" spans="1:23" ht="15" customHeight="1">
      <c r="A4069" s="3">
        <v>41572</v>
      </c>
      <c r="B4069" s="4">
        <v>225</v>
      </c>
      <c r="C4069" s="4">
        <v>78250</v>
      </c>
      <c r="D4069" s="5">
        <v>7100</v>
      </c>
      <c r="E4069" s="5">
        <f t="shared" si="219"/>
        <v>145550</v>
      </c>
      <c r="F4069" s="5">
        <v>231125</v>
      </c>
      <c r="G4069" s="5">
        <v>0</v>
      </c>
      <c r="H4069" s="5">
        <v>1100</v>
      </c>
      <c r="I4069" s="5">
        <v>54850</v>
      </c>
      <c r="J4069" s="263">
        <f t="shared" si="210"/>
        <v>0.23731746890210925</v>
      </c>
      <c r="K4069" s="24">
        <v>2149</v>
      </c>
      <c r="L4069" s="6">
        <v>2173</v>
      </c>
      <c r="M4069" s="270">
        <f t="shared" si="211"/>
        <v>24</v>
      </c>
      <c r="P4069" s="448">
        <v>14260</v>
      </c>
      <c r="Q4069" s="28">
        <f>174.61/1062.3</f>
        <v>0.16436976372022971</v>
      </c>
      <c r="R4069" s="312">
        <f t="shared" si="218"/>
        <v>2343.9128306504758</v>
      </c>
      <c r="S4069" s="313" t="e">
        <f>R4069*#REF!</f>
        <v>#REF!</v>
      </c>
      <c r="T4069" s="313" t="e">
        <f t="shared" si="216"/>
        <v>#REF!</v>
      </c>
      <c r="U4069" s="358">
        <v>0.1</v>
      </c>
      <c r="W4069" s="741">
        <f t="shared" si="217"/>
        <v>2578.3041137155237</v>
      </c>
    </row>
    <row r="4070" spans="1:23" ht="15" customHeight="1">
      <c r="A4070" s="3">
        <v>41575</v>
      </c>
      <c r="B4070" s="4">
        <v>225</v>
      </c>
      <c r="C4070" s="4">
        <v>77450</v>
      </c>
      <c r="D4070" s="5">
        <v>7100</v>
      </c>
      <c r="E4070" s="5">
        <f t="shared" si="219"/>
        <v>148150</v>
      </c>
      <c r="F4070" s="5">
        <v>232925</v>
      </c>
      <c r="G4070" s="5">
        <v>1900</v>
      </c>
      <c r="H4070" s="5">
        <v>100</v>
      </c>
      <c r="I4070" s="5">
        <v>54750</v>
      </c>
      <c r="J4070" s="263">
        <f t="shared" si="210"/>
        <v>0.23505420199635077</v>
      </c>
      <c r="K4070" s="24">
        <v>2183</v>
      </c>
      <c r="L4070" s="6">
        <v>2204.5</v>
      </c>
      <c r="M4070" s="270">
        <f t="shared" si="211"/>
        <v>21.5</v>
      </c>
      <c r="P4070" s="448">
        <v>14340</v>
      </c>
      <c r="Q4070" s="28">
        <f>174.41/1061.4</f>
        <v>0.1643207084982099</v>
      </c>
      <c r="R4070" s="312">
        <f t="shared" si="218"/>
        <v>2356.3589598643298</v>
      </c>
      <c r="S4070" s="313" t="e">
        <f>R4070*#REF!</f>
        <v>#REF!</v>
      </c>
      <c r="T4070" s="313" t="e">
        <f t="shared" si="216"/>
        <v>#REF!</v>
      </c>
      <c r="U4070" s="358">
        <v>0.1</v>
      </c>
      <c r="W4070" s="741">
        <f t="shared" si="217"/>
        <v>2591.9948558507631</v>
      </c>
    </row>
    <row r="4071" spans="1:23" ht="15" customHeight="1">
      <c r="A4071" s="3">
        <v>41576</v>
      </c>
      <c r="B4071" s="4">
        <v>225</v>
      </c>
      <c r="C4071" s="4">
        <v>77450</v>
      </c>
      <c r="D4071" s="5">
        <v>7100</v>
      </c>
      <c r="E4071" s="5">
        <f t="shared" si="219"/>
        <v>148150</v>
      </c>
      <c r="F4071" s="5">
        <v>232925</v>
      </c>
      <c r="G4071" s="5">
        <v>0</v>
      </c>
      <c r="H4071" s="5">
        <v>0</v>
      </c>
      <c r="I4071" s="5">
        <v>54750</v>
      </c>
      <c r="J4071" s="263">
        <f t="shared" si="210"/>
        <v>0.23505420199635077</v>
      </c>
      <c r="K4071" s="24">
        <v>2195</v>
      </c>
      <c r="L4071" s="6">
        <v>2212</v>
      </c>
      <c r="M4071" s="270">
        <f t="shared" si="211"/>
        <v>17</v>
      </c>
      <c r="O4071" s="495"/>
      <c r="P4071" s="448">
        <v>14330</v>
      </c>
      <c r="Q4071" s="28">
        <f>174.2/1060.9</f>
        <v>0.16420020737109997</v>
      </c>
      <c r="R4071" s="312">
        <f t="shared" si="218"/>
        <v>2352.9889716278626</v>
      </c>
      <c r="S4071" s="313" t="e">
        <f>R4071*#REF!</f>
        <v>#REF!</v>
      </c>
      <c r="T4071" s="313" t="e">
        <f t="shared" si="216"/>
        <v>#REF!</v>
      </c>
      <c r="U4071" s="358">
        <v>0.1</v>
      </c>
      <c r="W4071" s="741">
        <f t="shared" si="217"/>
        <v>2588.2878687906491</v>
      </c>
    </row>
    <row r="4072" spans="1:23" ht="15" customHeight="1">
      <c r="A4072" s="3">
        <v>41577</v>
      </c>
      <c r="B4072" s="4">
        <v>225</v>
      </c>
      <c r="C4072" s="4">
        <v>77450</v>
      </c>
      <c r="D4072" s="5">
        <v>7100</v>
      </c>
      <c r="E4072" s="5">
        <f t="shared" si="219"/>
        <v>148150</v>
      </c>
      <c r="F4072" s="5">
        <v>232925</v>
      </c>
      <c r="G4072" s="5">
        <v>0</v>
      </c>
      <c r="H4072" s="5">
        <v>0</v>
      </c>
      <c r="I4072" s="5">
        <v>54825</v>
      </c>
      <c r="J4072" s="263">
        <f t="shared" si="210"/>
        <v>0.23537619405387999</v>
      </c>
      <c r="K4072" s="24">
        <v>2186.5</v>
      </c>
      <c r="L4072" s="6">
        <v>2207.5</v>
      </c>
      <c r="M4072" s="270">
        <f t="shared" si="211"/>
        <v>21</v>
      </c>
      <c r="O4072" s="280"/>
      <c r="P4072" s="448">
        <v>14330</v>
      </c>
      <c r="Q4072" s="28">
        <f>174.18/1061.4</f>
        <v>0.16410401356698698</v>
      </c>
      <c r="R4072" s="312">
        <f t="shared" si="218"/>
        <v>2351.6105144149233</v>
      </c>
      <c r="S4072" s="313" t="e">
        <f>R4072*#REF!</f>
        <v>#REF!</v>
      </c>
      <c r="T4072" s="313" t="e">
        <f t="shared" si="216"/>
        <v>#REF!</v>
      </c>
      <c r="U4072" s="358">
        <v>0.1</v>
      </c>
      <c r="W4072" s="741">
        <f t="shared" si="217"/>
        <v>2586.7715658564157</v>
      </c>
    </row>
    <row r="4073" spans="1:23" ht="15" customHeight="1">
      <c r="A4073" s="3">
        <v>41578</v>
      </c>
      <c r="B4073" s="4">
        <v>225</v>
      </c>
      <c r="C4073" s="4">
        <v>77450</v>
      </c>
      <c r="D4073" s="5">
        <v>7100</v>
      </c>
      <c r="E4073" s="5">
        <f t="shared" si="219"/>
        <v>148150</v>
      </c>
      <c r="F4073" s="5">
        <v>232925</v>
      </c>
      <c r="G4073" s="5">
        <v>0</v>
      </c>
      <c r="H4073" s="5">
        <v>0</v>
      </c>
      <c r="I4073" s="5">
        <v>54825</v>
      </c>
      <c r="J4073" s="263">
        <f t="shared" si="210"/>
        <v>0.23537619405387999</v>
      </c>
      <c r="K4073" s="24">
        <v>2170</v>
      </c>
      <c r="L4073" s="6">
        <v>2189.5</v>
      </c>
      <c r="M4073" s="270">
        <f t="shared" si="211"/>
        <v>19.5</v>
      </c>
      <c r="N4073" s="420">
        <f>AVERAGE(K4051:K4073)</f>
        <v>2111.4565217391305</v>
      </c>
      <c r="O4073" s="410">
        <f>AVERAGE(K3848:K4073)</f>
        <v>2146.9693396226417</v>
      </c>
      <c r="P4073" s="448">
        <v>14290</v>
      </c>
      <c r="Q4073" s="28">
        <f>173.91/1059.9</f>
        <v>0.16408151712425698</v>
      </c>
      <c r="R4073" s="312">
        <f t="shared" si="218"/>
        <v>2344.7248797056322</v>
      </c>
      <c r="S4073" s="313" t="e">
        <f>R4073*#REF!</f>
        <v>#REF!</v>
      </c>
      <c r="T4073" s="313" t="e">
        <f t="shared" si="216"/>
        <v>#REF!</v>
      </c>
      <c r="U4073" s="358">
        <v>0.1</v>
      </c>
      <c r="W4073" s="741">
        <f t="shared" ref="W4073:W4094" si="220">(P4073*Q4073)*(1+U4073)</f>
        <v>2579.1973676761959</v>
      </c>
    </row>
    <row r="4074" spans="1:23" ht="15" customHeight="1" thickBot="1">
      <c r="A4074" s="392"/>
      <c r="B4074" s="995"/>
      <c r="C4074" s="995"/>
      <c r="D4074" s="995"/>
      <c r="E4074" s="995"/>
      <c r="F4074" s="392"/>
      <c r="G4074" s="332"/>
      <c r="H4074" s="332"/>
      <c r="I4074" s="332"/>
      <c r="J4074" s="334"/>
      <c r="K4074" s="334"/>
      <c r="L4074" s="335"/>
      <c r="M4074" s="336"/>
      <c r="N4074" s="337"/>
      <c r="O4074" s="353"/>
      <c r="P4074" s="350"/>
      <c r="Q4074" s="299"/>
      <c r="R4074" s="453">
        <f t="shared" si="218"/>
        <v>0</v>
      </c>
      <c r="S4074" s="454" t="e">
        <f>R4074*#REF!</f>
        <v>#REF!</v>
      </c>
      <c r="T4074" s="454" t="e">
        <f t="shared" si="216"/>
        <v>#REF!</v>
      </c>
      <c r="U4074" s="302"/>
      <c r="V4074" s="298">
        <f>AVERAGE(P4051:P4073)</f>
        <v>14183.478260869566</v>
      </c>
      <c r="W4074" s="751"/>
    </row>
    <row r="4075" spans="1:23" ht="15" customHeight="1">
      <c r="A4075" s="3">
        <v>41579</v>
      </c>
      <c r="B4075" s="4">
        <v>225</v>
      </c>
      <c r="C4075" s="4">
        <v>77450</v>
      </c>
      <c r="D4075" s="5">
        <v>7100</v>
      </c>
      <c r="E4075" s="5">
        <f t="shared" si="219"/>
        <v>148425</v>
      </c>
      <c r="F4075" s="5">
        <v>233200</v>
      </c>
      <c r="G4075" s="5">
        <v>300</v>
      </c>
      <c r="H4075" s="5">
        <v>25</v>
      </c>
      <c r="I4075" s="5">
        <v>54800</v>
      </c>
      <c r="J4075" s="263">
        <f t="shared" si="210"/>
        <v>0.23499142367066894</v>
      </c>
      <c r="K4075" s="24">
        <v>2171</v>
      </c>
      <c r="L4075" s="6">
        <v>2195</v>
      </c>
      <c r="M4075" s="270">
        <f t="shared" si="211"/>
        <v>24</v>
      </c>
      <c r="P4075" s="448">
        <v>14290</v>
      </c>
      <c r="Q4075" s="28">
        <f>174.21/1062.6</f>
        <v>0.16394692264257485</v>
      </c>
      <c r="R4075" s="312">
        <f t="shared" si="218"/>
        <v>2342.8015245623947</v>
      </c>
      <c r="S4075" s="313" t="e">
        <f>R4075*#REF!</f>
        <v>#REF!</v>
      </c>
      <c r="T4075" s="313" t="e">
        <f t="shared" si="216"/>
        <v>#REF!</v>
      </c>
      <c r="U4075" s="358">
        <v>0.1</v>
      </c>
      <c r="W4075" s="741">
        <f t="shared" si="220"/>
        <v>2577.0816770186343</v>
      </c>
    </row>
    <row r="4076" spans="1:23" ht="15" customHeight="1">
      <c r="A4076" s="3">
        <v>41582</v>
      </c>
      <c r="B4076" s="4">
        <v>175</v>
      </c>
      <c r="C4076" s="4">
        <v>77450</v>
      </c>
      <c r="D4076" s="5">
        <v>7100</v>
      </c>
      <c r="E4076" s="5">
        <f t="shared" si="219"/>
        <v>148425</v>
      </c>
      <c r="F4076" s="5">
        <v>233150</v>
      </c>
      <c r="G4076" s="5">
        <v>0</v>
      </c>
      <c r="H4076" s="5">
        <v>50</v>
      </c>
      <c r="I4076" s="5">
        <v>54750</v>
      </c>
      <c r="J4076" s="263">
        <f t="shared" si="210"/>
        <v>0.23482736435770962</v>
      </c>
      <c r="K4076" s="24">
        <v>2139</v>
      </c>
      <c r="L4076" s="6">
        <v>2158.5</v>
      </c>
      <c r="M4076" s="270">
        <f t="shared" si="211"/>
        <v>19.5</v>
      </c>
      <c r="P4076" s="448">
        <v>14290</v>
      </c>
      <c r="Q4076" s="28">
        <f>174.14/1062.1</f>
        <v>0.16395819602673947</v>
      </c>
      <c r="R4076" s="312">
        <f t="shared" si="218"/>
        <v>2342.9626212221069</v>
      </c>
      <c r="S4076" s="313" t="e">
        <f>R4076*#REF!</f>
        <v>#REF!</v>
      </c>
      <c r="T4076" s="313" t="e">
        <f t="shared" si="216"/>
        <v>#REF!</v>
      </c>
      <c r="U4076" s="358">
        <v>0.1</v>
      </c>
      <c r="W4076" s="741">
        <f t="shared" si="220"/>
        <v>2577.2588833443178</v>
      </c>
    </row>
    <row r="4077" spans="1:23" ht="15" customHeight="1">
      <c r="A4077" s="3">
        <v>41583</v>
      </c>
      <c r="B4077" s="4">
        <v>175</v>
      </c>
      <c r="C4077" s="4">
        <v>77450</v>
      </c>
      <c r="D4077" s="5">
        <v>7100</v>
      </c>
      <c r="E4077" s="5">
        <f t="shared" si="219"/>
        <v>148425</v>
      </c>
      <c r="F4077" s="5">
        <v>233150</v>
      </c>
      <c r="G4077" s="5">
        <v>0</v>
      </c>
      <c r="H4077" s="5">
        <v>0</v>
      </c>
      <c r="I4077" s="5">
        <v>54750</v>
      </c>
      <c r="J4077" s="263">
        <f t="shared" si="210"/>
        <v>0.23482736435770962</v>
      </c>
      <c r="K4077" s="24">
        <v>2123.5</v>
      </c>
      <c r="L4077" s="6">
        <v>2147</v>
      </c>
      <c r="M4077" s="270">
        <f t="shared" si="211"/>
        <v>23.5</v>
      </c>
      <c r="P4077" s="448">
        <v>14220</v>
      </c>
      <c r="Q4077" s="28">
        <f>174.19/1062</f>
        <v>0.16402071563088513</v>
      </c>
      <c r="R4077" s="312">
        <f t="shared" si="218"/>
        <v>2332.3745762711865</v>
      </c>
      <c r="S4077" s="313" t="e">
        <f>R4077*#REF!</f>
        <v>#REF!</v>
      </c>
      <c r="T4077" s="313" t="e">
        <f t="shared" si="216"/>
        <v>#REF!</v>
      </c>
      <c r="U4077" s="358">
        <v>0.1</v>
      </c>
      <c r="W4077" s="741">
        <f t="shared" si="220"/>
        <v>2565.6120338983055</v>
      </c>
    </row>
    <row r="4078" spans="1:23" ht="15" customHeight="1">
      <c r="A4078" s="3">
        <v>41584</v>
      </c>
      <c r="B4078" s="4">
        <v>175</v>
      </c>
      <c r="C4078" s="4">
        <v>77450</v>
      </c>
      <c r="D4078" s="5">
        <v>7100</v>
      </c>
      <c r="E4078" s="5">
        <f t="shared" si="219"/>
        <v>148425</v>
      </c>
      <c r="F4078" s="5">
        <v>233150</v>
      </c>
      <c r="G4078" s="5">
        <v>0</v>
      </c>
      <c r="H4078" s="5">
        <v>0</v>
      </c>
      <c r="I4078" s="5">
        <v>54750</v>
      </c>
      <c r="J4078" s="263">
        <f t="shared" si="210"/>
        <v>0.23482736435770962</v>
      </c>
      <c r="K4078" s="24">
        <v>2150</v>
      </c>
      <c r="L4078" s="6">
        <v>2173.5</v>
      </c>
      <c r="M4078" s="270">
        <f t="shared" si="211"/>
        <v>23.5</v>
      </c>
      <c r="P4078" s="448">
        <v>14220</v>
      </c>
      <c r="Q4078" s="28">
        <f>174.31/1062</f>
        <v>0.16413370998116761</v>
      </c>
      <c r="R4078" s="312">
        <f t="shared" si="218"/>
        <v>2333.9813559322033</v>
      </c>
      <c r="S4078" s="313" t="e">
        <f>R4078*#REF!</f>
        <v>#REF!</v>
      </c>
      <c r="T4078" s="313" t="e">
        <f t="shared" si="216"/>
        <v>#REF!</v>
      </c>
      <c r="U4078" s="358">
        <v>0.1</v>
      </c>
      <c r="W4078" s="741">
        <f t="shared" si="220"/>
        <v>2567.3794915254239</v>
      </c>
    </row>
    <row r="4079" spans="1:23" ht="15" customHeight="1">
      <c r="A4079" s="3">
        <v>41585</v>
      </c>
      <c r="B4079" s="4">
        <v>175</v>
      </c>
      <c r="C4079" s="4">
        <v>77450</v>
      </c>
      <c r="D4079" s="5">
        <v>7100</v>
      </c>
      <c r="E4079" s="5">
        <f t="shared" si="219"/>
        <v>148425</v>
      </c>
      <c r="F4079" s="5">
        <v>233150</v>
      </c>
      <c r="G4079" s="5">
        <v>0</v>
      </c>
      <c r="H4079" s="5">
        <v>0</v>
      </c>
      <c r="I4079" s="5">
        <v>54750</v>
      </c>
      <c r="J4079" s="263">
        <f t="shared" si="210"/>
        <v>0.23482736435770962</v>
      </c>
      <c r="K4079" s="24">
        <v>2117</v>
      </c>
      <c r="L4079" s="6">
        <v>2138</v>
      </c>
      <c r="M4079" s="270">
        <f t="shared" si="211"/>
        <v>21</v>
      </c>
      <c r="P4079" s="448">
        <v>14220</v>
      </c>
      <c r="Q4079" s="28">
        <f>174.15/1060.7</f>
        <v>0.16418402941453758</v>
      </c>
      <c r="R4079" s="312">
        <f t="shared" si="218"/>
        <v>2334.6968982747244</v>
      </c>
      <c r="S4079" s="313" t="e">
        <f>R4079*#REF!</f>
        <v>#REF!</v>
      </c>
      <c r="T4079" s="313" t="e">
        <f t="shared" si="216"/>
        <v>#REF!</v>
      </c>
      <c r="U4079" s="358">
        <v>0.1</v>
      </c>
      <c r="W4079" s="741">
        <f t="shared" si="220"/>
        <v>2568.1665881021972</v>
      </c>
    </row>
    <row r="4080" spans="1:23" ht="15" customHeight="1">
      <c r="A4080" s="3">
        <v>41586</v>
      </c>
      <c r="B4080" s="4">
        <v>175</v>
      </c>
      <c r="C4080" s="4">
        <v>77450</v>
      </c>
      <c r="D4080" s="5">
        <v>7100</v>
      </c>
      <c r="E4080" s="5">
        <f t="shared" si="219"/>
        <v>148275</v>
      </c>
      <c r="F4080" s="5">
        <v>233000</v>
      </c>
      <c r="G4080" s="5">
        <v>0</v>
      </c>
      <c r="H4080" s="5">
        <v>150</v>
      </c>
      <c r="I4080" s="5">
        <v>54600</v>
      </c>
      <c r="J4080" s="263">
        <f t="shared" si="210"/>
        <v>0.23433476394849787</v>
      </c>
      <c r="K4080" s="24">
        <v>2117</v>
      </c>
      <c r="L4080" s="6">
        <v>2137</v>
      </c>
      <c r="M4080" s="270">
        <f t="shared" si="211"/>
        <v>20</v>
      </c>
      <c r="P4080" s="448">
        <v>14220</v>
      </c>
      <c r="Q4080" s="28">
        <f>174.61/1063.5</f>
        <v>0.16418429713211097</v>
      </c>
      <c r="R4080" s="312">
        <f t="shared" si="218"/>
        <v>2334.7007052186182</v>
      </c>
      <c r="S4080" s="313" t="e">
        <f>R4080*#REF!</f>
        <v>#REF!</v>
      </c>
      <c r="T4080" s="313" t="e">
        <f t="shared" si="216"/>
        <v>#REF!</v>
      </c>
      <c r="U4080" s="358">
        <v>0.1</v>
      </c>
      <c r="W4080" s="741">
        <f t="shared" si="220"/>
        <v>2568.1707757404802</v>
      </c>
    </row>
    <row r="4081" spans="1:23" ht="15" customHeight="1">
      <c r="A4081" s="3">
        <v>41589</v>
      </c>
      <c r="B4081" s="4">
        <v>175</v>
      </c>
      <c r="C4081" s="4">
        <v>77300</v>
      </c>
      <c r="D4081" s="5">
        <v>7100</v>
      </c>
      <c r="E4081" s="5">
        <f t="shared" si="219"/>
        <v>148425</v>
      </c>
      <c r="F4081" s="5">
        <v>233000</v>
      </c>
      <c r="G4081" s="5">
        <v>0</v>
      </c>
      <c r="H4081" s="5">
        <v>0</v>
      </c>
      <c r="I4081" s="5">
        <v>54600</v>
      </c>
      <c r="J4081" s="263">
        <f t="shared" ref="J4081:J4105" si="221">I4081/F4081</f>
        <v>0.23433476394849787</v>
      </c>
      <c r="K4081" s="24">
        <v>2107.5</v>
      </c>
      <c r="L4081" s="6">
        <v>2124</v>
      </c>
      <c r="M4081" s="270">
        <f t="shared" si="211"/>
        <v>16.5</v>
      </c>
      <c r="P4081" s="448">
        <v>14190</v>
      </c>
      <c r="Q4081" s="28">
        <f>175.41/1068.5</f>
        <v>0.16416471689284043</v>
      </c>
      <c r="R4081" s="312">
        <f t="shared" si="218"/>
        <v>2329.4973327094058</v>
      </c>
      <c r="S4081" s="313" t="e">
        <f>R4081*#REF!</f>
        <v>#REF!</v>
      </c>
      <c r="T4081" s="313" t="e">
        <f t="shared" si="216"/>
        <v>#REF!</v>
      </c>
      <c r="U4081" s="358">
        <v>0.1</v>
      </c>
      <c r="W4081" s="741">
        <f t="shared" si="220"/>
        <v>2562.4470659803465</v>
      </c>
    </row>
    <row r="4082" spans="1:23" ht="15" customHeight="1">
      <c r="A4082" s="3">
        <v>41590</v>
      </c>
      <c r="B4082" s="4">
        <v>175</v>
      </c>
      <c r="C4082" s="4">
        <v>77300</v>
      </c>
      <c r="D4082" s="5">
        <v>7100</v>
      </c>
      <c r="E4082" s="5">
        <f t="shared" si="219"/>
        <v>148425</v>
      </c>
      <c r="F4082" s="5">
        <v>233000</v>
      </c>
      <c r="G4082" s="5">
        <v>0</v>
      </c>
      <c r="H4082" s="5">
        <v>0</v>
      </c>
      <c r="I4082" s="5">
        <v>54600</v>
      </c>
      <c r="J4082" s="263">
        <f t="shared" si="221"/>
        <v>0.23433476394849787</v>
      </c>
      <c r="K4082" s="24">
        <v>2092</v>
      </c>
      <c r="L4082" s="6">
        <v>2111.5</v>
      </c>
      <c r="M4082" s="270">
        <f t="shared" si="211"/>
        <v>19.5</v>
      </c>
      <c r="P4082" s="448">
        <v>14140</v>
      </c>
      <c r="Q4082" s="28">
        <f>175.79/1070.9</f>
        <v>0.16415164814641889</v>
      </c>
      <c r="R4082" s="312">
        <f t="shared" si="218"/>
        <v>2321.1043047903631</v>
      </c>
      <c r="S4082" s="313" t="e">
        <f>R4082*#REF!</f>
        <v>#REF!</v>
      </c>
      <c r="T4082" s="313" t="e">
        <f t="shared" si="216"/>
        <v>#REF!</v>
      </c>
      <c r="U4082" s="358">
        <v>0.1</v>
      </c>
      <c r="W4082" s="741">
        <f t="shared" si="220"/>
        <v>2553.2147352693996</v>
      </c>
    </row>
    <row r="4083" spans="1:23" ht="15" customHeight="1">
      <c r="A4083" s="3">
        <v>41591</v>
      </c>
      <c r="B4083" s="4">
        <v>175</v>
      </c>
      <c r="C4083" s="4">
        <v>77300</v>
      </c>
      <c r="D4083" s="5">
        <v>7100</v>
      </c>
      <c r="E4083" s="5">
        <f t="shared" si="219"/>
        <v>152100</v>
      </c>
      <c r="F4083" s="5">
        <v>236675</v>
      </c>
      <c r="G4083" s="5">
        <v>3675</v>
      </c>
      <c r="H4083" s="5">
        <v>0</v>
      </c>
      <c r="I4083" s="5">
        <v>54600</v>
      </c>
      <c r="J4083" s="263">
        <f t="shared" si="221"/>
        <v>0.23069610224992076</v>
      </c>
      <c r="K4083" s="24">
        <v>2077</v>
      </c>
      <c r="L4083" s="6">
        <v>2094</v>
      </c>
      <c r="M4083" s="270">
        <f t="shared" si="211"/>
        <v>17</v>
      </c>
      <c r="P4083" s="448">
        <v>14060</v>
      </c>
      <c r="Q4083" s="28">
        <f>176.09/1072.9</f>
        <v>0.16412526796532761</v>
      </c>
      <c r="R4083" s="312">
        <f t="shared" si="218"/>
        <v>2307.6012675925062</v>
      </c>
      <c r="S4083" s="313" t="e">
        <f>R4083*#REF!</f>
        <v>#REF!</v>
      </c>
      <c r="T4083" s="313" t="e">
        <f t="shared" si="216"/>
        <v>#REF!</v>
      </c>
      <c r="U4083" s="358">
        <v>0.1</v>
      </c>
      <c r="W4083" s="741">
        <f t="shared" si="220"/>
        <v>2538.3613943517571</v>
      </c>
    </row>
    <row r="4084" spans="1:23" ht="15" customHeight="1">
      <c r="A4084" s="3">
        <v>41592</v>
      </c>
      <c r="B4084" s="4">
        <v>175</v>
      </c>
      <c r="C4084" s="4">
        <v>77300</v>
      </c>
      <c r="D4084" s="5">
        <v>7100</v>
      </c>
      <c r="E4084" s="5">
        <f t="shared" si="219"/>
        <v>152100</v>
      </c>
      <c r="F4084" s="5">
        <v>236675</v>
      </c>
      <c r="G4084" s="5">
        <v>0</v>
      </c>
      <c r="H4084" s="5">
        <v>0</v>
      </c>
      <c r="I4084" s="5">
        <v>54600</v>
      </c>
      <c r="J4084" s="263">
        <f t="shared" si="221"/>
        <v>0.23069610224992076</v>
      </c>
      <c r="K4084" s="24">
        <v>2074</v>
      </c>
      <c r="L4084" s="6">
        <v>2092</v>
      </c>
      <c r="M4084" s="270">
        <f t="shared" si="211"/>
        <v>18</v>
      </c>
      <c r="P4084" s="448">
        <v>14060</v>
      </c>
      <c r="Q4084" s="28">
        <f>175.19/1067.3</f>
        <v>0.16414316499578377</v>
      </c>
      <c r="R4084" s="312">
        <f t="shared" si="218"/>
        <v>2307.8528998407196</v>
      </c>
      <c r="S4084" s="313" t="e">
        <f>R4084*#REF!</f>
        <v>#REF!</v>
      </c>
      <c r="T4084" s="313" t="e">
        <f t="shared" si="216"/>
        <v>#REF!</v>
      </c>
      <c r="U4084" s="358">
        <v>0.1</v>
      </c>
      <c r="W4084" s="741">
        <f t="shared" si="220"/>
        <v>2538.6381898247919</v>
      </c>
    </row>
    <row r="4085" spans="1:23" ht="15" customHeight="1">
      <c r="A4085" s="3">
        <v>41593</v>
      </c>
      <c r="B4085" s="4">
        <v>175</v>
      </c>
      <c r="C4085" s="4">
        <v>77300</v>
      </c>
      <c r="D4085" s="5">
        <v>7100</v>
      </c>
      <c r="E4085" s="5">
        <f t="shared" si="219"/>
        <v>152100</v>
      </c>
      <c r="F4085" s="5">
        <v>236675</v>
      </c>
      <c r="G4085" s="5">
        <v>0</v>
      </c>
      <c r="H4085" s="5">
        <v>0</v>
      </c>
      <c r="I4085" s="5">
        <v>54600</v>
      </c>
      <c r="J4085" s="263">
        <f t="shared" si="221"/>
        <v>0.23069610224992076</v>
      </c>
      <c r="K4085" s="24">
        <v>2073</v>
      </c>
      <c r="L4085" s="6">
        <v>2091</v>
      </c>
      <c r="M4085" s="270">
        <f t="shared" si="211"/>
        <v>18</v>
      </c>
      <c r="P4085" s="448">
        <v>14060</v>
      </c>
      <c r="Q4085" s="28">
        <f>175.09/1066.7</f>
        <v>0.16414174557045091</v>
      </c>
      <c r="R4085" s="312">
        <f t="shared" si="218"/>
        <v>2307.8329427205399</v>
      </c>
      <c r="S4085" s="313" t="e">
        <f>R4085*#REF!</f>
        <v>#REF!</v>
      </c>
      <c r="T4085" s="313" t="e">
        <f t="shared" si="216"/>
        <v>#REF!</v>
      </c>
      <c r="U4085" s="358">
        <v>0.1</v>
      </c>
      <c r="W4085" s="741">
        <f t="shared" si="220"/>
        <v>2538.6162369925942</v>
      </c>
    </row>
    <row r="4086" spans="1:23" ht="15" customHeight="1">
      <c r="A4086" s="3">
        <v>41596</v>
      </c>
      <c r="B4086" s="4">
        <v>0</v>
      </c>
      <c r="C4086" s="4">
        <v>77475</v>
      </c>
      <c r="D4086" s="5">
        <v>7100</v>
      </c>
      <c r="E4086" s="5">
        <f t="shared" si="219"/>
        <v>151550</v>
      </c>
      <c r="F4086" s="5">
        <v>236125</v>
      </c>
      <c r="G4086" s="5">
        <v>0</v>
      </c>
      <c r="H4086" s="5">
        <v>550</v>
      </c>
      <c r="I4086" s="5">
        <v>54050</v>
      </c>
      <c r="J4086" s="263">
        <f t="shared" si="221"/>
        <v>0.22890418210693489</v>
      </c>
      <c r="K4086" s="24">
        <v>2072</v>
      </c>
      <c r="L4086" s="6">
        <v>2092</v>
      </c>
      <c r="M4086" s="270">
        <f t="shared" si="211"/>
        <v>20</v>
      </c>
      <c r="P4086" s="448">
        <v>14040</v>
      </c>
      <c r="Q4086" s="28">
        <f>174.11/1060.7</f>
        <v>0.16414631846893563</v>
      </c>
      <c r="R4086" s="312">
        <f t="shared" si="218"/>
        <v>2304.6143113038561</v>
      </c>
      <c r="S4086" s="313" t="e">
        <f>R4086*#REF!</f>
        <v>#REF!</v>
      </c>
      <c r="T4086" s="313" t="e">
        <f t="shared" si="216"/>
        <v>#REF!</v>
      </c>
      <c r="U4086" s="358">
        <v>0.1</v>
      </c>
      <c r="W4086" s="741">
        <f t="shared" si="220"/>
        <v>2535.0757424342419</v>
      </c>
    </row>
    <row r="4087" spans="1:23" ht="15" customHeight="1">
      <c r="A4087" s="3">
        <v>41597</v>
      </c>
      <c r="B4087" s="4">
        <v>0</v>
      </c>
      <c r="C4087" s="4">
        <v>77475</v>
      </c>
      <c r="D4087" s="5">
        <v>7100</v>
      </c>
      <c r="E4087" s="5">
        <f t="shared" si="219"/>
        <v>150850</v>
      </c>
      <c r="F4087" s="5">
        <v>235425</v>
      </c>
      <c r="G4087" s="5">
        <v>0</v>
      </c>
      <c r="H4087" s="5">
        <v>700</v>
      </c>
      <c r="I4087" s="5">
        <v>53350</v>
      </c>
      <c r="J4087" s="263">
        <f t="shared" si="221"/>
        <v>0.22661144738239355</v>
      </c>
      <c r="K4087" s="24">
        <v>2062.5</v>
      </c>
      <c r="L4087" s="6">
        <v>2081.5</v>
      </c>
      <c r="M4087" s="270">
        <f t="shared" si="211"/>
        <v>19</v>
      </c>
      <c r="P4087" s="448">
        <v>13960</v>
      </c>
      <c r="Q4087" s="28">
        <f>173.28/1055.8</f>
        <v>0.16412199280166698</v>
      </c>
      <c r="R4087" s="312">
        <f t="shared" si="218"/>
        <v>2291.1430195112712</v>
      </c>
      <c r="S4087" s="313" t="e">
        <f>R4087*#REF!</f>
        <v>#REF!</v>
      </c>
      <c r="T4087" s="313" t="e">
        <f t="shared" si="216"/>
        <v>#REF!</v>
      </c>
      <c r="U4087" s="358">
        <v>0.1</v>
      </c>
      <c r="W4087" s="741">
        <f t="shared" si="220"/>
        <v>2520.2573214623985</v>
      </c>
    </row>
    <row r="4088" spans="1:23" ht="15" customHeight="1">
      <c r="A4088" s="3">
        <v>41598</v>
      </c>
      <c r="B4088" s="4">
        <v>0</v>
      </c>
      <c r="C4088" s="4">
        <v>77475</v>
      </c>
      <c r="D4088" s="5">
        <v>7100</v>
      </c>
      <c r="E4088" s="5">
        <f t="shared" si="219"/>
        <v>150325</v>
      </c>
      <c r="F4088" s="5">
        <v>234900</v>
      </c>
      <c r="G4088" s="5">
        <v>75</v>
      </c>
      <c r="H4088" s="5">
        <v>600</v>
      </c>
      <c r="I4088" s="5">
        <v>52750</v>
      </c>
      <c r="J4088" s="263">
        <f t="shared" si="221"/>
        <v>0.224563644103874</v>
      </c>
      <c r="K4088" s="24">
        <v>2074</v>
      </c>
      <c r="L4088" s="6">
        <v>2094</v>
      </c>
      <c r="M4088" s="270">
        <f t="shared" si="211"/>
        <v>20</v>
      </c>
      <c r="P4088" s="448">
        <v>13960</v>
      </c>
      <c r="Q4088" s="28">
        <f>173.37/1056.3</f>
        <v>0.16412950866231185</v>
      </c>
      <c r="R4088" s="312">
        <f t="shared" si="218"/>
        <v>2291.2479409258735</v>
      </c>
      <c r="S4088" s="313" t="e">
        <f>R4088*#REF!</f>
        <v>#REF!</v>
      </c>
      <c r="T4088" s="313" t="e">
        <f t="shared" si="216"/>
        <v>#REF!</v>
      </c>
      <c r="U4088" s="358">
        <v>0.1</v>
      </c>
      <c r="W4088" s="741">
        <f t="shared" si="220"/>
        <v>2520.3727350184613</v>
      </c>
    </row>
    <row r="4089" spans="1:23" ht="15" customHeight="1">
      <c r="A4089" s="3">
        <v>41599</v>
      </c>
      <c r="B4089" s="4">
        <v>0</v>
      </c>
      <c r="C4089" s="4">
        <v>77475</v>
      </c>
      <c r="D4089" s="5">
        <v>7100</v>
      </c>
      <c r="E4089" s="5">
        <f t="shared" si="219"/>
        <v>149550</v>
      </c>
      <c r="F4089" s="5">
        <v>234125</v>
      </c>
      <c r="G4089" s="5">
        <v>0</v>
      </c>
      <c r="H4089" s="5">
        <v>775</v>
      </c>
      <c r="I4089" s="5">
        <v>51975</v>
      </c>
      <c r="J4089" s="263">
        <f t="shared" si="221"/>
        <v>0.22199679658302188</v>
      </c>
      <c r="K4089" s="24">
        <v>2061</v>
      </c>
      <c r="L4089" s="6">
        <v>2081</v>
      </c>
      <c r="M4089" s="270">
        <f t="shared" si="211"/>
        <v>20</v>
      </c>
      <c r="P4089" s="448">
        <v>13960</v>
      </c>
      <c r="Q4089" s="28">
        <f>174.28/1061.9</f>
        <v>0.16412091534042753</v>
      </c>
      <c r="R4089" s="312">
        <f t="shared" si="218"/>
        <v>2291.1279781523681</v>
      </c>
      <c r="S4089" s="313" t="e">
        <f>R4089*#REF!</f>
        <v>#REF!</v>
      </c>
      <c r="T4089" s="313" t="e">
        <f t="shared" si="216"/>
        <v>#REF!</v>
      </c>
      <c r="U4089" s="358">
        <v>0.1</v>
      </c>
      <c r="W4089" s="741">
        <f t="shared" si="220"/>
        <v>2520.2407759676053</v>
      </c>
    </row>
    <row r="4090" spans="1:23" ht="15" customHeight="1">
      <c r="A4090" s="3">
        <v>41600</v>
      </c>
      <c r="B4090" s="4">
        <v>0</v>
      </c>
      <c r="C4090" s="4">
        <v>77475</v>
      </c>
      <c r="D4090" s="5">
        <v>7100</v>
      </c>
      <c r="E4090" s="5">
        <f t="shared" si="219"/>
        <v>149250</v>
      </c>
      <c r="F4090" s="5">
        <v>233825</v>
      </c>
      <c r="I4090" s="5">
        <v>51475</v>
      </c>
      <c r="J4090" s="263">
        <f t="shared" si="221"/>
        <v>0.22014326953918528</v>
      </c>
      <c r="K4090" s="24">
        <v>2083</v>
      </c>
      <c r="L4090" s="6">
        <v>2104</v>
      </c>
      <c r="M4090" s="270">
        <f t="shared" si="211"/>
        <v>21</v>
      </c>
      <c r="P4090" s="448">
        <v>13940</v>
      </c>
      <c r="Q4090" s="28">
        <f>174.21/1061.6</f>
        <v>0.16410135644310478</v>
      </c>
      <c r="R4090" s="312">
        <f t="shared" si="218"/>
        <v>2287.5729088168805</v>
      </c>
      <c r="S4090" s="313" t="e">
        <f>R4090*#REF!</f>
        <v>#REF!</v>
      </c>
      <c r="T4090" s="313" t="e">
        <f t="shared" si="216"/>
        <v>#REF!</v>
      </c>
      <c r="U4090" s="358">
        <v>0.1</v>
      </c>
      <c r="W4090" s="741">
        <f t="shared" si="220"/>
        <v>2516.3301996985688</v>
      </c>
    </row>
    <row r="4091" spans="1:23" ht="15" customHeight="1">
      <c r="A4091" s="3">
        <v>41603</v>
      </c>
      <c r="B4091" s="4">
        <v>200</v>
      </c>
      <c r="C4091" s="4">
        <v>77475</v>
      </c>
      <c r="D4091" s="5">
        <v>7100</v>
      </c>
      <c r="E4091" s="5">
        <f t="shared" si="219"/>
        <v>148850</v>
      </c>
      <c r="F4091" s="5">
        <v>233625</v>
      </c>
      <c r="G4091" s="5">
        <v>300</v>
      </c>
      <c r="H4091" s="5">
        <v>500</v>
      </c>
      <c r="I4091" s="5">
        <v>50975</v>
      </c>
      <c r="J4091" s="263">
        <f t="shared" si="221"/>
        <v>0.21819154628143392</v>
      </c>
      <c r="K4091" s="24">
        <v>2068</v>
      </c>
      <c r="L4091" s="6">
        <v>2090.5</v>
      </c>
      <c r="M4091" s="270">
        <f t="shared" si="211"/>
        <v>22.5</v>
      </c>
      <c r="P4091" s="448">
        <v>13940</v>
      </c>
      <c r="Q4091" s="28">
        <f>174.08/1060.6</f>
        <v>0.16413350933433907</v>
      </c>
      <c r="R4091" s="312">
        <f t="shared" si="218"/>
        <v>2288.0211201206866</v>
      </c>
      <c r="S4091" s="313" t="e">
        <f>R4091*#REF!</f>
        <v>#REF!</v>
      </c>
      <c r="T4091" s="313" t="e">
        <f t="shared" si="216"/>
        <v>#REF!</v>
      </c>
      <c r="U4091" s="358">
        <v>0.1</v>
      </c>
      <c r="W4091" s="741">
        <f t="shared" si="220"/>
        <v>2516.8232321327555</v>
      </c>
    </row>
    <row r="4092" spans="1:23" ht="15" customHeight="1">
      <c r="A4092" s="3">
        <v>41604</v>
      </c>
      <c r="B4092" s="4">
        <v>200</v>
      </c>
      <c r="C4092" s="4">
        <v>77475</v>
      </c>
      <c r="D4092" s="5">
        <v>7100</v>
      </c>
      <c r="E4092" s="5">
        <f t="shared" si="219"/>
        <v>148125</v>
      </c>
      <c r="F4092" s="5">
        <v>232900</v>
      </c>
      <c r="G4092" s="5">
        <v>0</v>
      </c>
      <c r="H4092" s="5">
        <v>725</v>
      </c>
      <c r="I4092" s="5">
        <v>50250</v>
      </c>
      <c r="J4092" s="263">
        <f t="shared" si="221"/>
        <v>0.21575783598110776</v>
      </c>
      <c r="K4092" s="24">
        <v>2073</v>
      </c>
      <c r="L4092" s="6">
        <v>2094</v>
      </c>
      <c r="M4092" s="270">
        <f t="shared" si="211"/>
        <v>21</v>
      </c>
      <c r="P4092" s="448">
        <v>13920</v>
      </c>
      <c r="Q4092" s="28">
        <f>174.03/1060.3</f>
        <v>0.16413279260586627</v>
      </c>
      <c r="R4092" s="312">
        <f t="shared" si="218"/>
        <v>2284.7284730736587</v>
      </c>
      <c r="S4092" s="313" t="e">
        <f>R4092*#REF!</f>
        <v>#REF!</v>
      </c>
      <c r="T4092" s="313" t="e">
        <f t="shared" si="216"/>
        <v>#REF!</v>
      </c>
      <c r="U4092" s="358">
        <v>0.1</v>
      </c>
      <c r="W4092" s="741">
        <f t="shared" si="220"/>
        <v>2513.2013203810247</v>
      </c>
    </row>
    <row r="4093" spans="1:23" ht="15" customHeight="1">
      <c r="A4093" s="3">
        <v>41605</v>
      </c>
      <c r="B4093" s="4">
        <v>200</v>
      </c>
      <c r="C4093" s="4">
        <v>77475</v>
      </c>
      <c r="D4093" s="5">
        <v>7100</v>
      </c>
      <c r="E4093" s="5">
        <f t="shared" si="219"/>
        <v>147600</v>
      </c>
      <c r="F4093" s="5">
        <v>232375</v>
      </c>
      <c r="G4093" s="5">
        <v>0</v>
      </c>
      <c r="H4093" s="5">
        <v>525</v>
      </c>
      <c r="I4093" s="5">
        <v>49775</v>
      </c>
      <c r="J4093" s="263">
        <f t="shared" si="221"/>
        <v>0.21420118343195266</v>
      </c>
      <c r="K4093" s="24">
        <v>2067</v>
      </c>
      <c r="L4093" s="6">
        <v>2090.5</v>
      </c>
      <c r="M4093" s="270">
        <f t="shared" si="211"/>
        <v>23.5</v>
      </c>
      <c r="P4093" s="448">
        <v>13920</v>
      </c>
      <c r="Q4093" s="28">
        <f>174.13/1060.9</f>
        <v>0.16413422565746064</v>
      </c>
      <c r="R4093" s="312">
        <f t="shared" si="218"/>
        <v>2284.7484211518522</v>
      </c>
      <c r="S4093" s="313" t="e">
        <f>R4093*#REF!</f>
        <v>#REF!</v>
      </c>
      <c r="T4093" s="313" t="e">
        <f t="shared" si="216"/>
        <v>#REF!</v>
      </c>
      <c r="U4093" s="358">
        <v>0.1</v>
      </c>
      <c r="W4093" s="741">
        <f t="shared" si="220"/>
        <v>2513.2232632670375</v>
      </c>
    </row>
    <row r="4094" spans="1:23" ht="15" customHeight="1">
      <c r="A4094" s="3">
        <v>41606</v>
      </c>
      <c r="B4094" s="4">
        <v>200</v>
      </c>
      <c r="C4094" s="4">
        <v>77475</v>
      </c>
      <c r="D4094" s="5">
        <v>7100</v>
      </c>
      <c r="E4094" s="5">
        <f t="shared" si="219"/>
        <v>147100</v>
      </c>
      <c r="F4094" s="5">
        <v>231875</v>
      </c>
      <c r="G4094" s="5">
        <v>0</v>
      </c>
      <c r="H4094" s="5">
        <v>500</v>
      </c>
      <c r="I4094" s="5">
        <v>49275</v>
      </c>
      <c r="J4094" s="263">
        <f t="shared" si="221"/>
        <v>0.21250673854447438</v>
      </c>
      <c r="K4094" s="24">
        <v>2041</v>
      </c>
      <c r="L4094" s="6">
        <v>2065.5</v>
      </c>
      <c r="M4094" s="270">
        <f t="shared" si="211"/>
        <v>24.5</v>
      </c>
      <c r="P4094" s="448">
        <v>13890</v>
      </c>
      <c r="Q4094" s="28">
        <f>174.33/1062.1</f>
        <v>0.16413708690330481</v>
      </c>
      <c r="R4094" s="312">
        <f t="shared" si="218"/>
        <v>2279.8641370869036</v>
      </c>
      <c r="S4094" s="313" t="e">
        <f>R4094*#REF!</f>
        <v>#REF!</v>
      </c>
      <c r="T4094" s="313" t="e">
        <f t="shared" si="216"/>
        <v>#REF!</v>
      </c>
      <c r="U4094" s="358">
        <v>0.1</v>
      </c>
      <c r="W4094" s="741">
        <f t="shared" si="220"/>
        <v>2507.8505507955942</v>
      </c>
    </row>
    <row r="4095" spans="1:23" ht="15" customHeight="1">
      <c r="A4095" s="3">
        <v>41607</v>
      </c>
      <c r="B4095" s="4">
        <v>200</v>
      </c>
      <c r="C4095" s="4">
        <v>77475</v>
      </c>
      <c r="D4095" s="5">
        <v>7100</v>
      </c>
      <c r="E4095" s="5">
        <f t="shared" si="219"/>
        <v>146600</v>
      </c>
      <c r="F4095" s="5">
        <v>231375</v>
      </c>
      <c r="G4095" s="5">
        <v>0</v>
      </c>
      <c r="H4095" s="5">
        <v>500</v>
      </c>
      <c r="I4095" s="5">
        <v>48775</v>
      </c>
      <c r="J4095" s="263">
        <f t="shared" si="221"/>
        <v>0.21080497028633172</v>
      </c>
      <c r="K4095" s="24">
        <v>2051.5</v>
      </c>
      <c r="L4095" s="6">
        <v>2076</v>
      </c>
      <c r="M4095" s="270">
        <f t="shared" si="211"/>
        <v>24.5</v>
      </c>
      <c r="N4095" s="420">
        <f>AVERAGE(K4075:K4095)</f>
        <v>2090.1904761904761</v>
      </c>
      <c r="O4095" s="410">
        <f>AVERAGE(K3848:K4095)</f>
        <v>2141.8519313304723</v>
      </c>
      <c r="P4095" s="448">
        <v>13890</v>
      </c>
      <c r="Q4095" s="28">
        <f>173.78/1058.9</f>
        <v>0.16411370289923505</v>
      </c>
      <c r="R4095" s="312">
        <f t="shared" si="218"/>
        <v>2279.5393332703748</v>
      </c>
      <c r="S4095" s="313" t="e">
        <f>R4095*#REF!</f>
        <v>#REF!</v>
      </c>
      <c r="T4095" s="313" t="e">
        <f t="shared" si="216"/>
        <v>#REF!</v>
      </c>
      <c r="U4095" s="358">
        <v>0.1</v>
      </c>
      <c r="W4095" s="741">
        <f t="shared" ref="W4095:W4117" si="222">(P4095*Q4095)*(1+U4095)</f>
        <v>2507.4932665974125</v>
      </c>
    </row>
    <row r="4096" spans="1:23" ht="15" customHeight="1" thickBot="1">
      <c r="A4096" s="392"/>
      <c r="B4096" s="995"/>
      <c r="C4096" s="995"/>
      <c r="D4096" s="995"/>
      <c r="E4096" s="995"/>
      <c r="F4096" s="392"/>
      <c r="G4096" s="332"/>
      <c r="H4096" s="332"/>
      <c r="I4096" s="332"/>
      <c r="J4096" s="334"/>
      <c r="K4096" s="334"/>
      <c r="L4096" s="335"/>
      <c r="M4096" s="336"/>
      <c r="N4096" s="337"/>
      <c r="O4096" s="353"/>
      <c r="P4096" s="350"/>
      <c r="Q4096" s="299"/>
      <c r="R4096" s="453"/>
      <c r="S4096" s="454"/>
      <c r="T4096" s="454"/>
      <c r="U4096" s="302"/>
      <c r="V4096" s="298">
        <f>AVERAGE(P4075:P4095)</f>
        <v>14066.190476190477</v>
      </c>
      <c r="W4096" s="751"/>
    </row>
    <row r="4097" spans="1:23" ht="15" customHeight="1">
      <c r="A4097" s="3">
        <v>41610</v>
      </c>
      <c r="B4097" s="4">
        <v>450</v>
      </c>
      <c r="C4097" s="4">
        <v>77475</v>
      </c>
      <c r="D4097" s="5">
        <v>7100</v>
      </c>
      <c r="E4097" s="5">
        <f t="shared" si="219"/>
        <v>145150</v>
      </c>
      <c r="F4097" s="5">
        <v>230175</v>
      </c>
      <c r="G4097" s="5">
        <v>0</v>
      </c>
      <c r="H4097" s="5">
        <v>1200</v>
      </c>
      <c r="I4097" s="5">
        <v>48000</v>
      </c>
      <c r="J4097" s="263">
        <f t="shared" si="221"/>
        <v>0.20853698273053112</v>
      </c>
      <c r="K4097" s="24">
        <v>2040.5</v>
      </c>
      <c r="L4097" s="6">
        <v>2065.5</v>
      </c>
      <c r="M4097" s="270">
        <f t="shared" si="211"/>
        <v>25</v>
      </c>
      <c r="P4097" s="448">
        <v>13890</v>
      </c>
      <c r="Q4097" s="28">
        <f>173.59/1057.7</f>
        <v>0.16412026094355678</v>
      </c>
      <c r="R4097" s="312">
        <f t="shared" si="218"/>
        <v>2279.6304245060037</v>
      </c>
      <c r="S4097" s="313" t="e">
        <f>R4097*#REF!</f>
        <v>#REF!</v>
      </c>
      <c r="T4097" s="313" t="e">
        <f t="shared" ref="T4097:T4118" si="223">(R4097+S4097)*U4097</f>
        <v>#REF!</v>
      </c>
      <c r="U4097" s="358">
        <v>0.1</v>
      </c>
      <c r="W4097" s="741">
        <f t="shared" si="222"/>
        <v>2507.5934669566041</v>
      </c>
    </row>
    <row r="4098" spans="1:23" ht="15" customHeight="1">
      <c r="A4098" s="3">
        <v>41611</v>
      </c>
      <c r="B4098" s="4">
        <v>400</v>
      </c>
      <c r="C4098" s="4">
        <v>76825</v>
      </c>
      <c r="D4098" s="5">
        <v>7100</v>
      </c>
      <c r="E4098" s="5">
        <f t="shared" si="219"/>
        <v>145625</v>
      </c>
      <c r="F4098" s="5">
        <v>229950</v>
      </c>
      <c r="G4098" s="5">
        <v>275</v>
      </c>
      <c r="H4098" s="5">
        <v>500</v>
      </c>
      <c r="I4098" s="5">
        <v>47500</v>
      </c>
      <c r="J4098" s="263">
        <f t="shared" si="221"/>
        <v>0.20656664492280929</v>
      </c>
      <c r="K4098" s="24">
        <v>2035.5</v>
      </c>
      <c r="L4098" s="6">
        <v>2062</v>
      </c>
      <c r="M4098" s="270">
        <f t="shared" si="211"/>
        <v>26.5</v>
      </c>
      <c r="P4098" s="448">
        <v>13840</v>
      </c>
      <c r="Q4098" s="28">
        <f>174.2/1061.3</f>
        <v>0.16413832092716479</v>
      </c>
      <c r="R4098" s="312">
        <f t="shared" si="218"/>
        <v>2271.6743616319609</v>
      </c>
      <c r="S4098" s="313" t="e">
        <f>R4098*#REF!</f>
        <v>#REF!</v>
      </c>
      <c r="T4098" s="313" t="e">
        <f t="shared" si="223"/>
        <v>#REF!</v>
      </c>
      <c r="U4098" s="358">
        <v>0.1</v>
      </c>
      <c r="W4098" s="741">
        <f t="shared" si="222"/>
        <v>2498.8417977951572</v>
      </c>
    </row>
    <row r="4099" spans="1:23" ht="15" customHeight="1">
      <c r="A4099" s="3">
        <v>41612</v>
      </c>
      <c r="B4099" s="4">
        <v>400</v>
      </c>
      <c r="C4099" s="4">
        <v>76825</v>
      </c>
      <c r="D4099" s="5">
        <v>7100</v>
      </c>
      <c r="E4099" s="5">
        <f t="shared" si="219"/>
        <v>145125</v>
      </c>
      <c r="F4099" s="5">
        <v>229450</v>
      </c>
      <c r="G4099" s="5">
        <v>0</v>
      </c>
      <c r="H4099" s="5">
        <v>500</v>
      </c>
      <c r="I4099" s="5">
        <v>47050</v>
      </c>
      <c r="J4099" s="263">
        <f t="shared" si="221"/>
        <v>0.20505556766179997</v>
      </c>
      <c r="K4099" s="24">
        <v>2047</v>
      </c>
      <c r="L4099" s="6">
        <v>2072.5</v>
      </c>
      <c r="M4099" s="270">
        <f t="shared" si="211"/>
        <v>25.5</v>
      </c>
      <c r="P4099" s="448">
        <v>13840</v>
      </c>
      <c r="Q4099" s="28">
        <f>174.21/1061.2</f>
        <v>0.16416321145872598</v>
      </c>
      <c r="R4099" s="312">
        <f t="shared" si="218"/>
        <v>2272.0188465887677</v>
      </c>
      <c r="S4099" s="313" t="e">
        <f>R4099*#REF!</f>
        <v>#REF!</v>
      </c>
      <c r="T4099" s="313" t="e">
        <f t="shared" si="223"/>
        <v>#REF!</v>
      </c>
      <c r="U4099" s="358">
        <v>0.1</v>
      </c>
      <c r="W4099" s="741">
        <f t="shared" si="222"/>
        <v>2499.2207312476448</v>
      </c>
    </row>
    <row r="4100" spans="1:23" ht="15" customHeight="1">
      <c r="A4100" s="3">
        <v>41613</v>
      </c>
      <c r="B4100" s="4">
        <v>400</v>
      </c>
      <c r="C4100" s="4">
        <v>76825</v>
      </c>
      <c r="D4100" s="5">
        <v>7075</v>
      </c>
      <c r="E4100" s="5">
        <f t="shared" si="219"/>
        <v>144625</v>
      </c>
      <c r="F4100" s="5">
        <v>228925</v>
      </c>
      <c r="G4100" s="5">
        <v>0</v>
      </c>
      <c r="H4100" s="5">
        <v>525</v>
      </c>
      <c r="I4100" s="5">
        <v>46525</v>
      </c>
      <c r="J4100" s="263">
        <f t="shared" si="221"/>
        <v>0.20323249972698482</v>
      </c>
      <c r="K4100" s="24">
        <v>2074</v>
      </c>
      <c r="L4100" s="6">
        <v>2100</v>
      </c>
      <c r="M4100" s="270">
        <f t="shared" si="211"/>
        <v>26</v>
      </c>
      <c r="P4100" s="448">
        <v>13840</v>
      </c>
      <c r="Q4100" s="28">
        <f>174.13/1060.7</f>
        <v>0.16416517394173658</v>
      </c>
      <c r="R4100" s="312">
        <f t="shared" si="218"/>
        <v>2272.0460073536342</v>
      </c>
      <c r="S4100" s="313" t="e">
        <f>R4100*#REF!</f>
        <v>#REF!</v>
      </c>
      <c r="T4100" s="313" t="e">
        <f t="shared" si="223"/>
        <v>#REF!</v>
      </c>
      <c r="U4100" s="358">
        <v>0.1</v>
      </c>
      <c r="W4100" s="741">
        <f t="shared" si="222"/>
        <v>2499.250608088998</v>
      </c>
    </row>
    <row r="4101" spans="1:23" ht="15" customHeight="1">
      <c r="A4101" s="3">
        <v>41614</v>
      </c>
      <c r="B4101" s="4">
        <v>400</v>
      </c>
      <c r="C4101" s="4">
        <v>76825</v>
      </c>
      <c r="D4101" s="5">
        <v>6575</v>
      </c>
      <c r="E4101" s="5">
        <f t="shared" si="219"/>
        <v>144125</v>
      </c>
      <c r="F4101" s="5">
        <v>227925</v>
      </c>
      <c r="G4101" s="5">
        <v>0</v>
      </c>
      <c r="H4101" s="5">
        <v>1000</v>
      </c>
      <c r="I4101" s="5">
        <v>45525</v>
      </c>
      <c r="J4101" s="263">
        <f t="shared" si="221"/>
        <v>0.19973675551168146</v>
      </c>
      <c r="K4101" s="24">
        <v>2067</v>
      </c>
      <c r="L4101" s="6">
        <v>2091.5</v>
      </c>
      <c r="M4101" s="270">
        <f t="shared" si="211"/>
        <v>24.5</v>
      </c>
      <c r="P4101" s="448">
        <v>13820</v>
      </c>
      <c r="Q4101" s="28">
        <f>174/1058.2</f>
        <v>0.16443016443016442</v>
      </c>
      <c r="R4101" s="312">
        <f t="shared" si="218"/>
        <v>2272.4248724248723</v>
      </c>
      <c r="S4101" s="313" t="e">
        <f>R4101*#REF!</f>
        <v>#REF!</v>
      </c>
      <c r="T4101" s="313" t="e">
        <f t="shared" si="223"/>
        <v>#REF!</v>
      </c>
      <c r="U4101" s="358">
        <v>0.1</v>
      </c>
      <c r="W4101" s="741">
        <f t="shared" si="222"/>
        <v>2499.66735966736</v>
      </c>
    </row>
    <row r="4102" spans="1:23" ht="15" customHeight="1">
      <c r="A4102" s="3">
        <v>41617</v>
      </c>
      <c r="B4102" s="4">
        <v>400</v>
      </c>
      <c r="C4102" s="4">
        <v>76825</v>
      </c>
      <c r="D4102" s="5">
        <v>6100</v>
      </c>
      <c r="E4102" s="5">
        <f t="shared" si="219"/>
        <v>143625</v>
      </c>
      <c r="F4102" s="5">
        <v>226950</v>
      </c>
      <c r="G4102" s="5">
        <v>0</v>
      </c>
      <c r="H4102" s="5">
        <v>975</v>
      </c>
      <c r="I4102" s="5">
        <v>44550</v>
      </c>
      <c r="J4102" s="263">
        <f t="shared" si="221"/>
        <v>0.19629874421678783</v>
      </c>
      <c r="K4102" s="24">
        <v>2085.5</v>
      </c>
      <c r="L4102" s="6">
        <v>2113</v>
      </c>
      <c r="M4102" s="270">
        <f t="shared" si="211"/>
        <v>27.5</v>
      </c>
      <c r="P4102" s="448">
        <v>13840</v>
      </c>
      <c r="Q4102" s="28">
        <f>173.43/1053.1</f>
        <v>0.16468521507928974</v>
      </c>
      <c r="R4102" s="312">
        <f t="shared" si="218"/>
        <v>2279.24337669737</v>
      </c>
      <c r="S4102" s="313" t="e">
        <f>R4102*#REF!</f>
        <v>#REF!</v>
      </c>
      <c r="T4102" s="313" t="e">
        <f t="shared" si="223"/>
        <v>#REF!</v>
      </c>
      <c r="U4102" s="358">
        <v>0.1</v>
      </c>
      <c r="W4102" s="741">
        <f t="shared" si="222"/>
        <v>2507.1677143671072</v>
      </c>
    </row>
    <row r="4103" spans="1:23" ht="15" customHeight="1">
      <c r="A4103" s="3">
        <v>41618</v>
      </c>
      <c r="B4103" s="4">
        <v>400</v>
      </c>
      <c r="C4103" s="4">
        <v>76825</v>
      </c>
      <c r="D4103" s="5">
        <v>5600</v>
      </c>
      <c r="E4103" s="5">
        <f t="shared" si="219"/>
        <v>143125</v>
      </c>
      <c r="F4103" s="5">
        <v>225950</v>
      </c>
      <c r="G4103" s="5">
        <v>0</v>
      </c>
      <c r="H4103" s="5">
        <v>1000</v>
      </c>
      <c r="I4103" s="5">
        <v>43600</v>
      </c>
      <c r="J4103" s="263">
        <f t="shared" si="221"/>
        <v>0.19296304492144278</v>
      </c>
      <c r="K4103" s="24">
        <v>2103.5</v>
      </c>
      <c r="L4103" s="6">
        <v>2130</v>
      </c>
      <c r="M4103" s="270">
        <f t="shared" si="211"/>
        <v>26.5</v>
      </c>
      <c r="P4103" s="448">
        <v>13890</v>
      </c>
      <c r="Q4103" s="28">
        <f>173.37/1052.5</f>
        <v>0.16472209026128268</v>
      </c>
      <c r="R4103" s="312">
        <f t="shared" si="218"/>
        <v>2287.9898337292166</v>
      </c>
      <c r="S4103" s="313" t="e">
        <f>R4103*#REF!</f>
        <v>#REF!</v>
      </c>
      <c r="T4103" s="313" t="e">
        <f t="shared" si="223"/>
        <v>#REF!</v>
      </c>
      <c r="U4103" s="358">
        <v>0.1</v>
      </c>
      <c r="W4103" s="741">
        <f t="shared" si="222"/>
        <v>2516.7888171021386</v>
      </c>
    </row>
    <row r="4104" spans="1:23" ht="15" customHeight="1">
      <c r="A4104" s="3">
        <v>41619</v>
      </c>
      <c r="B4104" s="4">
        <v>1550</v>
      </c>
      <c r="C4104" s="4">
        <v>76825</v>
      </c>
      <c r="D4104" s="5">
        <v>5000</v>
      </c>
      <c r="E4104" s="5">
        <f t="shared" si="219"/>
        <v>142575</v>
      </c>
      <c r="F4104" s="5">
        <v>225950</v>
      </c>
      <c r="G4104" s="5">
        <v>0</v>
      </c>
      <c r="H4104" s="5">
        <v>1575</v>
      </c>
      <c r="I4104" s="5">
        <v>42025</v>
      </c>
      <c r="J4104" s="263">
        <f t="shared" si="221"/>
        <v>0.18599247621155124</v>
      </c>
      <c r="K4104" s="24">
        <v>2114</v>
      </c>
      <c r="L4104" s="6">
        <v>2133</v>
      </c>
      <c r="M4104" s="270">
        <f t="shared" si="211"/>
        <v>19</v>
      </c>
      <c r="P4104" s="448">
        <v>13910</v>
      </c>
      <c r="Q4104" s="28">
        <f>173.25/1051.9</f>
        <v>0.16470196786766803</v>
      </c>
      <c r="R4104" s="312">
        <f t="shared" si="218"/>
        <v>2291.0043730392622</v>
      </c>
      <c r="S4104" s="313" t="e">
        <f>R4104*#REF!</f>
        <v>#REF!</v>
      </c>
      <c r="T4104" s="313" t="e">
        <f t="shared" si="223"/>
        <v>#REF!</v>
      </c>
      <c r="U4104" s="358">
        <v>0.1</v>
      </c>
      <c r="W4104" s="741">
        <f t="shared" si="222"/>
        <v>2520.1048103431885</v>
      </c>
    </row>
    <row r="4105" spans="1:23" ht="15" customHeight="1">
      <c r="A4105" s="3">
        <v>41620</v>
      </c>
      <c r="B4105" s="4">
        <v>400</v>
      </c>
      <c r="C4105" s="4">
        <v>76400</v>
      </c>
      <c r="D4105" s="5">
        <v>4375</v>
      </c>
      <c r="E4105" s="5">
        <f t="shared" si="219"/>
        <v>142075</v>
      </c>
      <c r="F4105" s="5">
        <v>223250</v>
      </c>
      <c r="G4105" s="5">
        <v>0</v>
      </c>
      <c r="H4105" s="5">
        <v>1125</v>
      </c>
      <c r="I4105" s="5">
        <v>40900</v>
      </c>
      <c r="J4105" s="263">
        <f t="shared" si="221"/>
        <v>0.18320268756998881</v>
      </c>
      <c r="K4105" s="24">
        <v>2114</v>
      </c>
      <c r="L4105" s="6">
        <v>2135</v>
      </c>
      <c r="M4105" s="270">
        <f t="shared" si="211"/>
        <v>21</v>
      </c>
      <c r="P4105" s="448">
        <v>13940</v>
      </c>
      <c r="Q4105" s="28">
        <f>173.52/1053.5</f>
        <v>0.16470811580446132</v>
      </c>
      <c r="R4105" s="312">
        <f t="shared" si="218"/>
        <v>2296.0311343141907</v>
      </c>
      <c r="S4105" s="313" t="e">
        <f>R4105*#REF!</f>
        <v>#REF!</v>
      </c>
      <c r="T4105" s="313" t="e">
        <f t="shared" si="223"/>
        <v>#REF!</v>
      </c>
      <c r="U4105" s="358">
        <v>0.1</v>
      </c>
      <c r="W4105" s="741">
        <f t="shared" si="222"/>
        <v>2525.6342477456101</v>
      </c>
    </row>
    <row r="4106" spans="1:23" ht="15" customHeight="1">
      <c r="A4106" s="3">
        <v>41621</v>
      </c>
      <c r="B4106" s="4">
        <v>400</v>
      </c>
      <c r="C4106" s="4">
        <v>76400</v>
      </c>
      <c r="D4106" s="5">
        <v>3775</v>
      </c>
      <c r="E4106" s="5">
        <f t="shared" ref="E4106:E4112" si="224">F4106-D4106-C4106-B4106</f>
        <v>141575</v>
      </c>
      <c r="F4106" s="5">
        <v>222150</v>
      </c>
      <c r="G4106" s="5">
        <v>0</v>
      </c>
      <c r="H4106" s="5">
        <v>1100</v>
      </c>
      <c r="I4106" s="5">
        <v>39850</v>
      </c>
      <c r="J4106" s="263">
        <f t="shared" ref="J4106:J4113" si="225">I4106/F4106</f>
        <v>0.17938329957236102</v>
      </c>
      <c r="K4106" s="24">
        <v>2115.5</v>
      </c>
      <c r="L4106" s="6">
        <v>2137</v>
      </c>
      <c r="M4106" s="270">
        <f t="shared" si="211"/>
        <v>21.5</v>
      </c>
      <c r="P4106" s="448">
        <v>13920</v>
      </c>
      <c r="Q4106" s="28">
        <f>173.46/1053.1</f>
        <v>0.16471370240243094</v>
      </c>
      <c r="R4106" s="312">
        <f t="shared" si="218"/>
        <v>2292.8147374418386</v>
      </c>
      <c r="S4106" s="313" t="e">
        <f>R4106*#REF!</f>
        <v>#REF!</v>
      </c>
      <c r="T4106" s="313" t="e">
        <f t="shared" si="223"/>
        <v>#REF!</v>
      </c>
      <c r="U4106" s="358">
        <v>0.1</v>
      </c>
      <c r="W4106" s="741">
        <f t="shared" si="222"/>
        <v>2522.0962111860226</v>
      </c>
    </row>
    <row r="4107" spans="1:23" ht="15" customHeight="1">
      <c r="A4107" s="3">
        <v>41624</v>
      </c>
      <c r="B4107" s="4">
        <v>400</v>
      </c>
      <c r="C4107" s="4">
        <v>76400</v>
      </c>
      <c r="D4107" s="5">
        <v>3300</v>
      </c>
      <c r="E4107" s="5">
        <f t="shared" si="224"/>
        <v>141075</v>
      </c>
      <c r="F4107" s="5">
        <v>221175</v>
      </c>
      <c r="G4107" s="5">
        <v>0</v>
      </c>
      <c r="H4107" s="5">
        <v>975</v>
      </c>
      <c r="I4107" s="5">
        <v>38875</v>
      </c>
      <c r="J4107" s="263">
        <f t="shared" si="225"/>
        <v>0.17576579631513509</v>
      </c>
      <c r="K4107" s="24">
        <v>2151.5</v>
      </c>
      <c r="L4107" s="6">
        <v>2172</v>
      </c>
      <c r="M4107" s="270">
        <f t="shared" si="211"/>
        <v>20.5</v>
      </c>
      <c r="P4107" s="448">
        <v>13940</v>
      </c>
      <c r="Q4107" s="28">
        <f>173.37/1052.6</f>
        <v>0.16470644119323583</v>
      </c>
      <c r="R4107" s="312">
        <f t="shared" si="218"/>
        <v>2296.0077902337075</v>
      </c>
      <c r="S4107" s="313" t="e">
        <f>R4107*#REF!</f>
        <v>#REF!</v>
      </c>
      <c r="T4107" s="313" t="e">
        <f t="shared" si="223"/>
        <v>#REF!</v>
      </c>
      <c r="U4107" s="358">
        <v>0.1</v>
      </c>
      <c r="W4107" s="741">
        <f t="shared" si="222"/>
        <v>2525.6085692570787</v>
      </c>
    </row>
    <row r="4108" spans="1:23" ht="15" customHeight="1">
      <c r="A4108" s="3">
        <v>41625</v>
      </c>
      <c r="B4108" s="4">
        <v>400</v>
      </c>
      <c r="C4108" s="4">
        <v>76400</v>
      </c>
      <c r="D4108" s="5">
        <v>2775</v>
      </c>
      <c r="E4108" s="5">
        <f t="shared" si="224"/>
        <v>140575</v>
      </c>
      <c r="F4108" s="5">
        <v>220150</v>
      </c>
      <c r="G4108" s="5">
        <v>0</v>
      </c>
      <c r="H4108" s="5">
        <v>1025</v>
      </c>
      <c r="I4108" s="5">
        <v>37850</v>
      </c>
      <c r="J4108" s="263">
        <f t="shared" si="225"/>
        <v>0.17192823075176017</v>
      </c>
      <c r="K4108" s="24">
        <v>2150</v>
      </c>
      <c r="L4108" s="6">
        <v>2175.5</v>
      </c>
      <c r="M4108" s="270">
        <f t="shared" si="211"/>
        <v>25.5</v>
      </c>
      <c r="P4108" s="448">
        <v>14025</v>
      </c>
      <c r="Q4108" s="28">
        <f>173.2/1051.5</f>
        <v>0.16471707085116499</v>
      </c>
      <c r="R4108" s="312">
        <f t="shared" si="218"/>
        <v>2310.156918687589</v>
      </c>
      <c r="S4108" s="313" t="e">
        <f>R4108*#REF!</f>
        <v>#REF!</v>
      </c>
      <c r="T4108" s="313" t="e">
        <f t="shared" si="223"/>
        <v>#REF!</v>
      </c>
      <c r="U4108" s="358">
        <v>0.1</v>
      </c>
      <c r="W4108" s="741">
        <f t="shared" si="222"/>
        <v>2541.172610556348</v>
      </c>
    </row>
    <row r="4109" spans="1:23" ht="15" customHeight="1">
      <c r="A4109" s="3">
        <v>41626</v>
      </c>
      <c r="B4109" s="4">
        <v>400</v>
      </c>
      <c r="C4109" s="4">
        <v>76400</v>
      </c>
      <c r="D4109" s="5">
        <v>2250</v>
      </c>
      <c r="E4109" s="5">
        <f t="shared" si="224"/>
        <v>140050</v>
      </c>
      <c r="F4109" s="5">
        <v>219100</v>
      </c>
      <c r="G4109" s="5">
        <v>0</v>
      </c>
      <c r="H4109" s="5">
        <v>1050</v>
      </c>
      <c r="I4109" s="5">
        <v>36800</v>
      </c>
      <c r="J4109" s="263">
        <f t="shared" si="225"/>
        <v>0.16795983569146508</v>
      </c>
      <c r="K4109" s="24">
        <v>2131.5</v>
      </c>
      <c r="L4109" s="6">
        <v>2161</v>
      </c>
      <c r="M4109" s="270">
        <f t="shared" si="211"/>
        <v>29.5</v>
      </c>
      <c r="P4109" s="448">
        <v>14120</v>
      </c>
      <c r="Q4109" s="28">
        <f>173.28/1052.1</f>
        <v>0.16469917308240664</v>
      </c>
      <c r="R4109" s="312">
        <f t="shared" si="218"/>
        <v>2325.5523239235818</v>
      </c>
      <c r="S4109" s="313" t="e">
        <f>R4109*#REF!</f>
        <v>#REF!</v>
      </c>
      <c r="T4109" s="313" t="e">
        <f t="shared" si="223"/>
        <v>#REF!</v>
      </c>
      <c r="U4109" s="358">
        <v>0.1</v>
      </c>
      <c r="W4109" s="741">
        <f t="shared" si="222"/>
        <v>2558.1075563159402</v>
      </c>
    </row>
    <row r="4110" spans="1:23" ht="15" customHeight="1">
      <c r="A4110" s="3">
        <v>41627</v>
      </c>
      <c r="B4110" s="4">
        <v>600</v>
      </c>
      <c r="C4110" s="4">
        <v>76400</v>
      </c>
      <c r="D4110" s="5">
        <v>2175</v>
      </c>
      <c r="E4110" s="5">
        <f t="shared" si="224"/>
        <v>138300</v>
      </c>
      <c r="F4110" s="5">
        <v>217475</v>
      </c>
      <c r="G4110" s="5">
        <v>0</v>
      </c>
      <c r="H4110" s="5">
        <v>1625</v>
      </c>
      <c r="I4110" s="5">
        <v>35175</v>
      </c>
      <c r="J4110" s="263">
        <f t="shared" si="225"/>
        <v>0.16174272904931603</v>
      </c>
      <c r="K4110" s="24">
        <v>2137.5</v>
      </c>
      <c r="L4110" s="6">
        <v>2163</v>
      </c>
      <c r="M4110" s="270">
        <f t="shared" si="211"/>
        <v>25.5</v>
      </c>
      <c r="P4110" s="448">
        <v>14090</v>
      </c>
      <c r="Q4110" s="28">
        <f>174.28/1058.1</f>
        <v>0.16471032983649941</v>
      </c>
      <c r="R4110" s="312">
        <f t="shared" si="218"/>
        <v>2320.7685473962765</v>
      </c>
      <c r="S4110" s="313" t="e">
        <f>R4110*#REF!</f>
        <v>#REF!</v>
      </c>
      <c r="T4110" s="313" t="e">
        <f t="shared" si="223"/>
        <v>#REF!</v>
      </c>
      <c r="U4110" s="358">
        <v>0.1</v>
      </c>
      <c r="W4110" s="741">
        <f t="shared" si="222"/>
        <v>2552.8454021359044</v>
      </c>
    </row>
    <row r="4111" spans="1:23" ht="15" customHeight="1">
      <c r="A4111" s="3">
        <v>41628</v>
      </c>
      <c r="B4111" s="5">
        <v>400</v>
      </c>
      <c r="C4111" s="4">
        <v>75400</v>
      </c>
      <c r="D4111" s="5">
        <v>2175</v>
      </c>
      <c r="E4111" s="5">
        <f>F4111-D4111-C4111-B4111</f>
        <v>138975</v>
      </c>
      <c r="F4111" s="5">
        <v>216950</v>
      </c>
      <c r="G4111" s="5">
        <v>0</v>
      </c>
      <c r="H4111" s="5">
        <v>525</v>
      </c>
      <c r="I4111" s="5">
        <v>34650</v>
      </c>
      <c r="J4111" s="263">
        <f t="shared" si="225"/>
        <v>0.15971421986632864</v>
      </c>
      <c r="K4111" s="24">
        <v>2169</v>
      </c>
      <c r="L4111" s="6">
        <v>2193.5</v>
      </c>
      <c r="M4111" s="270">
        <f t="shared" si="211"/>
        <v>24.5</v>
      </c>
      <c r="P4111" s="448">
        <v>14090</v>
      </c>
      <c r="Q4111" s="28">
        <f>174.9/1061.9</f>
        <v>0.16470477446087201</v>
      </c>
      <c r="R4111" s="312">
        <f t="shared" si="218"/>
        <v>2320.6902721536867</v>
      </c>
      <c r="S4111" s="313" t="e">
        <f>R4111*#REF!</f>
        <v>#REF!</v>
      </c>
      <c r="T4111" s="313" t="e">
        <f t="shared" si="223"/>
        <v>#REF!</v>
      </c>
      <c r="U4111" s="358">
        <v>0.1</v>
      </c>
      <c r="W4111" s="741">
        <f t="shared" si="222"/>
        <v>2552.7592993690555</v>
      </c>
    </row>
    <row r="4112" spans="1:23" ht="15" customHeight="1">
      <c r="A4112" s="3">
        <v>41631</v>
      </c>
      <c r="B4112" s="5">
        <v>400</v>
      </c>
      <c r="C4112" s="4">
        <v>75400</v>
      </c>
      <c r="D4112" s="5">
        <v>2175</v>
      </c>
      <c r="E4112" s="5">
        <f t="shared" si="224"/>
        <v>138475</v>
      </c>
      <c r="F4112" s="5">
        <v>216450</v>
      </c>
      <c r="G4112" s="5">
        <v>0</v>
      </c>
      <c r="H4112" s="5">
        <v>500</v>
      </c>
      <c r="I4112" s="5">
        <v>34150</v>
      </c>
      <c r="J4112" s="263">
        <f t="shared" si="225"/>
        <v>0.15777315777315778</v>
      </c>
      <c r="K4112" s="24">
        <v>2195.5</v>
      </c>
      <c r="L4112" s="6">
        <v>2219</v>
      </c>
      <c r="M4112" s="270">
        <f t="shared" si="211"/>
        <v>23.5</v>
      </c>
      <c r="P4112" s="448">
        <v>14190</v>
      </c>
      <c r="Q4112" s="28">
        <f>174.79/1061</f>
        <v>0.16474081055607917</v>
      </c>
      <c r="R4112" s="312">
        <f t="shared" si="218"/>
        <v>2337.6721017907635</v>
      </c>
      <c r="S4112" s="313" t="e">
        <f>R4112*#REF!</f>
        <v>#REF!</v>
      </c>
      <c r="T4112" s="313" t="e">
        <f t="shared" si="223"/>
        <v>#REF!</v>
      </c>
      <c r="U4112" s="358">
        <v>0.1</v>
      </c>
      <c r="W4112" s="741">
        <f t="shared" si="222"/>
        <v>2571.4393119698402</v>
      </c>
    </row>
    <row r="4113" spans="1:23" ht="15" customHeight="1">
      <c r="A4113" s="3">
        <v>41632</v>
      </c>
      <c r="B4113" s="5">
        <v>400</v>
      </c>
      <c r="C4113" s="4">
        <v>74900</v>
      </c>
      <c r="D4113" s="5">
        <v>2175</v>
      </c>
      <c r="E4113" s="5">
        <f>F4113-D4113-C4113-B4113</f>
        <v>137975</v>
      </c>
      <c r="F4113" s="5">
        <v>215450</v>
      </c>
      <c r="G4113" s="5">
        <v>0</v>
      </c>
      <c r="H4113" s="5">
        <v>1000</v>
      </c>
      <c r="I4113" s="5">
        <v>33150</v>
      </c>
      <c r="J4113" s="263">
        <f t="shared" si="225"/>
        <v>0.15386400556973776</v>
      </c>
      <c r="K4113" s="24">
        <v>2223.5</v>
      </c>
      <c r="L4113" s="6">
        <v>2247</v>
      </c>
      <c r="M4113" s="270">
        <f t="shared" si="211"/>
        <v>23.5</v>
      </c>
      <c r="P4113" s="448">
        <v>14140</v>
      </c>
      <c r="Q4113" s="28">
        <f>174.79/1061</f>
        <v>0.16474081055607917</v>
      </c>
      <c r="R4113" s="312">
        <f t="shared" si="218"/>
        <v>2329.4350612629596</v>
      </c>
      <c r="S4113" s="313" t="e">
        <f>R4113*#REF!</f>
        <v>#REF!</v>
      </c>
      <c r="T4113" s="313" t="e">
        <f t="shared" si="223"/>
        <v>#REF!</v>
      </c>
      <c r="U4113" s="358">
        <v>0.1</v>
      </c>
      <c r="W4113" s="741">
        <f t="shared" si="222"/>
        <v>2562.3785673892557</v>
      </c>
    </row>
    <row r="4114" spans="1:23" ht="15" customHeight="1">
      <c r="A4114" s="3">
        <v>41633</v>
      </c>
      <c r="G4114" s="1003" t="s">
        <v>70</v>
      </c>
      <c r="H4114" s="1003"/>
      <c r="I4114" s="1003"/>
      <c r="J4114" s="1003"/>
      <c r="P4114" s="448">
        <v>14220</v>
      </c>
      <c r="Q4114" s="28">
        <f>174.65/1060.4</f>
        <v>0.16470199924556769</v>
      </c>
      <c r="R4114" s="312">
        <f t="shared" si="218"/>
        <v>2342.0624292719726</v>
      </c>
      <c r="S4114" s="313" t="e">
        <f>R4114*#REF!</f>
        <v>#REF!</v>
      </c>
      <c r="T4114" s="313" t="e">
        <f t="shared" si="223"/>
        <v>#REF!</v>
      </c>
      <c r="U4114" s="358">
        <v>0.1</v>
      </c>
      <c r="W4114" s="741">
        <f t="shared" si="222"/>
        <v>2576.2686721991699</v>
      </c>
    </row>
    <row r="4115" spans="1:23" ht="15" customHeight="1">
      <c r="A4115" s="3">
        <v>41634</v>
      </c>
      <c r="G4115" s="1003"/>
      <c r="H4115" s="1003"/>
      <c r="I4115" s="1003"/>
      <c r="J4115" s="1003"/>
      <c r="P4115" s="448">
        <v>14220</v>
      </c>
      <c r="Q4115" s="28">
        <f>174.4/1059.404</f>
        <v>0.16462086229615897</v>
      </c>
      <c r="R4115" s="312">
        <f t="shared" si="218"/>
        <v>2340.9086618513807</v>
      </c>
      <c r="S4115" s="313" t="e">
        <f>R4115*#REF!</f>
        <v>#REF!</v>
      </c>
      <c r="T4115" s="313" t="e">
        <f t="shared" si="223"/>
        <v>#REF!</v>
      </c>
      <c r="U4115" s="358">
        <v>0.1</v>
      </c>
      <c r="W4115" s="741">
        <f t="shared" si="222"/>
        <v>2574.9995280365188</v>
      </c>
    </row>
    <row r="4116" spans="1:23" ht="15" customHeight="1">
      <c r="A4116" s="3">
        <v>41635</v>
      </c>
      <c r="B4116" s="4">
        <v>400</v>
      </c>
      <c r="C4116" s="4">
        <v>74900</v>
      </c>
      <c r="D4116" s="5">
        <v>2175</v>
      </c>
      <c r="E4116" s="5">
        <f>F4116-D4116-C4116-B4116</f>
        <v>137475</v>
      </c>
      <c r="F4116" s="5">
        <v>214950</v>
      </c>
      <c r="G4116" s="5">
        <v>0</v>
      </c>
      <c r="H4116" s="5">
        <v>500</v>
      </c>
      <c r="I4116" s="5">
        <v>32650</v>
      </c>
      <c r="J4116" s="263">
        <f>I4116/F4116</f>
        <v>0.1518957897185392</v>
      </c>
      <c r="K4116" s="24">
        <v>2259</v>
      </c>
      <c r="L4116" s="6">
        <v>2279</v>
      </c>
      <c r="M4116" s="270">
        <f>L4116-K4116</f>
        <v>20</v>
      </c>
      <c r="P4116" s="448">
        <v>14190</v>
      </c>
      <c r="Q4116" s="28">
        <f>173.94/1055.6</f>
        <v>0.16477832512315271</v>
      </c>
      <c r="R4116" s="312">
        <f t="shared" si="218"/>
        <v>2338.2044334975371</v>
      </c>
      <c r="S4116" s="313" t="e">
        <f>R4116*#REF!</f>
        <v>#REF!</v>
      </c>
      <c r="T4116" s="313" t="e">
        <f t="shared" si="223"/>
        <v>#REF!</v>
      </c>
      <c r="U4116" s="358">
        <v>0.1</v>
      </c>
      <c r="W4116" s="741">
        <f t="shared" si="222"/>
        <v>2572.0248768472911</v>
      </c>
    </row>
    <row r="4117" spans="1:23" ht="15" customHeight="1">
      <c r="A4117" s="3">
        <v>41638</v>
      </c>
      <c r="B4117" s="4">
        <v>400</v>
      </c>
      <c r="C4117" s="4">
        <v>74900</v>
      </c>
      <c r="D4117" s="5">
        <v>2175</v>
      </c>
      <c r="E4117" s="5">
        <v>137475</v>
      </c>
      <c r="F4117" s="5">
        <v>214950</v>
      </c>
      <c r="G4117" s="5">
        <v>0</v>
      </c>
      <c r="H4117" s="5">
        <v>0</v>
      </c>
      <c r="I4117" s="5">
        <v>32650</v>
      </c>
      <c r="J4117" s="263">
        <f>I4117/F4117</f>
        <v>0.1518957897185392</v>
      </c>
      <c r="K4117" s="24">
        <v>2240</v>
      </c>
      <c r="L4117" s="6">
        <v>2264</v>
      </c>
      <c r="M4117" s="270">
        <f>L4117-K4117</f>
        <v>24</v>
      </c>
      <c r="P4117" s="448">
        <v>14210</v>
      </c>
      <c r="Q4117" s="28">
        <f>174.09/1055.3</f>
        <v>0.16496730787453806</v>
      </c>
      <c r="R4117" s="312">
        <f t="shared" si="218"/>
        <v>2344.1854448971858</v>
      </c>
      <c r="S4117" s="313" t="e">
        <f>R4117*#REF!</f>
        <v>#REF!</v>
      </c>
      <c r="T4117" s="313" t="e">
        <f t="shared" si="223"/>
        <v>#REF!</v>
      </c>
      <c r="U4117" s="358">
        <v>0.1</v>
      </c>
      <c r="W4117" s="741">
        <f t="shared" si="222"/>
        <v>2578.6039893869047</v>
      </c>
    </row>
    <row r="4118" spans="1:23" ht="15" customHeight="1">
      <c r="A4118" s="3">
        <v>41639</v>
      </c>
      <c r="B4118" s="4">
        <v>400</v>
      </c>
      <c r="C4118" s="4">
        <v>74900</v>
      </c>
      <c r="D4118" s="5">
        <v>2175</v>
      </c>
      <c r="E4118" s="5">
        <v>136975</v>
      </c>
      <c r="F4118" s="5">
        <v>214450</v>
      </c>
      <c r="G4118" s="5">
        <v>0</v>
      </c>
      <c r="H4118" s="5">
        <v>500</v>
      </c>
      <c r="I4118" s="5">
        <v>32150</v>
      </c>
      <c r="J4118" s="263">
        <f>I4118/F4118</f>
        <v>0.14991839589647937</v>
      </c>
      <c r="K4118" s="24">
        <v>2206</v>
      </c>
      <c r="L4118" s="6">
        <v>2232.5</v>
      </c>
      <c r="M4118" s="270">
        <f>L4118-K4118</f>
        <v>26.5</v>
      </c>
      <c r="N4118" s="420">
        <f>AVERAGE(K4097:K4118)</f>
        <v>2133</v>
      </c>
      <c r="O4118" s="410">
        <f>AVERAGE(K3848:K4118)</f>
        <v>2141.1521739130435</v>
      </c>
      <c r="P4118" s="448">
        <v>14210</v>
      </c>
      <c r="Q4118" s="28">
        <f>174.32/1055.3</f>
        <v>0.16518525537761775</v>
      </c>
      <c r="R4118" s="312">
        <f t="shared" si="218"/>
        <v>2347.2824789159481</v>
      </c>
      <c r="S4118" s="313" t="e">
        <f>R4118*#REF!</f>
        <v>#REF!</v>
      </c>
      <c r="T4118" s="313" t="e">
        <f t="shared" si="223"/>
        <v>#REF!</v>
      </c>
      <c r="U4118" s="358">
        <v>0.1</v>
      </c>
      <c r="W4118" s="741">
        <f t="shared" ref="W4118:W4139" si="226">(P4118*Q4118)*(1+U4118)</f>
        <v>2582.0107268075431</v>
      </c>
    </row>
    <row r="4119" spans="1:23" ht="15" customHeight="1" thickBot="1">
      <c r="A4119" s="392"/>
      <c r="B4119" s="995"/>
      <c r="C4119" s="995"/>
      <c r="D4119" s="995"/>
      <c r="E4119" s="995"/>
      <c r="F4119" s="392"/>
      <c r="G4119" s="332"/>
      <c r="H4119" s="332"/>
      <c r="I4119" s="332"/>
      <c r="J4119" s="334"/>
      <c r="K4119" s="334"/>
      <c r="L4119" s="335"/>
      <c r="M4119" s="336"/>
      <c r="N4119" s="337"/>
      <c r="O4119" s="353"/>
      <c r="P4119" s="350"/>
      <c r="Q4119" s="299"/>
      <c r="R4119" s="453"/>
      <c r="S4119" s="454"/>
      <c r="T4119" s="454"/>
      <c r="U4119" s="302"/>
      <c r="V4119" s="298">
        <f>AVERAGE(P4097:P4118)</f>
        <v>14017.045454545454</v>
      </c>
      <c r="W4119" s="751"/>
    </row>
    <row r="4120" spans="1:23" ht="15" customHeight="1">
      <c r="A4120" s="469">
        <v>41641</v>
      </c>
      <c r="B4120" s="4">
        <v>400</v>
      </c>
      <c r="C4120" s="4">
        <v>74900</v>
      </c>
      <c r="D4120" s="5">
        <v>2175</v>
      </c>
      <c r="E4120" s="471">
        <f>F4120-D4120-C4120-B4120</f>
        <v>136475</v>
      </c>
      <c r="F4120" s="468">
        <v>213950</v>
      </c>
      <c r="G4120" s="5">
        <v>0</v>
      </c>
      <c r="H4120" s="5">
        <v>500</v>
      </c>
      <c r="I4120" s="468">
        <v>31650</v>
      </c>
      <c r="J4120" s="263">
        <f t="shared" ref="J4120:J4198" si="227">I4120/F4120</f>
        <v>0.14793175975695255</v>
      </c>
      <c r="K4120" s="24">
        <v>2212</v>
      </c>
      <c r="L4120" s="6">
        <v>2242</v>
      </c>
      <c r="M4120" s="270">
        <f t="shared" ref="M4120:M4198" si="228">L4120-K4120</f>
        <v>30</v>
      </c>
      <c r="P4120" s="448">
        <v>14190</v>
      </c>
      <c r="Q4120" s="28">
        <f>173.6/1050.4</f>
        <v>0.16527037319116525</v>
      </c>
      <c r="R4120" s="312">
        <f t="shared" ref="R4120:R4140" si="229">P4120*Q4120</f>
        <v>2345.1865955826347</v>
      </c>
      <c r="S4120" s="313" t="e">
        <f>R4120*#REF!</f>
        <v>#REF!</v>
      </c>
      <c r="T4120" s="313" t="e">
        <f t="shared" ref="T4120:T4140" si="230">(R4120+S4120)*U4120</f>
        <v>#REF!</v>
      </c>
      <c r="U4120" s="358">
        <v>0.1</v>
      </c>
      <c r="W4120" s="741">
        <f t="shared" si="226"/>
        <v>2579.7052551408983</v>
      </c>
    </row>
    <row r="4121" spans="1:23" ht="15" customHeight="1">
      <c r="A4121" s="472">
        <v>41642</v>
      </c>
      <c r="B4121" s="4">
        <f t="shared" ref="B4121:B4156" si="231">F4121-E4121-D4121-C411-C4121</f>
        <v>400</v>
      </c>
      <c r="C4121" s="4">
        <v>74900</v>
      </c>
      <c r="D4121" s="490">
        <v>2175</v>
      </c>
      <c r="E4121" s="490">
        <v>137725</v>
      </c>
      <c r="F4121" s="471">
        <v>215200</v>
      </c>
      <c r="G4121" s="5">
        <v>1250</v>
      </c>
      <c r="H4121" s="5">
        <v>0</v>
      </c>
      <c r="I4121" s="471">
        <v>31650</v>
      </c>
      <c r="J4121" s="263">
        <f t="shared" si="227"/>
        <v>0.1470724907063197</v>
      </c>
      <c r="K4121" s="24">
        <v>2168</v>
      </c>
      <c r="L4121" s="6">
        <v>2195</v>
      </c>
      <c r="M4121" s="270">
        <f t="shared" si="228"/>
        <v>27</v>
      </c>
      <c r="P4121" s="448">
        <v>14190</v>
      </c>
      <c r="Q4121" s="28">
        <f>174.19/1054.1</f>
        <v>0.1652499762830851</v>
      </c>
      <c r="R4121" s="312">
        <f t="shared" si="229"/>
        <v>2344.8971634569775</v>
      </c>
      <c r="S4121" s="313" t="e">
        <f>R4121*#REF!</f>
        <v>#REF!</v>
      </c>
      <c r="T4121" s="313" t="e">
        <f t="shared" si="230"/>
        <v>#REF!</v>
      </c>
      <c r="U4121" s="358">
        <v>0.1</v>
      </c>
      <c r="W4121" s="741">
        <f t="shared" si="226"/>
        <v>2579.3868798026756</v>
      </c>
    </row>
    <row r="4122" spans="1:23" ht="15" customHeight="1" thickBot="1">
      <c r="A4122" s="473">
        <v>41645</v>
      </c>
      <c r="B4122" s="4">
        <f t="shared" si="231"/>
        <v>400</v>
      </c>
      <c r="C4122" s="4">
        <v>74900</v>
      </c>
      <c r="D4122" s="5">
        <v>2175</v>
      </c>
      <c r="E4122" s="5">
        <v>137525</v>
      </c>
      <c r="F4122" s="474">
        <v>215000</v>
      </c>
      <c r="G4122" s="5">
        <v>300</v>
      </c>
      <c r="H4122" s="5">
        <v>500</v>
      </c>
      <c r="I4122" s="474">
        <v>31150</v>
      </c>
      <c r="J4122" s="263">
        <f t="shared" si="227"/>
        <v>0.14488372093023255</v>
      </c>
      <c r="K4122" s="24">
        <v>2136</v>
      </c>
      <c r="L4122" s="6">
        <v>2163</v>
      </c>
      <c r="M4122" s="270">
        <f t="shared" si="228"/>
        <v>27</v>
      </c>
      <c r="P4122" s="448">
        <v>14140</v>
      </c>
      <c r="Q4122" s="28">
        <f>174.19/1054.1</f>
        <v>0.1652499762830851</v>
      </c>
      <c r="R4122" s="312">
        <f t="shared" si="229"/>
        <v>2336.6346646428233</v>
      </c>
      <c r="S4122" s="313" t="e">
        <f>R4122*#REF!</f>
        <v>#REF!</v>
      </c>
      <c r="T4122" s="313" t="e">
        <f t="shared" si="230"/>
        <v>#REF!</v>
      </c>
      <c r="U4122" s="358">
        <v>0.1</v>
      </c>
      <c r="W4122" s="741">
        <f t="shared" si="226"/>
        <v>2570.2981311071057</v>
      </c>
    </row>
    <row r="4123" spans="1:23" ht="15" customHeight="1">
      <c r="A4123" s="476">
        <v>41646</v>
      </c>
      <c r="B4123" s="4">
        <f t="shared" si="231"/>
        <v>400</v>
      </c>
      <c r="C4123" s="4">
        <v>74900</v>
      </c>
      <c r="D4123" s="481">
        <v>2175</v>
      </c>
      <c r="E4123" s="481">
        <v>137025</v>
      </c>
      <c r="F4123" s="481">
        <v>214500</v>
      </c>
      <c r="G4123" s="5">
        <v>0</v>
      </c>
      <c r="H4123" s="5">
        <v>500</v>
      </c>
      <c r="I4123" s="475">
        <v>30650</v>
      </c>
      <c r="J4123" s="263">
        <f t="shared" si="227"/>
        <v>0.14289044289044289</v>
      </c>
      <c r="K4123" s="24">
        <v>2157</v>
      </c>
      <c r="L4123" s="6">
        <v>2181</v>
      </c>
      <c r="M4123" s="270">
        <f t="shared" si="228"/>
        <v>24</v>
      </c>
      <c r="O4123" s="309">
        <f>AVERAGE(K4120:K4123)</f>
        <v>2168.25</v>
      </c>
      <c r="P4123" s="448">
        <v>14140</v>
      </c>
      <c r="Q4123" s="28">
        <f>176.48/1067.9</f>
        <v>0.16525891937447323</v>
      </c>
      <c r="R4123" s="312">
        <f t="shared" si="229"/>
        <v>2336.7611199550515</v>
      </c>
      <c r="S4123" s="313" t="e">
        <f>R4123*#REF!</f>
        <v>#REF!</v>
      </c>
      <c r="T4123" s="313" t="e">
        <f t="shared" si="230"/>
        <v>#REF!</v>
      </c>
      <c r="U4123" s="358">
        <v>0.1</v>
      </c>
      <c r="W4123" s="741">
        <f t="shared" si="226"/>
        <v>2570.4372319505569</v>
      </c>
    </row>
    <row r="4124" spans="1:23" ht="15" customHeight="1">
      <c r="A4124" s="477">
        <v>41647</v>
      </c>
      <c r="B4124" s="4">
        <f t="shared" si="231"/>
        <v>400</v>
      </c>
      <c r="C4124" s="4">
        <v>74900</v>
      </c>
      <c r="D4124" s="481">
        <v>2175</v>
      </c>
      <c r="E4124" s="481">
        <v>136525</v>
      </c>
      <c r="F4124" s="481">
        <v>214000</v>
      </c>
      <c r="G4124" s="5">
        <v>0</v>
      </c>
      <c r="H4124" s="5">
        <v>500</v>
      </c>
      <c r="I4124" s="478">
        <v>30150</v>
      </c>
      <c r="J4124" s="263">
        <f t="shared" si="227"/>
        <v>0.14088785046728972</v>
      </c>
      <c r="K4124" s="24">
        <v>2127</v>
      </c>
      <c r="L4124" s="6">
        <v>2156</v>
      </c>
      <c r="M4124" s="270">
        <f t="shared" si="228"/>
        <v>29</v>
      </c>
      <c r="P4124" s="448">
        <v>14120</v>
      </c>
      <c r="Q4124" s="28">
        <f>176.16/1066</f>
        <v>0.16525328330206379</v>
      </c>
      <c r="R4124" s="312">
        <f t="shared" si="229"/>
        <v>2333.3763602251406</v>
      </c>
      <c r="S4124" s="313" t="e">
        <f>R4124*#REF!</f>
        <v>#REF!</v>
      </c>
      <c r="T4124" s="313" t="e">
        <f t="shared" si="230"/>
        <v>#REF!</v>
      </c>
      <c r="U4124" s="358">
        <v>0.1</v>
      </c>
      <c r="W4124" s="741">
        <f t="shared" si="226"/>
        <v>2566.7139962476549</v>
      </c>
    </row>
    <row r="4125" spans="1:23" ht="15" customHeight="1">
      <c r="A4125" s="480">
        <v>41648</v>
      </c>
      <c r="B4125" s="4">
        <f t="shared" si="231"/>
        <v>400</v>
      </c>
      <c r="C4125" s="4">
        <v>74900</v>
      </c>
      <c r="D4125" s="490">
        <v>2175</v>
      </c>
      <c r="E4125" s="490">
        <v>136025</v>
      </c>
      <c r="F4125" s="481">
        <v>213500</v>
      </c>
      <c r="G4125" s="5">
        <v>0</v>
      </c>
      <c r="H4125" s="5">
        <v>500</v>
      </c>
      <c r="I4125" s="479">
        <v>29650</v>
      </c>
      <c r="J4125" s="263">
        <f t="shared" si="227"/>
        <v>0.13887587822014053</v>
      </c>
      <c r="K4125" s="24">
        <v>2093</v>
      </c>
      <c r="L4125" s="6">
        <v>2119</v>
      </c>
      <c r="M4125" s="270">
        <f t="shared" si="228"/>
        <v>26</v>
      </c>
      <c r="P4125" s="448">
        <v>14070</v>
      </c>
      <c r="Q4125" s="28">
        <f>175.85/1064.8</f>
        <v>0.16514838467317805</v>
      </c>
      <c r="R4125" s="312">
        <f t="shared" si="229"/>
        <v>2323.6377723516152</v>
      </c>
      <c r="S4125" s="313" t="e">
        <f>R4125*#REF!</f>
        <v>#REF!</v>
      </c>
      <c r="T4125" s="313" t="e">
        <f t="shared" si="230"/>
        <v>#REF!</v>
      </c>
      <c r="U4125" s="358">
        <v>0.1</v>
      </c>
      <c r="W4125" s="741">
        <f t="shared" si="226"/>
        <v>2556.0015495867769</v>
      </c>
    </row>
    <row r="4126" spans="1:23" ht="15" customHeight="1">
      <c r="A4126" s="483">
        <v>41649</v>
      </c>
      <c r="B4126" s="4">
        <f t="shared" si="231"/>
        <v>400</v>
      </c>
      <c r="C4126" s="4">
        <v>74900</v>
      </c>
      <c r="D4126" s="490">
        <v>2175</v>
      </c>
      <c r="E4126" s="490">
        <v>135525</v>
      </c>
      <c r="F4126" s="482">
        <v>213000</v>
      </c>
      <c r="G4126" s="5">
        <v>0</v>
      </c>
      <c r="H4126" s="5">
        <v>500</v>
      </c>
      <c r="I4126" s="482">
        <v>29150</v>
      </c>
      <c r="J4126" s="263">
        <f t="shared" si="227"/>
        <v>0.13685446009389671</v>
      </c>
      <c r="K4126" s="24">
        <v>2097</v>
      </c>
      <c r="L4126" s="6">
        <v>2123</v>
      </c>
      <c r="M4126" s="270">
        <f t="shared" si="228"/>
        <v>26</v>
      </c>
      <c r="P4126" s="448">
        <v>14010</v>
      </c>
      <c r="Q4126" s="28">
        <f>175.61/1062.8</f>
        <v>0.16523334587881072</v>
      </c>
      <c r="R4126" s="312">
        <f t="shared" si="229"/>
        <v>2314.9191757621384</v>
      </c>
      <c r="S4126" s="313" t="e">
        <f>R4126*#REF!</f>
        <v>#REF!</v>
      </c>
      <c r="T4126" s="313" t="e">
        <f t="shared" si="230"/>
        <v>#REF!</v>
      </c>
      <c r="U4126" s="358">
        <v>0.1</v>
      </c>
      <c r="W4126" s="741">
        <f t="shared" si="226"/>
        <v>2546.4110933383522</v>
      </c>
    </row>
    <row r="4127" spans="1:23" ht="15" customHeight="1">
      <c r="A4127" s="485">
        <v>41652</v>
      </c>
      <c r="B4127" s="4">
        <f t="shared" si="231"/>
        <v>400</v>
      </c>
      <c r="C4127" s="4">
        <v>74900</v>
      </c>
      <c r="D4127" s="5">
        <v>2175</v>
      </c>
      <c r="E4127" s="5">
        <v>135025</v>
      </c>
      <c r="F4127" s="484">
        <v>212500</v>
      </c>
      <c r="G4127" s="5">
        <v>0</v>
      </c>
      <c r="H4127" s="5">
        <v>500</v>
      </c>
      <c r="I4127" s="484">
        <v>41775</v>
      </c>
      <c r="J4127" s="263">
        <f t="shared" si="227"/>
        <v>0.19658823529411765</v>
      </c>
      <c r="K4127" s="24">
        <v>2119</v>
      </c>
      <c r="L4127" s="6">
        <v>2141</v>
      </c>
      <c r="M4127" s="270">
        <f t="shared" si="228"/>
        <v>22</v>
      </c>
      <c r="P4127" s="448">
        <v>14090</v>
      </c>
      <c r="Q4127" s="28">
        <f>174.82/1056.5</f>
        <v>0.16547089446284902</v>
      </c>
      <c r="R4127" s="312">
        <f t="shared" si="229"/>
        <v>2331.4849029815427</v>
      </c>
      <c r="S4127" s="313" t="e">
        <f>R4127*#REF!</f>
        <v>#REF!</v>
      </c>
      <c r="T4127" s="313" t="e">
        <f t="shared" si="230"/>
        <v>#REF!</v>
      </c>
      <c r="U4127" s="358">
        <v>0.1</v>
      </c>
      <c r="W4127" s="741">
        <f t="shared" si="226"/>
        <v>2564.6333932796974</v>
      </c>
    </row>
    <row r="4128" spans="1:23" ht="15" customHeight="1">
      <c r="A4128" s="486">
        <v>41653</v>
      </c>
      <c r="B4128" s="4">
        <f t="shared" si="231"/>
        <v>400</v>
      </c>
      <c r="C4128" s="4">
        <v>74900</v>
      </c>
      <c r="D4128" s="5">
        <v>2175</v>
      </c>
      <c r="E4128" s="5">
        <v>134525</v>
      </c>
      <c r="F4128" s="5">
        <v>212000</v>
      </c>
      <c r="G4128" s="5">
        <v>0</v>
      </c>
      <c r="H4128" s="5">
        <v>500</v>
      </c>
      <c r="I4128" s="5">
        <v>46275</v>
      </c>
      <c r="J4128" s="263">
        <f t="shared" si="227"/>
        <v>0.21827830188679245</v>
      </c>
      <c r="K4128" s="24">
        <v>2181.5</v>
      </c>
      <c r="L4128" s="6">
        <v>2202</v>
      </c>
      <c r="M4128" s="270">
        <f t="shared" si="228"/>
        <v>20.5</v>
      </c>
      <c r="P4128" s="448">
        <v>14090</v>
      </c>
      <c r="Q4128" s="28">
        <f>175.2/1058.4</f>
        <v>0.16553287981859408</v>
      </c>
      <c r="R4128" s="312">
        <f t="shared" si="229"/>
        <v>2332.3582766439904</v>
      </c>
      <c r="S4128" s="313" t="e">
        <f>R4128*#REF!</f>
        <v>#REF!</v>
      </c>
      <c r="T4128" s="313" t="e">
        <f t="shared" si="230"/>
        <v>#REF!</v>
      </c>
      <c r="U4128" s="358">
        <v>0.1</v>
      </c>
      <c r="W4128" s="741">
        <f t="shared" si="226"/>
        <v>2565.5941043083894</v>
      </c>
    </row>
    <row r="4129" spans="1:23" ht="15" customHeight="1">
      <c r="A4129" s="488">
        <v>41654</v>
      </c>
      <c r="B4129" s="4">
        <f t="shared" si="231"/>
        <v>400</v>
      </c>
      <c r="C4129" s="4">
        <v>74900</v>
      </c>
      <c r="D4129" s="487">
        <v>2175</v>
      </c>
      <c r="E4129" s="487">
        <v>134025</v>
      </c>
      <c r="F4129" s="487">
        <v>211500</v>
      </c>
      <c r="G4129" s="5">
        <v>0</v>
      </c>
      <c r="H4129" s="5">
        <v>500</v>
      </c>
      <c r="I4129" s="487">
        <v>45775</v>
      </c>
      <c r="J4129" s="263">
        <f t="shared" si="227"/>
        <v>0.21643026004728133</v>
      </c>
      <c r="K4129" s="24">
        <v>2151</v>
      </c>
      <c r="L4129" s="6">
        <v>2175</v>
      </c>
      <c r="M4129" s="270">
        <f t="shared" si="228"/>
        <v>24</v>
      </c>
      <c r="P4129" s="448">
        <v>14090</v>
      </c>
      <c r="Q4129" s="28">
        <f>175.74/1062.5</f>
        <v>0.16540235294117647</v>
      </c>
      <c r="R4129" s="312">
        <f t="shared" si="229"/>
        <v>2330.5191529411763</v>
      </c>
      <c r="S4129" s="313" t="e">
        <f>R4129*#REF!</f>
        <v>#REF!</v>
      </c>
      <c r="T4129" s="313" t="e">
        <f t="shared" si="230"/>
        <v>#REF!</v>
      </c>
      <c r="U4129" s="358">
        <v>0.1</v>
      </c>
      <c r="W4129" s="741">
        <f t="shared" si="226"/>
        <v>2563.5710682352942</v>
      </c>
    </row>
    <row r="4130" spans="1:23" ht="15" customHeight="1">
      <c r="A4130" s="489">
        <v>41655</v>
      </c>
      <c r="B4130" s="4">
        <f t="shared" si="231"/>
        <v>400</v>
      </c>
      <c r="C4130" s="4">
        <v>74900</v>
      </c>
      <c r="D4130" s="490">
        <v>2175</v>
      </c>
      <c r="E4130" s="490">
        <v>133525</v>
      </c>
      <c r="F4130" s="490">
        <v>211000</v>
      </c>
      <c r="G4130" s="5">
        <v>0</v>
      </c>
      <c r="H4130" s="5">
        <v>500</v>
      </c>
      <c r="I4130" s="490">
        <v>45375</v>
      </c>
      <c r="J4130" s="263">
        <f t="shared" si="227"/>
        <v>0.21504739336492892</v>
      </c>
      <c r="K4130" s="24">
        <v>2198.5</v>
      </c>
      <c r="L4130" s="6">
        <v>2223</v>
      </c>
      <c r="M4130" s="270">
        <f t="shared" si="228"/>
        <v>24.5</v>
      </c>
      <c r="P4130" s="448">
        <v>14090</v>
      </c>
      <c r="Q4130" s="28">
        <f>175.73/1064.2</f>
        <v>0.16512873520015034</v>
      </c>
      <c r="R4130" s="312">
        <f t="shared" si="229"/>
        <v>2326.6638789701183</v>
      </c>
      <c r="S4130" s="313" t="e">
        <f>R4130*#REF!</f>
        <v>#REF!</v>
      </c>
      <c r="T4130" s="313" t="e">
        <f t="shared" si="230"/>
        <v>#REF!</v>
      </c>
      <c r="U4130" s="358">
        <v>0.1</v>
      </c>
      <c r="W4130" s="741">
        <f t="shared" si="226"/>
        <v>2559.3302668671304</v>
      </c>
    </row>
    <row r="4131" spans="1:23" ht="15" customHeight="1">
      <c r="A4131" s="493">
        <v>41656</v>
      </c>
      <c r="B4131" s="4">
        <f t="shared" si="231"/>
        <v>-350</v>
      </c>
      <c r="C4131" s="4">
        <v>74900</v>
      </c>
      <c r="D4131" s="492">
        <v>2175</v>
      </c>
      <c r="E4131" s="492">
        <v>133025</v>
      </c>
      <c r="F4131" s="492">
        <v>209750</v>
      </c>
      <c r="G4131" s="5">
        <v>0</v>
      </c>
      <c r="H4131" s="5">
        <v>1250</v>
      </c>
      <c r="I4131" s="492">
        <v>44125</v>
      </c>
      <c r="J4131" s="263">
        <f t="shared" si="227"/>
        <v>0.21036948748510131</v>
      </c>
      <c r="K4131" s="24">
        <v>2175.5</v>
      </c>
      <c r="L4131" s="6">
        <v>2201</v>
      </c>
      <c r="M4131" s="270">
        <f t="shared" si="228"/>
        <v>25.5</v>
      </c>
      <c r="P4131" s="448">
        <v>14090</v>
      </c>
      <c r="Q4131" s="28">
        <f>175.36/1061</f>
        <v>0.16527803958529691</v>
      </c>
      <c r="R4131" s="312">
        <f t="shared" si="229"/>
        <v>2328.7675777568334</v>
      </c>
      <c r="S4131" s="313" t="e">
        <f>R4131*#REF!</f>
        <v>#REF!</v>
      </c>
      <c r="T4131" s="313" t="e">
        <f t="shared" si="230"/>
        <v>#REF!</v>
      </c>
      <c r="U4131" s="358">
        <v>0.1</v>
      </c>
      <c r="W4131" s="741">
        <f t="shared" si="226"/>
        <v>2561.6443355325168</v>
      </c>
    </row>
    <row r="4132" spans="1:23" ht="15" customHeight="1">
      <c r="A4132" s="506">
        <v>41659</v>
      </c>
      <c r="B4132" s="4">
        <f t="shared" si="231"/>
        <v>400</v>
      </c>
      <c r="C4132" s="4">
        <v>74150</v>
      </c>
      <c r="D4132" s="507">
        <v>2175</v>
      </c>
      <c r="E4132" s="507">
        <v>132525</v>
      </c>
      <c r="F4132" s="507">
        <v>209250</v>
      </c>
      <c r="G4132" s="5">
        <v>0</v>
      </c>
      <c r="H4132" s="5">
        <v>500</v>
      </c>
      <c r="I4132" s="507">
        <v>43625</v>
      </c>
      <c r="J4132" s="263">
        <f t="shared" si="227"/>
        <v>0.2084826762246117</v>
      </c>
      <c r="K4132" s="24">
        <v>2187.5</v>
      </c>
      <c r="L4132" s="6">
        <v>2212</v>
      </c>
      <c r="M4132" s="270">
        <f t="shared" si="228"/>
        <v>24.5</v>
      </c>
      <c r="P4132" s="448">
        <v>14090</v>
      </c>
      <c r="Q4132" s="28">
        <f>175.77/1063.9</f>
        <v>0.16521289594886737</v>
      </c>
      <c r="R4132" s="312">
        <f t="shared" si="229"/>
        <v>2327.8497039195413</v>
      </c>
      <c r="S4132" s="313" t="e">
        <f>R4132*#REF!</f>
        <v>#REF!</v>
      </c>
      <c r="T4132" s="313" t="e">
        <f t="shared" si="230"/>
        <v>#REF!</v>
      </c>
      <c r="U4132" s="358">
        <v>0.1</v>
      </c>
      <c r="W4132" s="741">
        <f t="shared" si="226"/>
        <v>2560.6346743114955</v>
      </c>
    </row>
    <row r="4133" spans="1:23" ht="15" customHeight="1">
      <c r="A4133" s="509">
        <v>41660</v>
      </c>
      <c r="B4133" s="4">
        <f t="shared" si="231"/>
        <v>400</v>
      </c>
      <c r="C4133" s="4">
        <v>74150</v>
      </c>
      <c r="D4133" s="508">
        <v>2175</v>
      </c>
      <c r="E4133" s="508">
        <v>132725</v>
      </c>
      <c r="F4133" s="508">
        <v>209450</v>
      </c>
      <c r="G4133" s="5">
        <v>700</v>
      </c>
      <c r="H4133" s="5">
        <v>500</v>
      </c>
      <c r="I4133" s="508">
        <v>43125</v>
      </c>
      <c r="J4133" s="263">
        <f t="shared" si="227"/>
        <v>0.20589639532107901</v>
      </c>
      <c r="K4133" s="24">
        <v>2176.5</v>
      </c>
      <c r="L4133" s="6">
        <v>2204</v>
      </c>
      <c r="M4133" s="270">
        <f t="shared" si="228"/>
        <v>27.5</v>
      </c>
      <c r="P4133" s="448">
        <v>14070</v>
      </c>
      <c r="Q4133" s="28">
        <f>175.88/1064.2</f>
        <v>0.16526968614922005</v>
      </c>
      <c r="R4133" s="312">
        <f t="shared" si="229"/>
        <v>2325.344484119526</v>
      </c>
      <c r="S4133" s="313" t="e">
        <f>R4133*#REF!</f>
        <v>#REF!</v>
      </c>
      <c r="T4133" s="313" t="e">
        <f t="shared" si="230"/>
        <v>#REF!</v>
      </c>
      <c r="U4133" s="358">
        <v>0.1</v>
      </c>
      <c r="W4133" s="741">
        <f t="shared" si="226"/>
        <v>2557.8789325314788</v>
      </c>
    </row>
    <row r="4134" spans="1:23" ht="15" customHeight="1">
      <c r="A4134" s="511">
        <v>41661</v>
      </c>
      <c r="B4134" s="4">
        <f t="shared" si="231"/>
        <v>400</v>
      </c>
      <c r="C4134" s="4">
        <v>74150</v>
      </c>
      <c r="D4134" s="512">
        <v>2175</v>
      </c>
      <c r="E4134" s="512">
        <v>132125</v>
      </c>
      <c r="F4134" s="512">
        <v>208850</v>
      </c>
      <c r="G4134" s="5">
        <v>0</v>
      </c>
      <c r="H4134" s="5">
        <v>600</v>
      </c>
      <c r="I4134" s="512">
        <v>42550</v>
      </c>
      <c r="J4134" s="263">
        <f t="shared" si="227"/>
        <v>0.20373473785013169</v>
      </c>
      <c r="K4134" s="24">
        <v>2182</v>
      </c>
      <c r="L4134" s="6">
        <v>2205.5</v>
      </c>
      <c r="M4134" s="270">
        <f t="shared" si="228"/>
        <v>23.5</v>
      </c>
      <c r="P4134" s="448">
        <v>14060</v>
      </c>
      <c r="Q4134" s="28">
        <f>176.56/1068.4</f>
        <v>0.16525645825533508</v>
      </c>
      <c r="R4134" s="312">
        <f t="shared" si="229"/>
        <v>2323.5058030700111</v>
      </c>
      <c r="S4134" s="313" t="e">
        <f>R4134*#REF!</f>
        <v>#REF!</v>
      </c>
      <c r="T4134" s="313" t="e">
        <f t="shared" si="230"/>
        <v>#REF!</v>
      </c>
      <c r="U4134" s="358">
        <v>0.1</v>
      </c>
      <c r="W4134" s="741">
        <f t="shared" si="226"/>
        <v>2555.8563833770122</v>
      </c>
    </row>
    <row r="4135" spans="1:23" ht="15" customHeight="1">
      <c r="A4135" s="514">
        <v>41662</v>
      </c>
      <c r="B4135" s="4">
        <f t="shared" si="231"/>
        <v>0</v>
      </c>
      <c r="C4135" s="4">
        <v>74150</v>
      </c>
      <c r="D4135" s="513">
        <v>2175</v>
      </c>
      <c r="E4135" s="513">
        <v>131625</v>
      </c>
      <c r="F4135" s="513">
        <v>207950</v>
      </c>
      <c r="G4135" s="5">
        <v>0</v>
      </c>
      <c r="H4135" s="5">
        <v>900</v>
      </c>
      <c r="I4135" s="513">
        <v>41650</v>
      </c>
      <c r="J4135" s="263">
        <f t="shared" si="227"/>
        <v>0.2002885308968502</v>
      </c>
      <c r="K4135" s="24">
        <v>2155</v>
      </c>
      <c r="L4135" s="6">
        <v>2174</v>
      </c>
      <c r="M4135" s="270">
        <f t="shared" si="228"/>
        <v>19</v>
      </c>
      <c r="P4135" s="448">
        <v>14010</v>
      </c>
      <c r="Q4135" s="28">
        <f>177.12/1071.9</f>
        <v>0.16523929471032744</v>
      </c>
      <c r="R4135" s="312">
        <f t="shared" si="229"/>
        <v>2315.0025188916875</v>
      </c>
      <c r="S4135" s="313" t="e">
        <f>R4135*#REF!</f>
        <v>#REF!</v>
      </c>
      <c r="T4135" s="313" t="e">
        <f t="shared" si="230"/>
        <v>#REF!</v>
      </c>
      <c r="U4135" s="358">
        <v>0.1</v>
      </c>
      <c r="W4135" s="741">
        <f t="shared" si="226"/>
        <v>2546.5027707808563</v>
      </c>
    </row>
    <row r="4136" spans="1:23" ht="15" customHeight="1">
      <c r="A4136" s="515">
        <v>41663</v>
      </c>
      <c r="B4136" s="4">
        <f t="shared" si="231"/>
        <v>550</v>
      </c>
      <c r="C4136" s="4">
        <v>73750</v>
      </c>
      <c r="D4136" s="516">
        <v>2175</v>
      </c>
      <c r="E4136" s="516">
        <v>131100</v>
      </c>
      <c r="F4136" s="516">
        <v>207575</v>
      </c>
      <c r="G4136" s="5">
        <v>150</v>
      </c>
      <c r="H4136" s="5">
        <v>525</v>
      </c>
      <c r="I4136" s="516">
        <v>41125</v>
      </c>
      <c r="J4136" s="263">
        <f t="shared" si="227"/>
        <v>0.19812116102613514</v>
      </c>
      <c r="K4136" s="24">
        <v>2145.5</v>
      </c>
      <c r="L4136" s="6">
        <v>2166</v>
      </c>
      <c r="M4136" s="270">
        <f t="shared" si="228"/>
        <v>20.5</v>
      </c>
      <c r="P4136" s="448">
        <v>14010</v>
      </c>
      <c r="Q4136" s="28">
        <f>178.08/1077.2</f>
        <v>0.16531748978834016</v>
      </c>
      <c r="R4136" s="312">
        <f t="shared" si="229"/>
        <v>2316.0980319346454</v>
      </c>
      <c r="S4136" s="313" t="e">
        <f>R4136*#REF!</f>
        <v>#REF!</v>
      </c>
      <c r="T4136" s="313" t="e">
        <f t="shared" si="230"/>
        <v>#REF!</v>
      </c>
      <c r="U4136" s="358">
        <v>0.1</v>
      </c>
      <c r="W4136" s="741">
        <f t="shared" si="226"/>
        <v>2547.7078351281102</v>
      </c>
    </row>
    <row r="4137" spans="1:23" ht="15" customHeight="1">
      <c r="A4137" s="517">
        <v>41666</v>
      </c>
      <c r="B4137" s="4">
        <f t="shared" si="231"/>
        <v>3000</v>
      </c>
      <c r="C4137" s="4">
        <v>73900</v>
      </c>
      <c r="D4137" s="518">
        <v>2175</v>
      </c>
      <c r="E4137" s="518">
        <v>130600</v>
      </c>
      <c r="F4137" s="518">
        <v>209675</v>
      </c>
      <c r="G4137" s="518">
        <v>2600</v>
      </c>
      <c r="H4137" s="5">
        <v>500</v>
      </c>
      <c r="I4137" s="518">
        <v>40625</v>
      </c>
      <c r="J4137" s="263">
        <f t="shared" si="227"/>
        <v>0.19375223560271848</v>
      </c>
      <c r="K4137" s="24">
        <v>2136</v>
      </c>
      <c r="L4137" s="6">
        <v>2147</v>
      </c>
      <c r="M4137" s="270">
        <f t="shared" si="228"/>
        <v>11</v>
      </c>
      <c r="P4137" s="448">
        <v>13990</v>
      </c>
      <c r="Q4137" s="28">
        <f>178.49/1079.5</f>
        <v>0.16534506716072256</v>
      </c>
      <c r="R4137" s="312">
        <f t="shared" si="229"/>
        <v>2313.1774895785088</v>
      </c>
      <c r="S4137" s="313" t="e">
        <f>R4137*#REF!</f>
        <v>#REF!</v>
      </c>
      <c r="T4137" s="313" t="e">
        <f t="shared" si="230"/>
        <v>#REF!</v>
      </c>
      <c r="U4137" s="358">
        <v>0.1</v>
      </c>
      <c r="W4137" s="741">
        <f t="shared" si="226"/>
        <v>2544.4952385363599</v>
      </c>
    </row>
    <row r="4138" spans="1:23" ht="15" customHeight="1">
      <c r="A4138" s="519">
        <v>41667</v>
      </c>
      <c r="B4138" s="4">
        <f t="shared" si="231"/>
        <v>400</v>
      </c>
      <c r="C4138" s="4">
        <v>76500</v>
      </c>
      <c r="D4138" s="520">
        <v>2175</v>
      </c>
      <c r="E4138" s="520">
        <v>130100</v>
      </c>
      <c r="F4138" s="520">
        <v>209175</v>
      </c>
      <c r="G4138" s="516">
        <v>0</v>
      </c>
      <c r="H4138" s="5">
        <v>500</v>
      </c>
      <c r="I4138" s="520">
        <v>40125</v>
      </c>
      <c r="J4138" s="263">
        <f t="shared" si="227"/>
        <v>0.19182502689135891</v>
      </c>
      <c r="K4138" s="24">
        <v>2127</v>
      </c>
      <c r="L4138" s="6">
        <v>2137</v>
      </c>
      <c r="M4138" s="270">
        <f t="shared" si="228"/>
        <v>10</v>
      </c>
      <c r="N4138" s="429"/>
      <c r="O4138" s="430"/>
      <c r="P4138" s="448">
        <v>13990</v>
      </c>
      <c r="Q4138" s="28">
        <f>178.36/1079.2</f>
        <v>0.16527057079318014</v>
      </c>
      <c r="R4138" s="312">
        <f t="shared" si="229"/>
        <v>2312.13528539659</v>
      </c>
      <c r="S4138" s="313" t="e">
        <f>R4138*#REF!</f>
        <v>#REF!</v>
      </c>
      <c r="T4138" s="313" t="e">
        <f t="shared" si="230"/>
        <v>#REF!</v>
      </c>
      <c r="U4138" s="358">
        <v>0.1</v>
      </c>
      <c r="W4138" s="741">
        <f t="shared" si="226"/>
        <v>2543.3488139362494</v>
      </c>
    </row>
    <row r="4139" spans="1:23" ht="15" customHeight="1">
      <c r="A4139" s="522">
        <v>41668</v>
      </c>
      <c r="B4139" s="4">
        <f t="shared" si="231"/>
        <v>1300</v>
      </c>
      <c r="C4139" s="4">
        <f>76500-400</f>
        <v>76100</v>
      </c>
      <c r="D4139" s="5">
        <v>2175</v>
      </c>
      <c r="E4139" s="5">
        <v>129600</v>
      </c>
      <c r="F4139" s="521">
        <v>209175</v>
      </c>
      <c r="G4139" s="5">
        <v>300</v>
      </c>
      <c r="H4139" s="5">
        <v>0</v>
      </c>
      <c r="I4139" s="5">
        <v>39125</v>
      </c>
      <c r="J4139" s="263">
        <f t="shared" si="227"/>
        <v>0.18704434086291383</v>
      </c>
      <c r="K4139" s="24">
        <v>2143</v>
      </c>
      <c r="L4139" s="6">
        <v>2155</v>
      </c>
      <c r="M4139" s="270">
        <f t="shared" si="228"/>
        <v>12</v>
      </c>
      <c r="N4139" s="429"/>
      <c r="O4139" s="430"/>
      <c r="P4139" s="448">
        <v>13990</v>
      </c>
      <c r="Q4139" s="28">
        <f>178.36/1079.2</f>
        <v>0.16527057079318014</v>
      </c>
      <c r="R4139" s="312">
        <f t="shared" si="229"/>
        <v>2312.13528539659</v>
      </c>
      <c r="S4139" s="313" t="e">
        <f>R4139*#REF!</f>
        <v>#REF!</v>
      </c>
      <c r="T4139" s="313" t="e">
        <f t="shared" si="230"/>
        <v>#REF!</v>
      </c>
      <c r="U4139" s="358">
        <v>0.1</v>
      </c>
      <c r="W4139" s="741">
        <f t="shared" si="226"/>
        <v>2543.3488139362494</v>
      </c>
    </row>
    <row r="4140" spans="1:23" ht="15" customHeight="1">
      <c r="A4140" s="522">
        <v>41669</v>
      </c>
      <c r="B4140" s="4">
        <f t="shared" si="231"/>
        <v>800</v>
      </c>
      <c r="C4140" s="4">
        <f>77300-400</f>
        <v>76900</v>
      </c>
      <c r="D4140" s="5">
        <v>2175</v>
      </c>
      <c r="E4140" s="5">
        <v>129100</v>
      </c>
      <c r="F4140" s="5">
        <v>208975</v>
      </c>
      <c r="G4140" s="5">
        <v>0</v>
      </c>
      <c r="H4140" s="5">
        <v>500</v>
      </c>
      <c r="I4140" s="5">
        <v>37875</v>
      </c>
      <c r="J4140" s="263">
        <f t="shared" si="227"/>
        <v>0.18124177533197752</v>
      </c>
      <c r="K4140" s="24">
        <v>2116</v>
      </c>
      <c r="L4140" s="6">
        <v>2126</v>
      </c>
      <c r="M4140" s="270">
        <f t="shared" si="228"/>
        <v>10</v>
      </c>
      <c r="N4140" s="429"/>
      <c r="O4140" s="430"/>
      <c r="P4140" s="448">
        <v>13990</v>
      </c>
      <c r="Q4140" s="28">
        <f>178.36/1079.2</f>
        <v>0.16527057079318014</v>
      </c>
      <c r="R4140" s="312">
        <f t="shared" si="229"/>
        <v>2312.13528539659</v>
      </c>
      <c r="S4140" s="313" t="e">
        <f>R4140*#REF!</f>
        <v>#REF!</v>
      </c>
      <c r="T4140" s="313" t="e">
        <f t="shared" si="230"/>
        <v>#REF!</v>
      </c>
      <c r="U4140" s="358">
        <v>0.1</v>
      </c>
      <c r="W4140" s="741">
        <f>(P4140*Q4140)*(1+U4140)</f>
        <v>2543.3488139362494</v>
      </c>
    </row>
    <row r="4141" spans="1:23" ht="15" customHeight="1">
      <c r="A4141" s="522">
        <v>41670</v>
      </c>
      <c r="B4141" s="4">
        <f t="shared" si="231"/>
        <v>800</v>
      </c>
      <c r="C4141" s="4">
        <f>77300-400</f>
        <v>76900</v>
      </c>
      <c r="D4141" s="5">
        <v>2175</v>
      </c>
      <c r="E4141" s="5">
        <v>128600</v>
      </c>
      <c r="F4141" s="5">
        <v>208475</v>
      </c>
      <c r="G4141" s="5">
        <v>0</v>
      </c>
      <c r="H4141" s="5">
        <v>500</v>
      </c>
      <c r="I4141" s="5">
        <v>37375</v>
      </c>
      <c r="J4141" s="263">
        <f t="shared" si="227"/>
        <v>0.17927809089818922</v>
      </c>
      <c r="K4141" s="24">
        <v>2091.5</v>
      </c>
      <c r="L4141" s="6">
        <v>2110</v>
      </c>
      <c r="M4141" s="270">
        <f t="shared" si="228"/>
        <v>18.5</v>
      </c>
      <c r="N4141" s="420">
        <f>AVERAGE(K4120:K4141)</f>
        <v>2148.8863636363635</v>
      </c>
      <c r="O4141" s="410">
        <f>AVERAGE(K4120:K4141)</f>
        <v>2148.8863636363635</v>
      </c>
      <c r="P4141" s="1005" t="s">
        <v>164</v>
      </c>
      <c r="Q4141" s="1006"/>
      <c r="R4141" s="1006"/>
      <c r="S4141" s="1006"/>
      <c r="T4141" s="1006"/>
      <c r="U4141" s="1006"/>
      <c r="V4141" s="1006"/>
      <c r="W4141" s="1006"/>
    </row>
    <row r="4142" spans="1:23" ht="15" customHeight="1" thickBot="1">
      <c r="A4142" s="392"/>
      <c r="B4142" s="995"/>
      <c r="C4142" s="995"/>
      <c r="D4142" s="995"/>
      <c r="E4142" s="995"/>
      <c r="F4142" s="392"/>
      <c r="G4142" s="332"/>
      <c r="H4142" s="332"/>
      <c r="I4142" s="332"/>
      <c r="J4142" s="334"/>
      <c r="K4142" s="334"/>
      <c r="L4142" s="335"/>
      <c r="M4142" s="336"/>
      <c r="N4142" s="337"/>
      <c r="O4142" s="353"/>
      <c r="P4142" s="350"/>
      <c r="Q4142" s="299"/>
      <c r="R4142" s="453"/>
      <c r="S4142" s="454"/>
      <c r="T4142" s="454"/>
      <c r="U4142" s="302"/>
      <c r="V4142" s="298">
        <f>AVERAGE(P4120:P4141)</f>
        <v>14071.904761904761</v>
      </c>
      <c r="W4142" s="751"/>
    </row>
    <row r="4143" spans="1:23" ht="15" customHeight="1">
      <c r="A4143" s="526">
        <v>41673</v>
      </c>
      <c r="B4143" s="4">
        <f t="shared" si="231"/>
        <v>400</v>
      </c>
      <c r="C4143" s="4">
        <v>77300</v>
      </c>
      <c r="D4143" s="527">
        <v>2175</v>
      </c>
      <c r="E4143" s="527">
        <v>128550</v>
      </c>
      <c r="F4143" s="527">
        <v>208425</v>
      </c>
      <c r="G4143" s="527">
        <v>450</v>
      </c>
      <c r="H4143" s="527">
        <v>500</v>
      </c>
      <c r="I4143" s="527">
        <v>36875</v>
      </c>
      <c r="J4143" s="263">
        <f t="shared" si="227"/>
        <v>0.17692215425212907</v>
      </c>
      <c r="K4143" s="24">
        <v>2087.5</v>
      </c>
      <c r="L4143" s="6">
        <v>2107</v>
      </c>
      <c r="M4143" s="270">
        <f t="shared" si="228"/>
        <v>19.5</v>
      </c>
      <c r="P4143" s="997" t="s">
        <v>164</v>
      </c>
      <c r="Q4143" s="998"/>
      <c r="R4143" s="998"/>
      <c r="S4143" s="998"/>
      <c r="T4143" s="998"/>
      <c r="U4143" s="998"/>
      <c r="V4143" s="998"/>
      <c r="W4143" s="998"/>
    </row>
    <row r="4144" spans="1:23" ht="15" customHeight="1">
      <c r="A4144" s="528">
        <v>41674</v>
      </c>
      <c r="B4144" s="4">
        <f t="shared" si="231"/>
        <v>400</v>
      </c>
      <c r="C4144" s="4">
        <v>77300</v>
      </c>
      <c r="D4144" s="530">
        <v>2175</v>
      </c>
      <c r="E4144" s="530">
        <v>128050</v>
      </c>
      <c r="F4144" s="530">
        <v>207925</v>
      </c>
      <c r="G4144" s="5">
        <v>0</v>
      </c>
      <c r="H4144" s="5">
        <v>500</v>
      </c>
      <c r="I4144" s="530">
        <v>36375</v>
      </c>
      <c r="J4144" s="263">
        <f t="shared" si="227"/>
        <v>0.17494288806059877</v>
      </c>
      <c r="K4144" s="24">
        <v>2091.5</v>
      </c>
      <c r="L4144" s="6">
        <v>2110</v>
      </c>
      <c r="M4144" s="270">
        <f t="shared" si="228"/>
        <v>18.5</v>
      </c>
      <c r="P4144" s="999"/>
      <c r="Q4144" s="1000"/>
      <c r="R4144" s="1000"/>
      <c r="S4144" s="1000"/>
      <c r="T4144" s="1000"/>
      <c r="U4144" s="1000"/>
      <c r="V4144" s="1000"/>
      <c r="W4144" s="1000"/>
    </row>
    <row r="4145" spans="1:23" ht="15" customHeight="1">
      <c r="A4145" s="531">
        <v>41675</v>
      </c>
      <c r="B4145" s="4">
        <f t="shared" si="231"/>
        <v>400</v>
      </c>
      <c r="C4145" s="4">
        <v>77300</v>
      </c>
      <c r="D4145" s="532">
        <v>2175</v>
      </c>
      <c r="E4145" s="532">
        <v>127550</v>
      </c>
      <c r="F4145" s="532">
        <v>207425</v>
      </c>
      <c r="G4145" s="532">
        <v>0</v>
      </c>
      <c r="H4145" s="532">
        <v>500</v>
      </c>
      <c r="I4145" s="532">
        <v>35875</v>
      </c>
      <c r="J4145" s="263">
        <f t="shared" si="227"/>
        <v>0.17295407978787514</v>
      </c>
      <c r="K4145" s="24">
        <v>2093</v>
      </c>
      <c r="L4145" s="6">
        <v>2112</v>
      </c>
      <c r="M4145" s="270">
        <f t="shared" si="228"/>
        <v>19</v>
      </c>
      <c r="P4145" s="999"/>
      <c r="Q4145" s="1000"/>
      <c r="R4145" s="1000"/>
      <c r="S4145" s="1000"/>
      <c r="T4145" s="1000"/>
      <c r="U4145" s="1000"/>
      <c r="V4145" s="1000"/>
      <c r="W4145" s="1000"/>
    </row>
    <row r="4146" spans="1:23" ht="15" customHeight="1">
      <c r="A4146" s="534">
        <v>41676</v>
      </c>
      <c r="B4146" s="4">
        <f t="shared" si="231"/>
        <v>400</v>
      </c>
      <c r="C4146" s="4">
        <v>77300</v>
      </c>
      <c r="D4146" s="533">
        <v>2175</v>
      </c>
      <c r="E4146" s="533">
        <v>127050</v>
      </c>
      <c r="F4146" s="533">
        <v>206925</v>
      </c>
      <c r="G4146" s="533">
        <v>0</v>
      </c>
      <c r="H4146" s="533">
        <v>500</v>
      </c>
      <c r="I4146" s="533">
        <v>35375</v>
      </c>
      <c r="J4146" s="263">
        <f t="shared" si="227"/>
        <v>0.17095566026338047</v>
      </c>
      <c r="K4146" s="24">
        <v>2078</v>
      </c>
      <c r="L4146" s="6">
        <v>2097.5</v>
      </c>
      <c r="M4146" s="270">
        <f t="shared" si="228"/>
        <v>19.5</v>
      </c>
      <c r="P4146" s="999"/>
      <c r="Q4146" s="1000"/>
      <c r="R4146" s="1000"/>
      <c r="S4146" s="1000"/>
      <c r="T4146" s="1000"/>
      <c r="U4146" s="1000"/>
      <c r="V4146" s="1000"/>
      <c r="W4146" s="1000"/>
    </row>
    <row r="4147" spans="1:23" ht="15" customHeight="1">
      <c r="A4147" s="536">
        <v>41677</v>
      </c>
      <c r="B4147" s="4">
        <f t="shared" si="231"/>
        <v>400</v>
      </c>
      <c r="C4147" s="4">
        <v>77300</v>
      </c>
      <c r="D4147" s="535">
        <v>2175</v>
      </c>
      <c r="E4147" s="535">
        <v>126550</v>
      </c>
      <c r="F4147" s="535">
        <v>206425</v>
      </c>
      <c r="G4147" s="5">
        <v>0</v>
      </c>
      <c r="H4147" s="5">
        <v>500</v>
      </c>
      <c r="I4147" s="535">
        <v>34875</v>
      </c>
      <c r="J4147" s="263">
        <f t="shared" si="227"/>
        <v>0.16894755964636066</v>
      </c>
      <c r="K4147" s="24">
        <v>2117</v>
      </c>
      <c r="L4147" s="6">
        <v>2135</v>
      </c>
      <c r="M4147" s="270">
        <f t="shared" si="228"/>
        <v>18</v>
      </c>
      <c r="P4147" s="448">
        <v>13990</v>
      </c>
      <c r="Q4147" s="28">
        <f>177.31/1075.1</f>
        <v>0.16492419309831646</v>
      </c>
      <c r="R4147" s="546"/>
      <c r="S4147" s="546"/>
      <c r="T4147" s="546"/>
      <c r="U4147" s="358">
        <v>0.1</v>
      </c>
      <c r="V4147" s="546"/>
      <c r="W4147" s="741">
        <f t="shared" ref="W4147:W4161" si="232">(P4147*Q4147)*(1+U4147)</f>
        <v>2538.018407589992</v>
      </c>
    </row>
    <row r="4148" spans="1:23" ht="15" customHeight="1">
      <c r="A4148" s="547">
        <v>41680</v>
      </c>
      <c r="B4148" s="4">
        <f t="shared" si="231"/>
        <v>400</v>
      </c>
      <c r="C4148" s="4">
        <v>77300</v>
      </c>
      <c r="D4148" s="5">
        <v>2175</v>
      </c>
      <c r="E4148" s="5">
        <v>126050</v>
      </c>
      <c r="F4148" s="548">
        <v>205925</v>
      </c>
      <c r="G4148" s="5">
        <v>0</v>
      </c>
      <c r="H4148" s="5">
        <v>500</v>
      </c>
      <c r="I4148" s="548">
        <v>34375</v>
      </c>
      <c r="J4148" s="263">
        <f t="shared" si="227"/>
        <v>0.16692970741774918</v>
      </c>
      <c r="K4148" s="24">
        <v>2111.5</v>
      </c>
      <c r="L4148" s="6">
        <v>2126</v>
      </c>
      <c r="M4148" s="270">
        <f t="shared" si="228"/>
        <v>14.5</v>
      </c>
      <c r="P4148" s="448">
        <v>13990</v>
      </c>
      <c r="Q4148" s="28">
        <f>176.9/1071.9</f>
        <v>0.16503405168392574</v>
      </c>
      <c r="U4148" s="358">
        <v>0.1</v>
      </c>
      <c r="W4148" s="741">
        <f t="shared" si="232"/>
        <v>2539.7090213639331</v>
      </c>
    </row>
    <row r="4149" spans="1:23" ht="15" customHeight="1">
      <c r="A4149" s="549">
        <v>41681</v>
      </c>
      <c r="B4149" s="4">
        <f t="shared" si="231"/>
        <v>400</v>
      </c>
      <c r="C4149" s="4">
        <v>77300</v>
      </c>
      <c r="D4149" s="550">
        <v>2175</v>
      </c>
      <c r="E4149" s="550">
        <v>125550</v>
      </c>
      <c r="F4149" s="550">
        <v>205425</v>
      </c>
      <c r="G4149" s="550">
        <v>0</v>
      </c>
      <c r="H4149" s="550">
        <v>500</v>
      </c>
      <c r="I4149" s="550">
        <v>33875</v>
      </c>
      <c r="J4149" s="263">
        <f t="shared" si="227"/>
        <v>0.16490203237191189</v>
      </c>
      <c r="K4149" s="24">
        <v>2085</v>
      </c>
      <c r="L4149" s="6">
        <v>2102.5</v>
      </c>
      <c r="M4149" s="270">
        <f t="shared" si="228"/>
        <v>17.5</v>
      </c>
      <c r="P4149" s="448">
        <v>13990</v>
      </c>
      <c r="Q4149" s="28">
        <f>176.88/1072</f>
        <v>0.16500000000000001</v>
      </c>
      <c r="U4149" s="358">
        <v>0.1</v>
      </c>
      <c r="W4149" s="741">
        <f t="shared" si="232"/>
        <v>2539.1849999999999</v>
      </c>
    </row>
    <row r="4150" spans="1:23" ht="15" customHeight="1">
      <c r="A4150" s="551">
        <v>41682</v>
      </c>
      <c r="B4150" s="4">
        <f t="shared" si="231"/>
        <v>400</v>
      </c>
      <c r="C4150" s="4">
        <v>77300</v>
      </c>
      <c r="D4150" s="579">
        <v>2175</v>
      </c>
      <c r="E4150" s="579">
        <v>125050</v>
      </c>
      <c r="F4150" s="552">
        <v>204925</v>
      </c>
      <c r="G4150" s="552">
        <v>0</v>
      </c>
      <c r="H4150" s="552">
        <v>500</v>
      </c>
      <c r="I4150" s="552">
        <v>33375</v>
      </c>
      <c r="J4150" s="263">
        <f t="shared" si="227"/>
        <v>0.16286446260827131</v>
      </c>
      <c r="K4150" s="24">
        <v>2103.5</v>
      </c>
      <c r="L4150" s="6">
        <v>2125</v>
      </c>
      <c r="M4150" s="270">
        <f t="shared" si="228"/>
        <v>21.5</v>
      </c>
      <c r="P4150" s="448">
        <v>13990</v>
      </c>
      <c r="Q4150" s="28">
        <f>175.62/1064.7</f>
        <v>0.16494787264018032</v>
      </c>
      <c r="U4150" s="358">
        <v>0.1</v>
      </c>
      <c r="W4150" s="741">
        <f t="shared" si="232"/>
        <v>2538.382812059735</v>
      </c>
    </row>
    <row r="4151" spans="1:23" ht="15" customHeight="1">
      <c r="A4151" s="582">
        <v>41683</v>
      </c>
      <c r="B4151" s="583">
        <f t="shared" si="231"/>
        <v>400</v>
      </c>
      <c r="C4151" s="583">
        <v>77300</v>
      </c>
      <c r="D4151" s="584">
        <v>2175</v>
      </c>
      <c r="E4151" s="584">
        <v>124550</v>
      </c>
      <c r="F4151" s="584">
        <v>204425</v>
      </c>
      <c r="G4151" s="584">
        <v>0</v>
      </c>
      <c r="H4151" s="584">
        <v>500</v>
      </c>
      <c r="I4151" s="584">
        <v>33000</v>
      </c>
      <c r="J4151" s="597">
        <f t="shared" si="227"/>
        <v>0.16142839672251438</v>
      </c>
      <c r="K4151" s="586">
        <v>2105</v>
      </c>
      <c r="L4151" s="585">
        <v>2120</v>
      </c>
      <c r="M4151" s="598">
        <f t="shared" si="228"/>
        <v>15</v>
      </c>
      <c r="N4151" s="581"/>
      <c r="O4151" s="581"/>
      <c r="P4151" s="607">
        <v>13960</v>
      </c>
      <c r="Q4151" s="587">
        <v>0.16494787264018032</v>
      </c>
      <c r="R4151" s="581"/>
      <c r="S4151" s="581"/>
      <c r="T4151" s="581"/>
      <c r="U4151" s="600">
        <v>0.1</v>
      </c>
      <c r="V4151" s="581"/>
      <c r="W4151" s="741">
        <f t="shared" si="232"/>
        <v>2532.9395322626096</v>
      </c>
    </row>
    <row r="4152" spans="1:23" ht="15" customHeight="1">
      <c r="A4152" s="582">
        <v>41684</v>
      </c>
      <c r="B4152" s="583">
        <f t="shared" si="231"/>
        <v>400</v>
      </c>
      <c r="C4152" s="583">
        <v>77300</v>
      </c>
      <c r="D4152" s="584">
        <v>2175</v>
      </c>
      <c r="E4152" s="584">
        <v>124050</v>
      </c>
      <c r="F4152" s="584">
        <v>203925</v>
      </c>
      <c r="G4152" s="584">
        <v>0</v>
      </c>
      <c r="H4152" s="584">
        <v>500</v>
      </c>
      <c r="I4152" s="584">
        <v>32500</v>
      </c>
      <c r="J4152" s="597">
        <f t="shared" si="227"/>
        <v>0.15937231825426015</v>
      </c>
      <c r="K4152" s="586">
        <v>2123</v>
      </c>
      <c r="L4152" s="585">
        <v>2135.5</v>
      </c>
      <c r="M4152" s="598">
        <f t="shared" si="228"/>
        <v>12.5</v>
      </c>
      <c r="P4152" s="607">
        <v>13910</v>
      </c>
      <c r="Q4152" s="587">
        <f>175.03/1061.9</f>
        <v>0.16482719653451358</v>
      </c>
      <c r="R4152" s="581"/>
      <c r="S4152" s="581"/>
      <c r="T4152" s="581"/>
      <c r="U4152" s="600">
        <v>0.1</v>
      </c>
      <c r="V4152" s="581"/>
      <c r="W4152" s="741">
        <f t="shared" si="232"/>
        <v>2522.0209341745922</v>
      </c>
    </row>
    <row r="4153" spans="1:23" ht="15" customHeight="1">
      <c r="A4153" s="582">
        <v>41687</v>
      </c>
      <c r="B4153" s="583">
        <f t="shared" si="231"/>
        <v>400</v>
      </c>
      <c r="C4153" s="583">
        <v>77300</v>
      </c>
      <c r="D4153" s="584">
        <v>2175</v>
      </c>
      <c r="E4153" s="584">
        <v>123550</v>
      </c>
      <c r="F4153" s="584">
        <v>203425</v>
      </c>
      <c r="G4153" s="584">
        <v>0</v>
      </c>
      <c r="H4153" s="584">
        <v>500</v>
      </c>
      <c r="I4153" s="584">
        <v>35525</v>
      </c>
      <c r="J4153" s="597">
        <f t="shared" si="227"/>
        <v>0.17463438613739707</v>
      </c>
      <c r="K4153" s="586">
        <v>2131.5</v>
      </c>
      <c r="L4153" s="585">
        <v>2150</v>
      </c>
      <c r="M4153" s="598">
        <f t="shared" si="228"/>
        <v>18.5</v>
      </c>
      <c r="P4153" s="448">
        <v>13910</v>
      </c>
      <c r="Q4153" s="28">
        <f>174.88/1060.5</f>
        <v>0.16490334747760491</v>
      </c>
      <c r="U4153" s="600">
        <v>0.1</v>
      </c>
      <c r="W4153" s="741">
        <f t="shared" si="232"/>
        <v>2523.1861197548328</v>
      </c>
    </row>
    <row r="4154" spans="1:23" ht="15" customHeight="1">
      <c r="A4154" s="610">
        <v>41688</v>
      </c>
      <c r="B4154" s="583">
        <f t="shared" si="231"/>
        <v>400</v>
      </c>
      <c r="C4154" s="583">
        <v>77300</v>
      </c>
      <c r="D4154" s="609">
        <v>2175</v>
      </c>
      <c r="E4154" s="609">
        <v>123050</v>
      </c>
      <c r="F4154" s="609">
        <v>202925</v>
      </c>
      <c r="G4154" s="609">
        <v>0</v>
      </c>
      <c r="H4154" s="609">
        <v>500</v>
      </c>
      <c r="I4154" s="609">
        <v>35025</v>
      </c>
      <c r="J4154" s="597">
        <f t="shared" si="227"/>
        <v>0.17260071454971049</v>
      </c>
      <c r="K4154" s="586">
        <v>2132.5</v>
      </c>
      <c r="L4154" s="585">
        <v>2150</v>
      </c>
      <c r="M4154" s="598">
        <f t="shared" si="228"/>
        <v>17.5</v>
      </c>
      <c r="P4154" s="448">
        <v>13910</v>
      </c>
      <c r="Q4154" s="28">
        <f>175.38/1064.1</f>
        <v>0.16481533690442629</v>
      </c>
      <c r="U4154" s="600">
        <v>0.1</v>
      </c>
      <c r="W4154" s="741">
        <f t="shared" si="232"/>
        <v>2521.8394699746268</v>
      </c>
    </row>
    <row r="4155" spans="1:23" ht="15" customHeight="1">
      <c r="A4155" s="611">
        <v>41689</v>
      </c>
      <c r="B4155" s="583">
        <f t="shared" si="231"/>
        <v>-150</v>
      </c>
      <c r="C4155" s="583">
        <v>77300</v>
      </c>
      <c r="D4155" s="612">
        <v>2175</v>
      </c>
      <c r="E4155" s="612">
        <v>122550</v>
      </c>
      <c r="F4155" s="612">
        <v>201875</v>
      </c>
      <c r="G4155" s="5">
        <v>0</v>
      </c>
      <c r="H4155" s="5">
        <v>1050</v>
      </c>
      <c r="I4155" s="612">
        <v>33975</v>
      </c>
      <c r="J4155" s="597">
        <f t="shared" si="227"/>
        <v>0.16829721362229103</v>
      </c>
      <c r="K4155" s="586">
        <v>2155</v>
      </c>
      <c r="L4155" s="585">
        <v>2173</v>
      </c>
      <c r="M4155" s="598">
        <f t="shared" si="228"/>
        <v>18</v>
      </c>
      <c r="P4155" s="448">
        <v>13940</v>
      </c>
      <c r="Q4155" s="28">
        <f>175.61/1067.1</f>
        <v>0.16456751944522541</v>
      </c>
      <c r="U4155" s="600">
        <v>0.1</v>
      </c>
      <c r="W4155" s="741">
        <f t="shared" si="232"/>
        <v>2523.4783431730866</v>
      </c>
    </row>
    <row r="4156" spans="1:23" ht="15" customHeight="1">
      <c r="A4156" s="614">
        <v>41690</v>
      </c>
      <c r="B4156" s="583">
        <f t="shared" si="231"/>
        <v>0</v>
      </c>
      <c r="C4156" s="583">
        <v>76750</v>
      </c>
      <c r="D4156" s="613">
        <v>2175</v>
      </c>
      <c r="E4156" s="613">
        <v>122350</v>
      </c>
      <c r="F4156" s="613">
        <v>201275</v>
      </c>
      <c r="G4156" s="5">
        <v>0</v>
      </c>
      <c r="H4156" s="5">
        <v>600</v>
      </c>
      <c r="I4156" s="613">
        <v>33575</v>
      </c>
      <c r="J4156" s="597">
        <f t="shared" si="227"/>
        <v>0.16681157620171408</v>
      </c>
      <c r="K4156" s="586">
        <v>2124</v>
      </c>
      <c r="L4156" s="585">
        <v>2143</v>
      </c>
      <c r="M4156" s="598">
        <f t="shared" si="228"/>
        <v>19</v>
      </c>
      <c r="P4156" s="448">
        <v>13940</v>
      </c>
      <c r="Q4156" s="28">
        <f>176.2/1071.9</f>
        <v>0.16438100569082933</v>
      </c>
      <c r="U4156" s="600">
        <v>0.1</v>
      </c>
      <c r="W4156" s="741">
        <f t="shared" si="232"/>
        <v>2520.6183412631776</v>
      </c>
    </row>
    <row r="4157" spans="1:23" ht="15" customHeight="1">
      <c r="A4157" s="616">
        <v>41691</v>
      </c>
      <c r="B4157" s="583">
        <f>F4157-E4157-D4157-C447-C4157</f>
        <v>375</v>
      </c>
      <c r="C4157" s="583">
        <v>76350</v>
      </c>
      <c r="D4157" s="615">
        <v>2175</v>
      </c>
      <c r="E4157" s="615">
        <v>122450</v>
      </c>
      <c r="F4157" s="615">
        <v>201350</v>
      </c>
      <c r="G4157" s="5">
        <v>100</v>
      </c>
      <c r="H4157" s="5">
        <v>25</v>
      </c>
      <c r="I4157" s="615">
        <v>34150</v>
      </c>
      <c r="J4157" s="597">
        <f t="shared" si="227"/>
        <v>0.16960516513533647</v>
      </c>
      <c r="K4157" s="586">
        <v>2133</v>
      </c>
      <c r="L4157" s="585">
        <v>2154</v>
      </c>
      <c r="M4157" s="598">
        <f t="shared" si="228"/>
        <v>21</v>
      </c>
      <c r="P4157" s="448">
        <v>13920</v>
      </c>
      <c r="Q4157" s="28">
        <f>176.16/1073.1</f>
        <v>0.16415991053955831</v>
      </c>
      <c r="U4157" s="600">
        <v>0.1</v>
      </c>
      <c r="W4157" s="741">
        <f t="shared" si="232"/>
        <v>2513.6165501817168</v>
      </c>
    </row>
    <row r="4158" spans="1:23" ht="15" customHeight="1">
      <c r="A4158" s="617">
        <v>41694</v>
      </c>
      <c r="B4158" s="583">
        <f>F4158-E4158-D4158-C448-C4158</f>
        <v>400</v>
      </c>
      <c r="C4158" s="4">
        <v>76325</v>
      </c>
      <c r="D4158" s="5">
        <v>2175</v>
      </c>
      <c r="E4158" s="5">
        <v>122450</v>
      </c>
      <c r="F4158" s="618">
        <v>201350</v>
      </c>
      <c r="G4158" s="5">
        <v>0</v>
      </c>
      <c r="H4158" s="5">
        <v>0</v>
      </c>
      <c r="I4158" s="618">
        <v>34150</v>
      </c>
      <c r="J4158" s="597">
        <f t="shared" si="227"/>
        <v>0.16960516513533647</v>
      </c>
      <c r="K4158" s="586">
        <v>2102</v>
      </c>
      <c r="L4158" s="585">
        <v>2121</v>
      </c>
      <c r="M4158" s="598">
        <f t="shared" si="228"/>
        <v>19</v>
      </c>
      <c r="P4158" s="448">
        <v>13870</v>
      </c>
      <c r="Q4158" s="28">
        <f>176.49/1076.3</f>
        <v>0.16397844467156</v>
      </c>
      <c r="U4158" s="600">
        <v>0.1</v>
      </c>
      <c r="W4158" s="741">
        <f t="shared" si="232"/>
        <v>2501.8191303539911</v>
      </c>
    </row>
    <row r="4159" spans="1:23" ht="15" customHeight="1">
      <c r="A4159" s="619">
        <v>41695</v>
      </c>
      <c r="B4159" s="583">
        <f t="shared" ref="B4159:B4180" si="233">F4159-E4159-D4159-C449-C4159</f>
        <v>400</v>
      </c>
      <c r="C4159" s="4">
        <v>76325</v>
      </c>
      <c r="D4159" s="5">
        <v>2175</v>
      </c>
      <c r="E4159" s="5">
        <v>122450</v>
      </c>
      <c r="F4159" s="5">
        <v>201350</v>
      </c>
      <c r="G4159" s="5">
        <v>0</v>
      </c>
      <c r="H4159" s="5">
        <v>0</v>
      </c>
      <c r="I4159" s="5">
        <v>34150</v>
      </c>
      <c r="J4159" s="263">
        <f t="shared" si="227"/>
        <v>0.16960516513533647</v>
      </c>
      <c r="K4159" s="24">
        <v>2112</v>
      </c>
      <c r="L4159" s="6">
        <v>2132</v>
      </c>
      <c r="M4159" s="598">
        <f t="shared" si="228"/>
        <v>20</v>
      </c>
      <c r="P4159" s="448">
        <v>13870</v>
      </c>
      <c r="Q4159" s="28">
        <f>174.8/1070.6</f>
        <v>0.16327293106669161</v>
      </c>
      <c r="U4159" s="600">
        <v>0.1</v>
      </c>
      <c r="W4159" s="741">
        <f t="shared" si="232"/>
        <v>2491.0551092845139</v>
      </c>
    </row>
    <row r="4160" spans="1:23" ht="15" customHeight="1">
      <c r="A4160" s="621">
        <v>41696</v>
      </c>
      <c r="B4160" s="583">
        <f t="shared" si="233"/>
        <v>-50</v>
      </c>
      <c r="C4160" s="583">
        <v>76325</v>
      </c>
      <c r="D4160" s="620">
        <v>2175</v>
      </c>
      <c r="E4160" s="620">
        <v>124125</v>
      </c>
      <c r="F4160" s="620">
        <v>202575</v>
      </c>
      <c r="G4160" s="620">
        <v>1675</v>
      </c>
      <c r="H4160" s="620">
        <v>450</v>
      </c>
      <c r="I4160" s="620">
        <v>33700</v>
      </c>
      <c r="J4160" s="597">
        <f t="shared" si="227"/>
        <v>0.1663581389608787</v>
      </c>
      <c r="K4160" s="586">
        <v>2110</v>
      </c>
      <c r="L4160" s="585">
        <v>2130.5</v>
      </c>
      <c r="M4160" s="598">
        <f t="shared" si="228"/>
        <v>20.5</v>
      </c>
      <c r="P4160" s="448">
        <v>13840</v>
      </c>
      <c r="Q4160" s="28">
        <f>174.68/1069.9</f>
        <v>0.16326759510234601</v>
      </c>
      <c r="U4160" s="600">
        <v>0.1</v>
      </c>
      <c r="W4160" s="741">
        <f t="shared" si="232"/>
        <v>2485.585867838116</v>
      </c>
    </row>
    <row r="4161" spans="1:23" ht="15" customHeight="1">
      <c r="A4161" s="623">
        <v>41697</v>
      </c>
      <c r="B4161" s="583">
        <f t="shared" si="233"/>
        <v>250</v>
      </c>
      <c r="C4161" s="583">
        <v>75875</v>
      </c>
      <c r="D4161" s="622">
        <v>2175</v>
      </c>
      <c r="E4161" s="622">
        <v>124125</v>
      </c>
      <c r="F4161" s="622">
        <v>202425</v>
      </c>
      <c r="G4161" s="622">
        <v>0</v>
      </c>
      <c r="H4161" s="622">
        <v>150</v>
      </c>
      <c r="I4161" s="626">
        <v>33575</v>
      </c>
      <c r="J4161" s="597">
        <f t="shared" si="227"/>
        <v>0.16586390020995431</v>
      </c>
      <c r="K4161" s="586">
        <v>2099</v>
      </c>
      <c r="L4161" s="585">
        <v>2117</v>
      </c>
      <c r="M4161" s="598">
        <f t="shared" si="228"/>
        <v>18</v>
      </c>
      <c r="P4161" s="607">
        <v>13840</v>
      </c>
      <c r="Q4161" s="587">
        <f>174.22/1067.7</f>
        <v>0.16317317598576378</v>
      </c>
      <c r="R4161" s="587"/>
      <c r="S4161" s="587"/>
      <c r="T4161" s="587"/>
      <c r="U4161" s="600">
        <v>0.1</v>
      </c>
      <c r="W4161" s="741">
        <f t="shared" si="232"/>
        <v>2484.148431207268</v>
      </c>
    </row>
    <row r="4162" spans="1:23" ht="15" customHeight="1">
      <c r="A4162" s="623">
        <v>41698</v>
      </c>
      <c r="B4162" s="583">
        <f t="shared" si="233"/>
        <v>200</v>
      </c>
      <c r="C4162" s="583">
        <v>75725</v>
      </c>
      <c r="D4162" s="625">
        <v>2175</v>
      </c>
      <c r="E4162" s="625">
        <v>124125</v>
      </c>
      <c r="F4162" s="622">
        <v>202225</v>
      </c>
      <c r="G4162" s="5">
        <v>0</v>
      </c>
      <c r="H4162" s="5">
        <v>200</v>
      </c>
      <c r="I4162" s="622">
        <v>33375</v>
      </c>
      <c r="J4162" s="597">
        <f t="shared" si="227"/>
        <v>0.16503894177277784</v>
      </c>
      <c r="K4162" s="586">
        <v>2115.5</v>
      </c>
      <c r="L4162" s="585">
        <v>2137</v>
      </c>
      <c r="M4162" s="598">
        <f t="shared" si="228"/>
        <v>21.5</v>
      </c>
      <c r="N4162" s="420">
        <f>AVERAGE(K4143:K4162)</f>
        <v>2110.4749999999999</v>
      </c>
      <c r="O4162" s="410">
        <f>AVERAGE(K4120:K4162)</f>
        <v>2130.5952380952381</v>
      </c>
      <c r="P4162" s="448">
        <v>13840</v>
      </c>
      <c r="Q4162" s="587">
        <f>173.51/1066.2</f>
        <v>0.1627368223597824</v>
      </c>
      <c r="U4162" s="600">
        <v>0.1</v>
      </c>
      <c r="W4162" s="741">
        <f t="shared" ref="W4162:W4183" si="234">(P4162*Q4162)*(1+U4162)</f>
        <v>2477.5053836053271</v>
      </c>
    </row>
    <row r="4163" spans="1:23" ht="15" customHeight="1" thickBot="1">
      <c r="A4163" s="392"/>
      <c r="B4163" s="995"/>
      <c r="C4163" s="995"/>
      <c r="D4163" s="995"/>
      <c r="E4163" s="995"/>
      <c r="F4163" s="392"/>
      <c r="G4163" s="332"/>
      <c r="H4163" s="332"/>
      <c r="I4163" s="332"/>
      <c r="J4163" s="334"/>
      <c r="K4163" s="334"/>
      <c r="L4163" s="335"/>
      <c r="M4163" s="336"/>
      <c r="N4163" s="337"/>
      <c r="O4163" s="353"/>
      <c r="P4163" s="350"/>
      <c r="Q4163" s="299"/>
      <c r="R4163" s="453"/>
      <c r="S4163" s="454"/>
      <c r="T4163" s="454"/>
      <c r="U4163" s="302"/>
      <c r="V4163" s="298">
        <f>AVERAGE(P4143:P4162)</f>
        <v>13919.375</v>
      </c>
      <c r="W4163" s="751"/>
    </row>
    <row r="4164" spans="1:23" ht="15" customHeight="1">
      <c r="A4164" s="3">
        <v>41701</v>
      </c>
      <c r="B4164" s="583">
        <f t="shared" si="233"/>
        <v>250</v>
      </c>
      <c r="C4164" s="583">
        <v>75525</v>
      </c>
      <c r="D4164" s="635">
        <v>2175</v>
      </c>
      <c r="E4164" s="635">
        <v>124825</v>
      </c>
      <c r="F4164" s="635">
        <v>202775</v>
      </c>
      <c r="G4164" s="5">
        <v>700</v>
      </c>
      <c r="H4164" s="5">
        <v>150</v>
      </c>
      <c r="I4164" s="635">
        <v>33225</v>
      </c>
      <c r="J4164" s="597">
        <f t="shared" si="227"/>
        <v>0.16385155961040562</v>
      </c>
      <c r="K4164" s="586">
        <v>2081</v>
      </c>
      <c r="L4164" s="585">
        <v>2105</v>
      </c>
      <c r="M4164" s="598">
        <f t="shared" si="228"/>
        <v>24</v>
      </c>
      <c r="P4164" s="448">
        <v>13790</v>
      </c>
      <c r="Q4164" s="28">
        <f>174.94/1071.9</f>
        <v>0.16320552290325588</v>
      </c>
      <c r="U4164" s="600">
        <v>0.1</v>
      </c>
      <c r="W4164" s="741">
        <f t="shared" si="234"/>
        <v>2475.6645769194888</v>
      </c>
    </row>
    <row r="4165" spans="1:23" ht="15" customHeight="1">
      <c r="A4165" s="637">
        <v>41702</v>
      </c>
      <c r="B4165" s="583">
        <f t="shared" si="233"/>
        <v>400</v>
      </c>
      <c r="C4165" s="583">
        <v>75375</v>
      </c>
      <c r="D4165" s="640">
        <v>2175</v>
      </c>
      <c r="E4165" s="640">
        <v>124825</v>
      </c>
      <c r="F4165" s="640">
        <v>202775</v>
      </c>
      <c r="G4165" s="5">
        <v>0</v>
      </c>
      <c r="H4165" s="5">
        <v>0</v>
      </c>
      <c r="I4165" s="640">
        <v>33225</v>
      </c>
      <c r="J4165" s="597">
        <f t="shared" si="227"/>
        <v>0.16385155961040562</v>
      </c>
      <c r="K4165" s="586">
        <v>2102.5</v>
      </c>
      <c r="L4165" s="585">
        <v>2125</v>
      </c>
      <c r="M4165" s="598">
        <f t="shared" si="228"/>
        <v>22.5</v>
      </c>
      <c r="P4165" s="448">
        <v>13790</v>
      </c>
      <c r="Q4165" s="28">
        <f>174.82/1072</f>
        <v>0.16307835820895522</v>
      </c>
      <c r="U4165" s="600">
        <v>0.1</v>
      </c>
      <c r="W4165" s="741">
        <f t="shared" si="234"/>
        <v>2473.7356156716419</v>
      </c>
    </row>
    <row r="4166" spans="1:23" ht="15" customHeight="1">
      <c r="A4166" s="642">
        <v>41703</v>
      </c>
      <c r="B4166" s="583">
        <f t="shared" si="233"/>
        <v>275</v>
      </c>
      <c r="C4166" s="583">
        <v>75375</v>
      </c>
      <c r="D4166" s="641">
        <v>2175</v>
      </c>
      <c r="E4166" s="641">
        <v>124825</v>
      </c>
      <c r="F4166" s="641">
        <v>202650</v>
      </c>
      <c r="G4166" s="5">
        <v>0</v>
      </c>
      <c r="H4166" s="5">
        <v>125</v>
      </c>
      <c r="I4166" s="641">
        <v>33100</v>
      </c>
      <c r="J4166" s="597">
        <f t="shared" si="227"/>
        <v>0.16333580064150013</v>
      </c>
      <c r="K4166" s="586">
        <v>2123.5</v>
      </c>
      <c r="L4166" s="585">
        <v>2150</v>
      </c>
      <c r="M4166" s="598">
        <f t="shared" si="228"/>
        <v>26.5</v>
      </c>
      <c r="P4166" s="607">
        <v>13810</v>
      </c>
      <c r="Q4166" s="28">
        <f>174.82/1070.6</f>
        <v>0.16329161218008595</v>
      </c>
      <c r="U4166" s="600">
        <v>0.1</v>
      </c>
      <c r="W4166" s="741">
        <f t="shared" si="234"/>
        <v>2480.5628806276854</v>
      </c>
    </row>
    <row r="4167" spans="1:23" ht="15" customHeight="1">
      <c r="A4167" s="643">
        <v>41704</v>
      </c>
      <c r="B4167" s="583">
        <f t="shared" si="233"/>
        <v>1725</v>
      </c>
      <c r="C4167" s="583">
        <v>75250</v>
      </c>
      <c r="D4167" s="644">
        <v>2175</v>
      </c>
      <c r="E4167" s="644">
        <v>124825</v>
      </c>
      <c r="F4167" s="644">
        <v>203975</v>
      </c>
      <c r="G4167" s="644">
        <v>1325</v>
      </c>
      <c r="H4167" s="5">
        <v>0</v>
      </c>
      <c r="I4167" s="644">
        <v>32900</v>
      </c>
      <c r="J4167" s="597">
        <f t="shared" si="227"/>
        <v>0.1612942762593455</v>
      </c>
      <c r="K4167" s="586">
        <v>2105</v>
      </c>
      <c r="L4167" s="585">
        <v>2131.5</v>
      </c>
      <c r="M4167" s="598">
        <f t="shared" si="228"/>
        <v>26.5</v>
      </c>
      <c r="P4167" s="607">
        <v>13790</v>
      </c>
      <c r="Q4167" s="28">
        <f>174.97/1067.4</f>
        <v>0.16392167884579351</v>
      </c>
      <c r="U4167" s="600">
        <v>0.1</v>
      </c>
      <c r="W4167" s="741">
        <f t="shared" si="234"/>
        <v>2486.5279464118421</v>
      </c>
    </row>
    <row r="4168" spans="1:23" ht="15" customHeight="1">
      <c r="A4168" s="646">
        <v>41705</v>
      </c>
      <c r="B4168" s="583">
        <f t="shared" si="233"/>
        <v>400</v>
      </c>
      <c r="C4168" s="583">
        <v>76575</v>
      </c>
      <c r="D4168" s="647">
        <v>2175</v>
      </c>
      <c r="E4168" s="647">
        <v>124825</v>
      </c>
      <c r="F4168" s="5">
        <v>203975</v>
      </c>
      <c r="G4168" s="5">
        <v>0</v>
      </c>
      <c r="H4168" s="5">
        <v>0</v>
      </c>
      <c r="I4168" s="645">
        <v>32900</v>
      </c>
      <c r="J4168" s="597">
        <f t="shared" si="227"/>
        <v>0.1612942762593455</v>
      </c>
      <c r="K4168" s="586">
        <v>2084.5</v>
      </c>
      <c r="L4168" s="585">
        <v>2112</v>
      </c>
      <c r="M4168" s="598">
        <f t="shared" si="228"/>
        <v>27.5</v>
      </c>
      <c r="P4168" s="607">
        <v>13760</v>
      </c>
      <c r="Q4168" s="28">
        <f>173.91/1062.6</f>
        <v>0.16366459627329194</v>
      </c>
      <c r="U4168" s="600">
        <v>0.1</v>
      </c>
      <c r="W4168" s="741">
        <f t="shared" si="234"/>
        <v>2477.2273291925471</v>
      </c>
    </row>
    <row r="4169" spans="1:23" ht="15" customHeight="1">
      <c r="A4169" s="649">
        <v>41708</v>
      </c>
      <c r="B4169" s="583">
        <f t="shared" si="233"/>
        <v>400</v>
      </c>
      <c r="C4169" s="583">
        <v>76575</v>
      </c>
      <c r="D4169" s="650">
        <v>2175</v>
      </c>
      <c r="E4169" s="650">
        <v>124650</v>
      </c>
      <c r="F4169" s="650">
        <v>203800</v>
      </c>
      <c r="G4169" s="5">
        <v>0</v>
      </c>
      <c r="H4169" s="5">
        <v>175</v>
      </c>
      <c r="I4169" s="650">
        <v>32725</v>
      </c>
      <c r="J4169" s="597">
        <f t="shared" si="227"/>
        <v>0.16057409224730126</v>
      </c>
      <c r="K4169" s="586">
        <v>2039</v>
      </c>
      <c r="L4169" s="585">
        <v>2067</v>
      </c>
      <c r="M4169" s="598">
        <f t="shared" si="228"/>
        <v>28</v>
      </c>
      <c r="P4169" s="607">
        <v>13640</v>
      </c>
      <c r="Q4169" s="28">
        <f>173.68/1065.9</f>
        <v>0.16294211464490102</v>
      </c>
      <c r="U4169" s="600">
        <v>0.1</v>
      </c>
      <c r="W4169" s="741">
        <f t="shared" si="234"/>
        <v>2444.783488132095</v>
      </c>
    </row>
    <row r="4170" spans="1:23" ht="15" customHeight="1">
      <c r="A4170" s="652">
        <v>41709</v>
      </c>
      <c r="B4170" s="583">
        <f t="shared" si="233"/>
        <v>400</v>
      </c>
      <c r="C4170" s="583">
        <v>76575</v>
      </c>
      <c r="D4170" s="651">
        <v>2175</v>
      </c>
      <c r="E4170" s="651">
        <v>124175</v>
      </c>
      <c r="F4170" s="651">
        <v>203325</v>
      </c>
      <c r="G4170" s="5">
        <v>0</v>
      </c>
      <c r="H4170" s="5">
        <v>475</v>
      </c>
      <c r="I4170" s="651">
        <v>32300</v>
      </c>
      <c r="J4170" s="597">
        <f t="shared" si="227"/>
        <v>0.15885896962990287</v>
      </c>
      <c r="K4170" s="586">
        <v>2079</v>
      </c>
      <c r="L4170" s="585">
        <v>2106</v>
      </c>
      <c r="M4170" s="598">
        <f t="shared" si="228"/>
        <v>27</v>
      </c>
      <c r="P4170" s="607">
        <v>13690</v>
      </c>
      <c r="Q4170" s="28">
        <f>173.34/1064.8</f>
        <v>0.16279113448534938</v>
      </c>
      <c r="U4170" s="600">
        <v>0.1</v>
      </c>
      <c r="W4170" s="741">
        <f t="shared" si="234"/>
        <v>2451.4716942148762</v>
      </c>
    </row>
    <row r="4171" spans="1:23" ht="15" customHeight="1">
      <c r="A4171" s="654">
        <v>41710</v>
      </c>
      <c r="B4171" s="583">
        <f t="shared" si="233"/>
        <v>400</v>
      </c>
      <c r="C4171" s="583">
        <v>76575</v>
      </c>
      <c r="D4171" s="653">
        <v>2175</v>
      </c>
      <c r="E4171" s="653">
        <v>123950</v>
      </c>
      <c r="F4171" s="653">
        <v>203100</v>
      </c>
      <c r="G4171" s="653">
        <v>0</v>
      </c>
      <c r="H4171" s="653">
        <v>225</v>
      </c>
      <c r="I4171" s="653">
        <v>32175</v>
      </c>
      <c r="J4171" s="597">
        <f t="shared" si="227"/>
        <v>0.15841949778434269</v>
      </c>
      <c r="K4171" s="586">
        <v>2022</v>
      </c>
      <c r="L4171" s="585">
        <v>2047</v>
      </c>
      <c r="M4171" s="598">
        <f t="shared" si="228"/>
        <v>25</v>
      </c>
      <c r="P4171" s="607">
        <v>13660</v>
      </c>
      <c r="Q4171" s="28">
        <f>174.1/1069.2</f>
        <v>0.16283202394313503</v>
      </c>
      <c r="U4171" s="600">
        <v>0.1</v>
      </c>
      <c r="W4171" s="741">
        <f t="shared" si="234"/>
        <v>2446.7139917695472</v>
      </c>
    </row>
    <row r="4172" spans="1:23" ht="15" customHeight="1">
      <c r="A4172" s="656">
        <v>41711</v>
      </c>
      <c r="B4172" s="583">
        <f t="shared" si="233"/>
        <v>400</v>
      </c>
      <c r="C4172" s="583">
        <v>76575</v>
      </c>
      <c r="D4172" s="655">
        <v>2175</v>
      </c>
      <c r="E4172" s="655">
        <v>123250</v>
      </c>
      <c r="F4172" s="655">
        <v>202400</v>
      </c>
      <c r="G4172" s="5">
        <v>0</v>
      </c>
      <c r="H4172" s="5">
        <v>700</v>
      </c>
      <c r="I4172" s="655">
        <v>31475</v>
      </c>
      <c r="J4172" s="597">
        <f t="shared" si="227"/>
        <v>0.15550889328063242</v>
      </c>
      <c r="K4172" s="586">
        <v>2008</v>
      </c>
      <c r="L4172" s="585">
        <v>2033</v>
      </c>
      <c r="M4172" s="598">
        <f t="shared" si="228"/>
        <v>25</v>
      </c>
      <c r="P4172" s="607">
        <v>13660</v>
      </c>
      <c r="Q4172" s="28">
        <f>173.8/1067.4</f>
        <v>0.16282555742926738</v>
      </c>
      <c r="U4172" s="600">
        <v>0.1</v>
      </c>
      <c r="W4172" s="741">
        <f t="shared" si="234"/>
        <v>2446.6168259321721</v>
      </c>
    </row>
    <row r="4173" spans="1:23" ht="15" customHeight="1">
      <c r="A4173" s="658">
        <v>41712</v>
      </c>
      <c r="B4173" s="583">
        <f t="shared" si="233"/>
        <v>400</v>
      </c>
      <c r="C4173" s="583">
        <v>76575</v>
      </c>
      <c r="D4173" s="659">
        <v>2175</v>
      </c>
      <c r="E4173" s="659">
        <v>122700</v>
      </c>
      <c r="F4173" s="657">
        <v>201850</v>
      </c>
      <c r="G4173" s="5">
        <v>0</v>
      </c>
      <c r="H4173" s="5">
        <v>550</v>
      </c>
      <c r="I4173" s="657">
        <v>30925</v>
      </c>
      <c r="J4173" s="597">
        <f t="shared" si="227"/>
        <v>0.15320782759474857</v>
      </c>
      <c r="K4173" s="586">
        <v>2018</v>
      </c>
      <c r="L4173" s="585">
        <v>2037</v>
      </c>
      <c r="M4173" s="598">
        <f t="shared" si="228"/>
        <v>19</v>
      </c>
      <c r="P4173" s="607">
        <v>13640</v>
      </c>
      <c r="Q4173" s="28">
        <f>174.2/1072</f>
        <v>0.16249999999999998</v>
      </c>
      <c r="U4173" s="600">
        <v>0.1</v>
      </c>
      <c r="W4173" s="741">
        <f t="shared" si="234"/>
        <v>2438.1499999999996</v>
      </c>
    </row>
    <row r="4174" spans="1:23" ht="15" customHeight="1">
      <c r="A4174" s="660">
        <v>41715</v>
      </c>
      <c r="B4174" s="583">
        <f t="shared" si="233"/>
        <v>1150</v>
      </c>
      <c r="C4174" s="583">
        <v>76575</v>
      </c>
      <c r="D4174" s="661">
        <v>2175</v>
      </c>
      <c r="E4174" s="661">
        <v>122175</v>
      </c>
      <c r="F4174" s="661">
        <v>202075</v>
      </c>
      <c r="G4174" s="5">
        <v>750</v>
      </c>
      <c r="H4174" s="5">
        <v>525</v>
      </c>
      <c r="I4174" s="661">
        <v>30400</v>
      </c>
      <c r="J4174" s="597">
        <f t="shared" si="227"/>
        <v>0.15043919336879871</v>
      </c>
      <c r="K4174" s="586">
        <v>2035.5</v>
      </c>
      <c r="L4174" s="585">
        <v>2053</v>
      </c>
      <c r="M4174" s="598">
        <f t="shared" si="228"/>
        <v>17.5</v>
      </c>
      <c r="P4174" s="607">
        <v>13640</v>
      </c>
      <c r="Q4174" s="28">
        <f>173.66/1069.9</f>
        <v>0.16231423497523131</v>
      </c>
      <c r="U4174" s="600">
        <v>0.1</v>
      </c>
      <c r="W4174" s="741">
        <f t="shared" si="234"/>
        <v>2435.3627815683708</v>
      </c>
    </row>
    <row r="4175" spans="1:23" ht="15" customHeight="1">
      <c r="A4175" s="662">
        <v>41716</v>
      </c>
      <c r="B4175" s="583">
        <f t="shared" si="233"/>
        <v>400</v>
      </c>
      <c r="C4175" s="583">
        <v>77325</v>
      </c>
      <c r="D4175" s="663">
        <v>2175</v>
      </c>
      <c r="E4175" s="663">
        <v>121775</v>
      </c>
      <c r="F4175" s="663">
        <v>201675</v>
      </c>
      <c r="G4175" s="5">
        <v>0</v>
      </c>
      <c r="H4175" s="5">
        <v>400</v>
      </c>
      <c r="I4175" s="663">
        <v>30000</v>
      </c>
      <c r="J4175" s="597">
        <f t="shared" si="227"/>
        <v>0.14875418371141688</v>
      </c>
      <c r="K4175" s="586">
        <v>2027</v>
      </c>
      <c r="L4175" s="585">
        <v>2051</v>
      </c>
      <c r="M4175" s="598">
        <f t="shared" si="228"/>
        <v>24</v>
      </c>
      <c r="P4175" s="607">
        <v>13640</v>
      </c>
      <c r="Q4175" s="28">
        <f>172.87/1067.9</f>
        <v>0.16187845303867401</v>
      </c>
      <c r="U4175" s="600">
        <v>0.1</v>
      </c>
      <c r="W4175" s="741">
        <f t="shared" si="234"/>
        <v>2428.8243093922651</v>
      </c>
    </row>
    <row r="4176" spans="1:23" ht="15" customHeight="1">
      <c r="A4176" s="665">
        <v>41717</v>
      </c>
      <c r="B4176" s="583">
        <f t="shared" si="233"/>
        <v>50</v>
      </c>
      <c r="C4176" s="583">
        <v>77325</v>
      </c>
      <c r="D4176" s="664">
        <v>2175</v>
      </c>
      <c r="E4176" s="664">
        <v>121500</v>
      </c>
      <c r="F4176" s="664">
        <v>201050</v>
      </c>
      <c r="G4176" s="5">
        <v>0</v>
      </c>
      <c r="H4176" s="5">
        <v>625</v>
      </c>
      <c r="I4176" s="664">
        <v>29375</v>
      </c>
      <c r="J4176" s="597">
        <f t="shared" si="227"/>
        <v>0.14610793334991296</v>
      </c>
      <c r="K4176" s="586">
        <v>2035.5</v>
      </c>
      <c r="L4176" s="585">
        <v>2061</v>
      </c>
      <c r="M4176" s="598">
        <f t="shared" si="228"/>
        <v>25.5</v>
      </c>
      <c r="P4176" s="607">
        <v>13660</v>
      </c>
      <c r="Q4176" s="28">
        <f>173.01/1070.7</f>
        <v>0.16158587839731015</v>
      </c>
      <c r="U4176" s="600">
        <v>0.1</v>
      </c>
      <c r="W4176" s="741">
        <f t="shared" si="234"/>
        <v>2427.9894087979828</v>
      </c>
    </row>
    <row r="4177" spans="1:23" ht="15" customHeight="1">
      <c r="A4177" s="666">
        <v>41718</v>
      </c>
      <c r="B4177" s="583">
        <f t="shared" si="233"/>
        <v>400</v>
      </c>
      <c r="C4177" s="583">
        <v>76975</v>
      </c>
      <c r="D4177" s="667">
        <v>2175</v>
      </c>
      <c r="E4177" s="667">
        <v>121150</v>
      </c>
      <c r="F4177" s="667">
        <v>200700</v>
      </c>
      <c r="G4177" s="5">
        <v>0</v>
      </c>
      <c r="H4177" s="5">
        <v>350</v>
      </c>
      <c r="I4177" s="667">
        <v>29025</v>
      </c>
      <c r="J4177" s="597">
        <f t="shared" si="227"/>
        <v>0.14461883408071749</v>
      </c>
      <c r="K4177" s="586">
        <v>2046</v>
      </c>
      <c r="L4177" s="585">
        <v>2070</v>
      </c>
      <c r="M4177" s="598">
        <f t="shared" si="228"/>
        <v>24</v>
      </c>
      <c r="P4177" s="607">
        <v>13690</v>
      </c>
      <c r="Q4177" s="28">
        <f>173.24/1075.3</f>
        <v>0.16110852785269228</v>
      </c>
      <c r="U4177" s="600">
        <v>0.1</v>
      </c>
      <c r="W4177" s="741">
        <f t="shared" si="234"/>
        <v>2426.1333209336935</v>
      </c>
    </row>
    <row r="4178" spans="1:23" ht="15" customHeight="1">
      <c r="A4178" s="670">
        <v>41719</v>
      </c>
      <c r="B4178" s="583">
        <f t="shared" si="233"/>
        <v>400</v>
      </c>
      <c r="C4178" s="583">
        <v>76975</v>
      </c>
      <c r="D4178" s="671">
        <v>2175</v>
      </c>
      <c r="E4178" s="671">
        <v>121150</v>
      </c>
      <c r="F4178" s="669">
        <v>200700</v>
      </c>
      <c r="G4178" s="5">
        <v>0</v>
      </c>
      <c r="H4178" s="5">
        <v>0</v>
      </c>
      <c r="I4178" s="669">
        <v>29150</v>
      </c>
      <c r="J4178" s="597">
        <f t="shared" si="227"/>
        <v>0.14524165421026408</v>
      </c>
      <c r="K4178" s="586">
        <v>2061</v>
      </c>
      <c r="L4178" s="585">
        <v>2083.5</v>
      </c>
      <c r="M4178" s="598">
        <f t="shared" si="228"/>
        <v>22.5</v>
      </c>
      <c r="P4178" s="607">
        <v>13690</v>
      </c>
      <c r="Q4178" s="28">
        <f>174.33/1080.3</f>
        <v>0.16137184115523467</v>
      </c>
      <c r="U4178" s="600">
        <v>0.1</v>
      </c>
      <c r="W4178" s="741">
        <f t="shared" si="234"/>
        <v>2430.0985559566793</v>
      </c>
    </row>
    <row r="4179" spans="1:23" ht="15" customHeight="1">
      <c r="A4179" s="672">
        <v>41722</v>
      </c>
      <c r="B4179" s="583">
        <f t="shared" si="233"/>
        <v>400</v>
      </c>
      <c r="C4179" s="583">
        <v>76975</v>
      </c>
      <c r="D4179" s="673">
        <v>2175</v>
      </c>
      <c r="E4179" s="673">
        <v>121150</v>
      </c>
      <c r="F4179" s="673">
        <v>200700</v>
      </c>
      <c r="G4179" s="5">
        <v>0</v>
      </c>
      <c r="H4179" s="5">
        <v>0</v>
      </c>
      <c r="I4179" s="673">
        <v>29150</v>
      </c>
      <c r="J4179" s="597">
        <f t="shared" si="227"/>
        <v>0.14524165421026408</v>
      </c>
      <c r="K4179" s="586">
        <v>2049.5</v>
      </c>
      <c r="L4179" s="585">
        <v>2072</v>
      </c>
      <c r="M4179" s="598">
        <f t="shared" si="228"/>
        <v>22.5</v>
      </c>
      <c r="P4179" s="607">
        <v>13690</v>
      </c>
      <c r="Q4179" s="28">
        <f>174.65/1079.7</f>
        <v>0.16175789571177179</v>
      </c>
      <c r="U4179" s="600">
        <v>0.1</v>
      </c>
      <c r="W4179" s="741">
        <f t="shared" si="234"/>
        <v>2435.912151523572</v>
      </c>
    </row>
    <row r="4180" spans="1:23" ht="15" customHeight="1">
      <c r="A4180" s="675">
        <v>41723</v>
      </c>
      <c r="B4180" s="583">
        <f t="shared" si="233"/>
        <v>400</v>
      </c>
      <c r="C4180" s="583">
        <v>76975</v>
      </c>
      <c r="D4180" s="676">
        <v>2175</v>
      </c>
      <c r="E4180" s="676">
        <v>121150</v>
      </c>
      <c r="F4180" s="676">
        <v>200700</v>
      </c>
      <c r="G4180" s="674">
        <v>0</v>
      </c>
      <c r="H4180" s="674">
        <v>0</v>
      </c>
      <c r="I4180" s="674">
        <v>29150</v>
      </c>
      <c r="J4180" s="597">
        <f t="shared" si="227"/>
        <v>0.14524165421026408</v>
      </c>
      <c r="K4180" s="586">
        <v>2059</v>
      </c>
      <c r="L4180" s="585">
        <v>2087</v>
      </c>
      <c r="M4180" s="598">
        <f t="shared" si="228"/>
        <v>28</v>
      </c>
      <c r="P4180" s="607">
        <v>13690</v>
      </c>
      <c r="Q4180" s="28">
        <f>174.34/1078.2</f>
        <v>0.16169541828974215</v>
      </c>
      <c r="U4180" s="600">
        <v>0.1</v>
      </c>
      <c r="W4180" s="741">
        <f t="shared" si="234"/>
        <v>2434.9713040252273</v>
      </c>
    </row>
    <row r="4181" spans="1:23" ht="15" customHeight="1">
      <c r="A4181" s="677">
        <v>41724</v>
      </c>
      <c r="B4181" s="583">
        <f>F4181-E4181-D4181-C471-C4181</f>
        <v>400</v>
      </c>
      <c r="C4181" s="583">
        <v>76975</v>
      </c>
      <c r="D4181" s="678">
        <v>2175</v>
      </c>
      <c r="E4181" s="678">
        <v>121075</v>
      </c>
      <c r="F4181" s="678">
        <v>200625</v>
      </c>
      <c r="G4181" s="5">
        <v>0</v>
      </c>
      <c r="H4181" s="5">
        <v>75</v>
      </c>
      <c r="I4181" s="678">
        <v>30575</v>
      </c>
      <c r="J4181" s="597">
        <f t="shared" si="227"/>
        <v>0.152398753894081</v>
      </c>
      <c r="K4181" s="586">
        <v>2065</v>
      </c>
      <c r="L4181" s="585">
        <v>2089</v>
      </c>
      <c r="M4181" s="598">
        <f t="shared" si="228"/>
        <v>24</v>
      </c>
      <c r="P4181" s="607">
        <v>13720</v>
      </c>
      <c r="Q4181" s="28">
        <f>173.51/1076.3</f>
        <v>0.16120969989779801</v>
      </c>
      <c r="U4181" s="600">
        <v>0.1</v>
      </c>
      <c r="W4181" s="741">
        <f t="shared" si="234"/>
        <v>2432.9767908575677</v>
      </c>
    </row>
    <row r="4182" spans="1:23" ht="15" customHeight="1">
      <c r="A4182" s="679">
        <v>41725</v>
      </c>
      <c r="B4182" s="583">
        <f>F4182-E4182-D4182-C472-C4182</f>
        <v>175</v>
      </c>
      <c r="C4182" s="4">
        <v>76975</v>
      </c>
      <c r="D4182" s="5">
        <v>2175</v>
      </c>
      <c r="E4182" s="5">
        <v>121075</v>
      </c>
      <c r="F4182" s="5">
        <v>200400</v>
      </c>
      <c r="G4182" s="5">
        <v>0</v>
      </c>
      <c r="H4182" s="5">
        <v>225</v>
      </c>
      <c r="I4182" s="5">
        <v>30350</v>
      </c>
      <c r="J4182" s="263">
        <f t="shared" si="227"/>
        <v>0.15144710578842316</v>
      </c>
      <c r="K4182" s="24">
        <v>2043.5</v>
      </c>
      <c r="L4182" s="6">
        <v>2064</v>
      </c>
      <c r="M4182" s="598">
        <f t="shared" si="228"/>
        <v>20.5</v>
      </c>
      <c r="P4182" s="607">
        <v>13720</v>
      </c>
      <c r="Q4182" s="28">
        <f>172.81/1072.8</f>
        <v>0.16108314690529457</v>
      </c>
      <c r="U4182" s="600">
        <v>0.1</v>
      </c>
      <c r="W4182" s="741">
        <f t="shared" si="234"/>
        <v>2431.0668530947055</v>
      </c>
    </row>
    <row r="4183" spans="1:23" ht="15" customHeight="1">
      <c r="A4183" s="682">
        <v>41726</v>
      </c>
      <c r="B4183" s="583">
        <f>F4183-E4183-D4183-C473-C4183</f>
        <v>400</v>
      </c>
      <c r="C4183" s="583">
        <v>76750</v>
      </c>
      <c r="D4183" s="681">
        <v>2175</v>
      </c>
      <c r="E4183" s="681">
        <v>121050</v>
      </c>
      <c r="F4183" s="681">
        <v>200375</v>
      </c>
      <c r="G4183" s="681">
        <v>0</v>
      </c>
      <c r="H4183" s="681">
        <v>25</v>
      </c>
      <c r="I4183" s="681">
        <v>30425</v>
      </c>
      <c r="J4183" s="597">
        <f t="shared" si="227"/>
        <v>0.15184029943855271</v>
      </c>
      <c r="K4183" s="586">
        <v>2058</v>
      </c>
      <c r="L4183" s="585">
        <v>2080</v>
      </c>
      <c r="M4183" s="598">
        <f t="shared" si="228"/>
        <v>22</v>
      </c>
      <c r="P4183" s="607">
        <v>13720</v>
      </c>
      <c r="Q4183" s="28">
        <f>172.3/1068.8</f>
        <v>0.16120883233532937</v>
      </c>
      <c r="U4183" s="600">
        <v>0.1</v>
      </c>
      <c r="W4183" s="741">
        <f t="shared" si="234"/>
        <v>2432.9636976047909</v>
      </c>
    </row>
    <row r="4184" spans="1:23" ht="15" customHeight="1">
      <c r="A4184" s="682">
        <v>41729</v>
      </c>
      <c r="B4184" s="583">
        <f>F4184-E4184-D4184-C474-C4184</f>
        <v>350</v>
      </c>
      <c r="C4184" s="583">
        <v>76750</v>
      </c>
      <c r="D4184" s="684">
        <v>2175</v>
      </c>
      <c r="E4184" s="684">
        <v>121050</v>
      </c>
      <c r="F4184" s="684">
        <v>200325</v>
      </c>
      <c r="G4184" s="5">
        <v>100</v>
      </c>
      <c r="H4184" s="5">
        <v>150</v>
      </c>
      <c r="I4184" s="684">
        <v>30375</v>
      </c>
      <c r="J4184" s="597">
        <f t="shared" si="227"/>
        <v>0.15162860351928117</v>
      </c>
      <c r="K4184" s="586">
        <v>2041</v>
      </c>
      <c r="L4184" s="585">
        <v>2067</v>
      </c>
      <c r="M4184" s="598">
        <f t="shared" si="228"/>
        <v>26</v>
      </c>
      <c r="N4184" s="420">
        <f>AVERAGE(K4164:K4184)</f>
        <v>2056.3571428571427</v>
      </c>
      <c r="O4184" s="410">
        <f>AVERAGE(K4120:K4184)</f>
        <v>2105.8492063492063</v>
      </c>
      <c r="P4184" s="607">
        <v>13720</v>
      </c>
      <c r="Q4184" s="28">
        <f>171.55/1066.1</f>
        <v>0.16091361035550139</v>
      </c>
      <c r="U4184" s="600">
        <v>0.1</v>
      </c>
      <c r="W4184" s="741">
        <f t="shared" ref="W4184:W4206" si="235">(P4184*Q4184)*(1+U4184)</f>
        <v>2428.5082074852271</v>
      </c>
    </row>
    <row r="4185" spans="1:23" ht="15" customHeight="1" thickBot="1">
      <c r="A4185" s="392"/>
      <c r="B4185" s="995"/>
      <c r="C4185" s="995"/>
      <c r="D4185" s="995"/>
      <c r="E4185" s="995"/>
      <c r="F4185" s="392"/>
      <c r="G4185" s="332"/>
      <c r="H4185" s="332"/>
      <c r="I4185" s="332"/>
      <c r="J4185" s="334"/>
      <c r="K4185" s="334"/>
      <c r="L4185" s="335"/>
      <c r="M4185" s="336"/>
      <c r="N4185" s="337"/>
      <c r="O4185" s="353"/>
      <c r="P4185" s="350"/>
      <c r="Q4185" s="299"/>
      <c r="R4185" s="453"/>
      <c r="S4185" s="454"/>
      <c r="T4185" s="454"/>
      <c r="U4185" s="302"/>
      <c r="V4185" s="298">
        <f>AVERAGE(P4164:P4184)</f>
        <v>13705.238095238095</v>
      </c>
      <c r="W4185" s="751"/>
    </row>
    <row r="4186" spans="1:23" ht="15" customHeight="1">
      <c r="A4186" s="686">
        <v>41730</v>
      </c>
      <c r="B4186" s="583">
        <f t="shared" ref="B4186:B4198" si="236">F4186-E4186-D4186-C476-C4186</f>
        <v>1325</v>
      </c>
      <c r="C4186" s="583">
        <v>76700</v>
      </c>
      <c r="D4186" s="685">
        <v>2175</v>
      </c>
      <c r="E4186" s="685">
        <v>121450</v>
      </c>
      <c r="F4186" s="685">
        <v>201650</v>
      </c>
      <c r="G4186" s="685">
        <v>1425</v>
      </c>
      <c r="H4186" s="685">
        <v>100</v>
      </c>
      <c r="I4186" s="685">
        <v>30275</v>
      </c>
      <c r="J4186" s="597">
        <f t="shared" si="227"/>
        <v>0.15013637490701712</v>
      </c>
      <c r="K4186" s="586">
        <v>2026</v>
      </c>
      <c r="L4186" s="585">
        <v>2050.5</v>
      </c>
      <c r="M4186" s="598">
        <f t="shared" si="228"/>
        <v>24.5</v>
      </c>
      <c r="P4186" s="607">
        <v>13690</v>
      </c>
      <c r="Q4186" s="587">
        <f>170.9/1060.5</f>
        <v>0.16115040075436116</v>
      </c>
      <c r="U4186" s="600">
        <v>0.1</v>
      </c>
      <c r="W4186" s="741">
        <f t="shared" si="235"/>
        <v>2426.7638849599248</v>
      </c>
    </row>
    <row r="4187" spans="1:23" ht="15" customHeight="1">
      <c r="A4187" s="688">
        <v>41731</v>
      </c>
      <c r="B4187" s="583">
        <f t="shared" si="236"/>
        <v>400</v>
      </c>
      <c r="C4187" s="583">
        <v>77625</v>
      </c>
      <c r="D4187" s="687">
        <v>2175</v>
      </c>
      <c r="E4187" s="687">
        <v>121450</v>
      </c>
      <c r="F4187" s="687">
        <v>201650</v>
      </c>
      <c r="G4187" s="687">
        <v>0</v>
      </c>
      <c r="H4187" s="687">
        <v>0</v>
      </c>
      <c r="I4187" s="687">
        <v>30275</v>
      </c>
      <c r="J4187" s="597">
        <f t="shared" si="227"/>
        <v>0.15013637490701712</v>
      </c>
      <c r="K4187" s="586">
        <v>2036</v>
      </c>
      <c r="L4187" s="585">
        <v>2058.5</v>
      </c>
      <c r="M4187" s="598">
        <f t="shared" si="228"/>
        <v>22.5</v>
      </c>
      <c r="P4187" s="607">
        <v>13690</v>
      </c>
      <c r="Q4187" s="28">
        <f>170.41/1057</f>
        <v>0.16122043519394513</v>
      </c>
      <c r="U4187" s="600">
        <v>0.1</v>
      </c>
      <c r="W4187" s="741">
        <f t="shared" si="235"/>
        <v>2427.8185335856201</v>
      </c>
    </row>
    <row r="4188" spans="1:23" ht="15" customHeight="1">
      <c r="A4188" s="690">
        <v>41732</v>
      </c>
      <c r="B4188" s="583">
        <f t="shared" si="236"/>
        <v>400</v>
      </c>
      <c r="C4188" s="583">
        <v>77625</v>
      </c>
      <c r="D4188" s="689">
        <v>2175</v>
      </c>
      <c r="E4188" s="689">
        <v>121450</v>
      </c>
      <c r="F4188" s="689">
        <v>201650</v>
      </c>
      <c r="G4188" s="5">
        <v>0</v>
      </c>
      <c r="H4188" s="5">
        <v>0</v>
      </c>
      <c r="I4188" s="689">
        <v>30275</v>
      </c>
      <c r="J4188" s="597">
        <f t="shared" si="227"/>
        <v>0.15013637490701712</v>
      </c>
      <c r="K4188" s="586">
        <v>2016</v>
      </c>
      <c r="L4188" s="585">
        <v>2040.5</v>
      </c>
      <c r="M4188" s="598">
        <f t="shared" si="228"/>
        <v>24.5</v>
      </c>
      <c r="P4188" s="607">
        <v>13690</v>
      </c>
      <c r="Q4188" s="28">
        <f>170.24/1058.1</f>
        <v>0.16089216520177679</v>
      </c>
      <c r="U4188" s="600">
        <v>0.1</v>
      </c>
      <c r="W4188" s="741">
        <f t="shared" si="235"/>
        <v>2422.8751157735569</v>
      </c>
    </row>
    <row r="4189" spans="1:23" ht="15" customHeight="1">
      <c r="A4189" s="691">
        <v>41733</v>
      </c>
      <c r="B4189" s="583">
        <f t="shared" si="236"/>
        <v>400</v>
      </c>
      <c r="C4189" s="583">
        <v>77625</v>
      </c>
      <c r="D4189" s="692">
        <v>2175</v>
      </c>
      <c r="E4189" s="692">
        <v>121825</v>
      </c>
      <c r="F4189" s="692">
        <v>202025</v>
      </c>
      <c r="G4189" s="692">
        <v>375</v>
      </c>
      <c r="H4189" s="692">
        <v>0</v>
      </c>
      <c r="I4189" s="692">
        <v>30275</v>
      </c>
      <c r="J4189" s="597">
        <f t="shared" si="227"/>
        <v>0.1498576908798416</v>
      </c>
      <c r="K4189" s="586">
        <v>2046</v>
      </c>
      <c r="L4189" s="585">
        <v>2062</v>
      </c>
      <c r="M4189" s="598">
        <f t="shared" si="228"/>
        <v>16</v>
      </c>
      <c r="P4189" s="607">
        <v>13690</v>
      </c>
      <c r="Q4189" s="28">
        <f>169.89/1056.1</f>
        <v>0.16086544834769434</v>
      </c>
      <c r="U4189" s="600">
        <v>0.1</v>
      </c>
      <c r="W4189" s="741">
        <f t="shared" si="235"/>
        <v>2422.4727866679291</v>
      </c>
    </row>
    <row r="4190" spans="1:23" ht="15" customHeight="1">
      <c r="A4190" s="694">
        <v>41736</v>
      </c>
      <c r="B4190" s="583">
        <f t="shared" si="236"/>
        <v>400</v>
      </c>
      <c r="C4190" s="583">
        <v>77625</v>
      </c>
      <c r="D4190" s="693">
        <v>2175</v>
      </c>
      <c r="E4190" s="693">
        <v>121825</v>
      </c>
      <c r="F4190" s="693">
        <v>202025</v>
      </c>
      <c r="G4190" s="693">
        <v>0</v>
      </c>
      <c r="H4190" s="693">
        <v>0</v>
      </c>
      <c r="I4190" s="693">
        <v>30275</v>
      </c>
      <c r="J4190" s="597">
        <f t="shared" si="227"/>
        <v>0.1498576908798416</v>
      </c>
      <c r="K4190" s="586">
        <v>2022</v>
      </c>
      <c r="L4190" s="585">
        <v>2041</v>
      </c>
      <c r="M4190" s="598">
        <f t="shared" si="228"/>
        <v>19</v>
      </c>
      <c r="P4190" s="700"/>
      <c r="Q4190" s="701"/>
      <c r="R4190" s="701"/>
      <c r="S4190" s="701"/>
      <c r="T4190" s="701"/>
      <c r="U4190" s="701"/>
      <c r="V4190" s="701"/>
    </row>
    <row r="4191" spans="1:23" ht="15" customHeight="1">
      <c r="A4191" s="695">
        <v>41737</v>
      </c>
      <c r="B4191" s="583">
        <f t="shared" si="236"/>
        <v>875</v>
      </c>
      <c r="C4191" s="583">
        <v>77625</v>
      </c>
      <c r="D4191" s="696">
        <v>2175</v>
      </c>
      <c r="E4191" s="696">
        <v>121725</v>
      </c>
      <c r="F4191" s="696">
        <v>202400</v>
      </c>
      <c r="G4191" s="696">
        <v>475</v>
      </c>
      <c r="H4191" s="696">
        <v>100</v>
      </c>
      <c r="I4191" s="696">
        <v>30175</v>
      </c>
      <c r="J4191" s="597">
        <f t="shared" si="227"/>
        <v>0.14908596837944665</v>
      </c>
      <c r="K4191" s="586">
        <v>2040.5</v>
      </c>
      <c r="L4191" s="585">
        <v>2056.5</v>
      </c>
      <c r="M4191" s="598">
        <f t="shared" si="228"/>
        <v>16</v>
      </c>
      <c r="P4191" s="607">
        <v>13690</v>
      </c>
      <c r="Q4191" s="28">
        <f>170.17/1053.6</f>
        <v>0.16151290812452543</v>
      </c>
      <c r="U4191" s="600">
        <v>0.1</v>
      </c>
      <c r="W4191" s="741">
        <f t="shared" si="235"/>
        <v>2432.2228834472289</v>
      </c>
    </row>
    <row r="4192" spans="1:23" ht="15" customHeight="1">
      <c r="A4192" s="697">
        <v>41738</v>
      </c>
      <c r="B4192" s="583">
        <f t="shared" si="236"/>
        <v>400</v>
      </c>
      <c r="C4192" s="583">
        <v>78100</v>
      </c>
      <c r="D4192" s="698">
        <v>2175</v>
      </c>
      <c r="E4192" s="698">
        <v>121725</v>
      </c>
      <c r="F4192" s="698">
        <v>202400</v>
      </c>
      <c r="G4192" s="698">
        <v>0</v>
      </c>
      <c r="H4192" s="698">
        <v>0</v>
      </c>
      <c r="I4192" s="698">
        <v>30175</v>
      </c>
      <c r="J4192" s="597">
        <f t="shared" si="227"/>
        <v>0.14908596837944665</v>
      </c>
      <c r="K4192" s="586">
        <v>2070.5</v>
      </c>
      <c r="L4192" s="585">
        <v>2086</v>
      </c>
      <c r="M4192" s="598">
        <f t="shared" si="228"/>
        <v>15.5</v>
      </c>
      <c r="P4192" s="607">
        <v>13690</v>
      </c>
      <c r="Q4192" s="28">
        <f>168.46/1043.2</f>
        <v>0.16148389570552146</v>
      </c>
      <c r="U4192" s="600">
        <v>0.1</v>
      </c>
      <c r="W4192" s="741">
        <f t="shared" si="235"/>
        <v>2431.7859854294479</v>
      </c>
    </row>
    <row r="4193" spans="1:23" ht="15" customHeight="1">
      <c r="A4193" s="703">
        <v>41739</v>
      </c>
      <c r="B4193" s="583">
        <f t="shared" si="236"/>
        <v>400</v>
      </c>
      <c r="C4193" s="583">
        <v>78100</v>
      </c>
      <c r="D4193" s="702">
        <v>2175</v>
      </c>
      <c r="E4193" s="702">
        <v>121725</v>
      </c>
      <c r="F4193" s="702">
        <v>202400</v>
      </c>
      <c r="G4193" s="702">
        <v>0</v>
      </c>
      <c r="H4193" s="702">
        <v>0</v>
      </c>
      <c r="I4193" s="702">
        <v>30175</v>
      </c>
      <c r="J4193" s="597">
        <f t="shared" si="227"/>
        <v>0.14908596837944665</v>
      </c>
      <c r="K4193" s="586">
        <v>2087.5</v>
      </c>
      <c r="L4193" s="585">
        <v>2102.5</v>
      </c>
      <c r="M4193" s="598">
        <f t="shared" si="228"/>
        <v>15</v>
      </c>
      <c r="P4193" s="607">
        <v>13690</v>
      </c>
      <c r="Q4193" s="28">
        <f>166.85/1036</f>
        <v>0.16105212355212353</v>
      </c>
      <c r="U4193" s="600">
        <v>0.1</v>
      </c>
      <c r="W4193" s="741">
        <f t="shared" si="235"/>
        <v>2425.2839285714285</v>
      </c>
    </row>
    <row r="4194" spans="1:23" ht="15" customHeight="1">
      <c r="A4194" s="704">
        <v>41740</v>
      </c>
      <c r="B4194" s="583">
        <f t="shared" si="236"/>
        <v>400</v>
      </c>
      <c r="C4194" s="583">
        <v>78100</v>
      </c>
      <c r="D4194" s="705">
        <v>2175</v>
      </c>
      <c r="E4194" s="705">
        <v>121725</v>
      </c>
      <c r="F4194" s="705">
        <v>202400</v>
      </c>
      <c r="G4194" s="705">
        <v>0</v>
      </c>
      <c r="H4194" s="705">
        <v>0</v>
      </c>
      <c r="I4194" s="705">
        <v>30175</v>
      </c>
      <c r="J4194" s="597">
        <f t="shared" si="227"/>
        <v>0.14908596837944665</v>
      </c>
      <c r="K4194" s="586">
        <v>2104.5</v>
      </c>
      <c r="L4194" s="585">
        <v>2127</v>
      </c>
      <c r="M4194" s="598">
        <f t="shared" si="228"/>
        <v>22.5</v>
      </c>
      <c r="P4194" s="607">
        <v>13720</v>
      </c>
      <c r="Q4194" s="28">
        <f>167.06/1037.5</f>
        <v>0.16102168674698794</v>
      </c>
      <c r="U4194" s="600">
        <v>0.1</v>
      </c>
      <c r="W4194" s="741">
        <f t="shared" si="235"/>
        <v>2430.1392963855424</v>
      </c>
    </row>
    <row r="4195" spans="1:23" ht="15" customHeight="1">
      <c r="A4195" s="706">
        <v>41743</v>
      </c>
      <c r="B4195" s="583">
        <f t="shared" si="236"/>
        <v>400</v>
      </c>
      <c r="C4195" s="583">
        <v>78100</v>
      </c>
      <c r="D4195" s="707">
        <v>2175</v>
      </c>
      <c r="E4195" s="707">
        <v>121725</v>
      </c>
      <c r="F4195" s="707">
        <v>202400</v>
      </c>
      <c r="G4195" s="707">
        <v>0</v>
      </c>
      <c r="H4195" s="707">
        <v>0</v>
      </c>
      <c r="I4195" s="707">
        <v>30175</v>
      </c>
      <c r="J4195" s="597">
        <f t="shared" si="227"/>
        <v>0.14908596837944665</v>
      </c>
      <c r="K4195" s="586">
        <v>2075</v>
      </c>
      <c r="L4195" s="585">
        <v>2100</v>
      </c>
      <c r="M4195" s="598">
        <f t="shared" si="228"/>
        <v>25</v>
      </c>
      <c r="P4195" s="607">
        <v>13720</v>
      </c>
      <c r="Q4195" s="28">
        <f>166.94/1038.9</f>
        <v>0.16068919048994126</v>
      </c>
      <c r="U4195" s="600">
        <v>0.1</v>
      </c>
      <c r="W4195" s="741">
        <f t="shared" si="235"/>
        <v>2425.1212628741937</v>
      </c>
    </row>
    <row r="4196" spans="1:23" ht="15" customHeight="1">
      <c r="A4196" s="709">
        <v>41744</v>
      </c>
      <c r="B4196" s="583">
        <f t="shared" si="236"/>
        <v>400</v>
      </c>
      <c r="C4196" s="583">
        <v>78100</v>
      </c>
      <c r="D4196" s="708">
        <v>2175</v>
      </c>
      <c r="E4196" s="708">
        <v>121625</v>
      </c>
      <c r="F4196" s="708">
        <v>202300</v>
      </c>
      <c r="G4196" s="5">
        <v>0</v>
      </c>
      <c r="H4196" s="5">
        <v>100</v>
      </c>
      <c r="I4196" s="708">
        <v>30075</v>
      </c>
      <c r="J4196" s="597">
        <f t="shared" si="227"/>
        <v>0.14866534849233812</v>
      </c>
      <c r="K4196" s="586">
        <v>2090.5</v>
      </c>
      <c r="L4196" s="585">
        <v>2119</v>
      </c>
      <c r="M4196" s="598">
        <f t="shared" si="228"/>
        <v>28.5</v>
      </c>
      <c r="P4196" s="607">
        <v>13740</v>
      </c>
      <c r="Q4196" s="28">
        <f>167.24/1041.2</f>
        <v>0.16062235881674991</v>
      </c>
      <c r="U4196" s="600">
        <v>0.1</v>
      </c>
      <c r="W4196" s="741">
        <f t="shared" si="235"/>
        <v>2427.6463311563584</v>
      </c>
    </row>
    <row r="4197" spans="1:23" ht="15" customHeight="1">
      <c r="A4197" s="711">
        <v>41745</v>
      </c>
      <c r="B4197" s="583">
        <f t="shared" si="236"/>
        <v>400</v>
      </c>
      <c r="C4197" s="583">
        <v>78100</v>
      </c>
      <c r="D4197" s="710">
        <v>2175</v>
      </c>
      <c r="E4197" s="710">
        <v>121400</v>
      </c>
      <c r="F4197" s="710">
        <v>202075</v>
      </c>
      <c r="G4197" s="5">
        <v>100</v>
      </c>
      <c r="H4197" s="5">
        <v>325</v>
      </c>
      <c r="I4197" s="710">
        <v>30250</v>
      </c>
      <c r="J4197" s="597">
        <f t="shared" si="227"/>
        <v>0.14969689471730793</v>
      </c>
      <c r="K4197" s="586">
        <v>2110</v>
      </c>
      <c r="L4197" s="585">
        <v>2136</v>
      </c>
      <c r="M4197" s="598">
        <f t="shared" si="228"/>
        <v>26</v>
      </c>
      <c r="P4197" s="607">
        <v>13740</v>
      </c>
      <c r="Q4197" s="28">
        <f>167.26/1041.3</f>
        <v>0.16062614040142129</v>
      </c>
      <c r="U4197" s="600">
        <v>0.1</v>
      </c>
      <c r="W4197" s="741">
        <f t="shared" si="235"/>
        <v>2427.7034860270819</v>
      </c>
    </row>
    <row r="4198" spans="1:23" ht="15" customHeight="1">
      <c r="A4198" s="713">
        <v>41746</v>
      </c>
      <c r="B4198" s="583">
        <f t="shared" si="236"/>
        <v>400</v>
      </c>
      <c r="C4198" s="583">
        <v>78100</v>
      </c>
      <c r="D4198" s="712">
        <v>2175</v>
      </c>
      <c r="E4198" s="712">
        <v>119725</v>
      </c>
      <c r="F4198" s="712">
        <v>200400</v>
      </c>
      <c r="G4198" s="5">
        <v>0</v>
      </c>
      <c r="H4198" s="712">
        <v>1675</v>
      </c>
      <c r="I4198" s="712">
        <v>28575</v>
      </c>
      <c r="J4198" s="597">
        <f t="shared" si="227"/>
        <v>0.14258982035928144</v>
      </c>
      <c r="K4198" s="586">
        <v>2121</v>
      </c>
      <c r="L4198" s="585">
        <v>2143</v>
      </c>
      <c r="M4198" s="598">
        <f t="shared" si="228"/>
        <v>22</v>
      </c>
      <c r="P4198" s="607">
        <v>13770</v>
      </c>
      <c r="Q4198" s="28">
        <f>166.64/1037.1</f>
        <v>0.16067881592903288</v>
      </c>
      <c r="U4198" s="600">
        <v>0.1</v>
      </c>
      <c r="W4198" s="741">
        <f t="shared" si="235"/>
        <v>2433.8020248770613</v>
      </c>
    </row>
    <row r="4199" spans="1:23" ht="15" customHeight="1">
      <c r="A4199" s="714">
        <v>41747</v>
      </c>
      <c r="G4199" s="1009" t="s">
        <v>176</v>
      </c>
      <c r="H4199" s="1009"/>
      <c r="P4199" s="607">
        <v>13790</v>
      </c>
      <c r="Q4199" s="587">
        <f>166.65/1037.2</f>
        <v>0.16067296567682221</v>
      </c>
      <c r="R4199" s="546"/>
      <c r="S4199" s="546"/>
      <c r="T4199" s="546"/>
      <c r="U4199" s="600">
        <v>0.1</v>
      </c>
      <c r="V4199" s="546"/>
      <c r="W4199" s="741">
        <f t="shared" si="235"/>
        <v>2437.2482163517161</v>
      </c>
    </row>
    <row r="4200" spans="1:23" ht="15" customHeight="1">
      <c r="A4200" s="715">
        <v>41750</v>
      </c>
      <c r="G4200" s="1009"/>
      <c r="H4200" s="1009"/>
      <c r="P4200" s="607">
        <v>13790</v>
      </c>
      <c r="Q4200" s="587">
        <f>166.64/1037.9</f>
        <v>0.16055496675980344</v>
      </c>
      <c r="R4200" s="546"/>
      <c r="S4200" s="546"/>
      <c r="T4200" s="546"/>
      <c r="U4200" s="600">
        <v>0.1</v>
      </c>
      <c r="V4200" s="546"/>
      <c r="W4200" s="741">
        <f t="shared" si="235"/>
        <v>2435.4582907794584</v>
      </c>
    </row>
    <row r="4201" spans="1:23" ht="15" customHeight="1">
      <c r="A4201" s="715">
        <v>41751</v>
      </c>
      <c r="B4201" s="583">
        <f t="shared" ref="B4201:B4209" si="237">F4201-E4201-D4201-C491-C4201</f>
        <v>825</v>
      </c>
      <c r="C4201" s="4">
        <v>78100</v>
      </c>
      <c r="D4201" s="5">
        <v>2175</v>
      </c>
      <c r="E4201" s="5">
        <v>117625</v>
      </c>
      <c r="F4201" s="5">
        <v>198725</v>
      </c>
      <c r="G4201" s="5">
        <v>425</v>
      </c>
      <c r="H4201" s="5">
        <v>2100</v>
      </c>
      <c r="I4201" s="5">
        <v>26475</v>
      </c>
      <c r="J4201" s="597">
        <f t="shared" ref="J4201:J4210" si="238">I4201/F4201</f>
        <v>0.13322430494401813</v>
      </c>
      <c r="K4201" s="24">
        <v>2133</v>
      </c>
      <c r="L4201" s="6">
        <v>2155</v>
      </c>
      <c r="M4201" s="598">
        <f t="shared" ref="M4201:M4210" si="239">L4201-K4201</f>
        <v>22</v>
      </c>
      <c r="P4201" s="607">
        <v>13790</v>
      </c>
      <c r="Q4201" s="28">
        <f>166.68/1039.6</f>
        <v>0.16033089649865334</v>
      </c>
      <c r="U4201" s="600">
        <v>0.1</v>
      </c>
      <c r="W4201" s="741">
        <f t="shared" si="235"/>
        <v>2432.0593689880729</v>
      </c>
    </row>
    <row r="4202" spans="1:23" ht="15" customHeight="1">
      <c r="A4202" s="715">
        <v>41752</v>
      </c>
      <c r="B4202" s="583">
        <f t="shared" si="237"/>
        <v>-100</v>
      </c>
      <c r="C4202" s="4">
        <v>78525</v>
      </c>
      <c r="D4202" s="5">
        <v>2175</v>
      </c>
      <c r="E4202" s="5">
        <v>115675</v>
      </c>
      <c r="F4202" s="5">
        <v>196275</v>
      </c>
      <c r="G4202" s="5">
        <v>0</v>
      </c>
      <c r="H4202" s="5">
        <v>2450</v>
      </c>
      <c r="I4202" s="5">
        <v>24325</v>
      </c>
      <c r="J4202" s="597">
        <f t="shared" si="238"/>
        <v>0.12393325690994778</v>
      </c>
      <c r="K4202" s="24">
        <v>2141.5</v>
      </c>
      <c r="L4202" s="6">
        <v>2164</v>
      </c>
      <c r="M4202" s="598">
        <f t="shared" si="239"/>
        <v>22.5</v>
      </c>
      <c r="P4202" s="607">
        <v>13890</v>
      </c>
      <c r="Q4202" s="28">
        <f>166.57/1039.5</f>
        <v>0.16024050024050024</v>
      </c>
      <c r="U4202" s="600">
        <v>0.1</v>
      </c>
      <c r="W4202" s="741">
        <f t="shared" si="235"/>
        <v>2448.3146031746032</v>
      </c>
    </row>
    <row r="4203" spans="1:23" ht="15" customHeight="1">
      <c r="A4203" s="715">
        <v>41753</v>
      </c>
      <c r="B4203" s="583">
        <f t="shared" si="237"/>
        <v>400</v>
      </c>
      <c r="C4203" s="4">
        <v>78025</v>
      </c>
      <c r="D4203" s="5">
        <v>2175</v>
      </c>
      <c r="E4203" s="5">
        <v>114175</v>
      </c>
      <c r="F4203" s="5">
        <v>194775</v>
      </c>
      <c r="G4203" s="5">
        <v>0</v>
      </c>
      <c r="H4203" s="5">
        <v>1500</v>
      </c>
      <c r="I4203" s="5">
        <v>22925</v>
      </c>
      <c r="J4203" s="597">
        <f t="shared" si="238"/>
        <v>0.11769991015274034</v>
      </c>
      <c r="K4203" s="24">
        <v>2147.5</v>
      </c>
      <c r="L4203" s="6">
        <v>2172</v>
      </c>
      <c r="M4203" s="598">
        <f t="shared" si="239"/>
        <v>24.5</v>
      </c>
      <c r="P4203" s="607">
        <v>13890</v>
      </c>
      <c r="Q4203" s="28">
        <f>166.04/1038.3</f>
        <v>0.15991524607531543</v>
      </c>
      <c r="U4203" s="600">
        <v>0.1</v>
      </c>
      <c r="W4203" s="741">
        <f t="shared" si="235"/>
        <v>2443.3450447847445</v>
      </c>
    </row>
    <row r="4204" spans="1:23" ht="15" customHeight="1">
      <c r="A4204" s="717">
        <v>41754</v>
      </c>
      <c r="B4204" s="583">
        <f t="shared" si="237"/>
        <v>400</v>
      </c>
      <c r="C4204" s="583">
        <v>78025</v>
      </c>
      <c r="D4204" s="716">
        <v>2175</v>
      </c>
      <c r="E4204" s="716">
        <v>112675</v>
      </c>
      <c r="F4204" s="716">
        <v>193275</v>
      </c>
      <c r="G4204" s="716">
        <v>0</v>
      </c>
      <c r="H4204" s="716">
        <v>1500</v>
      </c>
      <c r="I4204" s="716">
        <v>21425</v>
      </c>
      <c r="J4204" s="597">
        <f t="shared" si="238"/>
        <v>0.11085241236580003</v>
      </c>
      <c r="K4204" s="586">
        <v>2143</v>
      </c>
      <c r="L4204" s="585">
        <v>2165</v>
      </c>
      <c r="M4204" s="598">
        <f t="shared" si="239"/>
        <v>22</v>
      </c>
      <c r="P4204" s="607">
        <v>13890</v>
      </c>
      <c r="Q4204" s="28">
        <f>166.01/1038.9</f>
        <v>0.15979401289825776</v>
      </c>
      <c r="U4204" s="600">
        <v>0.1</v>
      </c>
      <c r="W4204" s="741">
        <f t="shared" si="235"/>
        <v>2441.4927230724807</v>
      </c>
    </row>
    <row r="4205" spans="1:23" ht="15" customHeight="1">
      <c r="A4205" s="718">
        <v>41757</v>
      </c>
      <c r="B4205" s="583">
        <f t="shared" si="237"/>
        <v>400</v>
      </c>
      <c r="C4205" s="583">
        <v>78025</v>
      </c>
      <c r="D4205" s="719">
        <v>2175</v>
      </c>
      <c r="E4205" s="719">
        <v>112375</v>
      </c>
      <c r="F4205" s="719">
        <v>192975</v>
      </c>
      <c r="G4205" s="5">
        <v>0</v>
      </c>
      <c r="H4205" s="5">
        <v>300</v>
      </c>
      <c r="I4205" s="719">
        <v>21125</v>
      </c>
      <c r="J4205" s="597">
        <f t="shared" si="238"/>
        <v>0.1094701386189921</v>
      </c>
      <c r="K4205" s="586">
        <v>2125</v>
      </c>
      <c r="L4205" s="585">
        <v>2150.5</v>
      </c>
      <c r="M4205" s="598">
        <f t="shared" si="239"/>
        <v>25.5</v>
      </c>
      <c r="P4205" s="607">
        <v>13890</v>
      </c>
      <c r="Q4205" s="28">
        <f>165.87/1037.1</f>
        <v>0.15993636100665318</v>
      </c>
      <c r="U4205" s="600">
        <v>0.1</v>
      </c>
      <c r="W4205" s="741">
        <f t="shared" si="235"/>
        <v>2443.6676598206541</v>
      </c>
    </row>
    <row r="4206" spans="1:23" ht="15" customHeight="1">
      <c r="A4206" s="721">
        <v>41758</v>
      </c>
      <c r="B4206" s="583">
        <f t="shared" si="237"/>
        <v>400</v>
      </c>
      <c r="C4206" s="583">
        <v>78025</v>
      </c>
      <c r="D4206" s="720">
        <v>2175</v>
      </c>
      <c r="E4206" s="720">
        <v>112375</v>
      </c>
      <c r="F4206" s="720">
        <v>192975</v>
      </c>
      <c r="G4206" s="720">
        <v>0</v>
      </c>
      <c r="H4206" s="720">
        <v>0</v>
      </c>
      <c r="I4206" s="720">
        <v>21125</v>
      </c>
      <c r="J4206" s="597">
        <f t="shared" si="238"/>
        <v>0.1094701386189921</v>
      </c>
      <c r="K4206" s="586">
        <v>2095</v>
      </c>
      <c r="L4206" s="585">
        <v>2123</v>
      </c>
      <c r="M4206" s="598">
        <f t="shared" si="239"/>
        <v>28</v>
      </c>
      <c r="P4206" s="607">
        <v>13860</v>
      </c>
      <c r="Q4206" s="28">
        <f>164.82/1031.7</f>
        <v>0.15975574294853154</v>
      </c>
      <c r="U4206" s="600">
        <v>0.1</v>
      </c>
      <c r="W4206" s="741">
        <f t="shared" si="235"/>
        <v>2435.6360569933122</v>
      </c>
    </row>
    <row r="4207" spans="1:23" ht="15" customHeight="1">
      <c r="A4207" s="723">
        <v>41759</v>
      </c>
      <c r="B4207" s="583">
        <f t="shared" si="237"/>
        <v>700</v>
      </c>
      <c r="C4207" s="583">
        <v>78025</v>
      </c>
      <c r="D4207" s="722">
        <v>2175</v>
      </c>
      <c r="E4207" s="722">
        <v>112725</v>
      </c>
      <c r="F4207" s="722">
        <v>193625</v>
      </c>
      <c r="G4207" s="722">
        <v>650</v>
      </c>
      <c r="H4207" s="722">
        <v>0</v>
      </c>
      <c r="I4207" s="722">
        <v>21125</v>
      </c>
      <c r="J4207" s="597">
        <f t="shared" si="238"/>
        <v>0.1091026468689477</v>
      </c>
      <c r="K4207" s="586">
        <v>2088.5</v>
      </c>
      <c r="L4207" s="585">
        <v>2115</v>
      </c>
      <c r="M4207" s="598">
        <f t="shared" si="239"/>
        <v>26.5</v>
      </c>
      <c r="N4207" s="420">
        <f>AVERAGE(K4186:K4207)</f>
        <v>2085.9499999999998</v>
      </c>
      <c r="O4207" s="410">
        <f>AVERAGE(K4120:K4207)</f>
        <v>2101.0542168674697</v>
      </c>
      <c r="P4207" s="607">
        <v>13840</v>
      </c>
      <c r="Q4207" s="587">
        <f>164.82/1031.7</f>
        <v>0.15975574294853154</v>
      </c>
      <c r="U4207" s="600">
        <v>0.1</v>
      </c>
      <c r="W4207" s="741">
        <f>(P4207*Q4207)*(1+U4207)</f>
        <v>2432.1214306484444</v>
      </c>
    </row>
    <row r="4208" spans="1:23" ht="15" customHeight="1" thickBot="1">
      <c r="A4208" s="392"/>
      <c r="B4208" s="995"/>
      <c r="C4208" s="995"/>
      <c r="D4208" s="995"/>
      <c r="E4208" s="995"/>
      <c r="F4208" s="392"/>
      <c r="G4208" s="332"/>
      <c r="H4208" s="332"/>
      <c r="I4208" s="332"/>
      <c r="J4208" s="334"/>
      <c r="K4208" s="334"/>
      <c r="L4208" s="335"/>
      <c r="M4208" s="336"/>
      <c r="N4208" s="337"/>
      <c r="O4208" s="353"/>
      <c r="P4208" s="350"/>
      <c r="Q4208" s="299"/>
      <c r="R4208" s="453"/>
      <c r="S4208" s="454"/>
      <c r="T4208" s="454"/>
      <c r="U4208" s="302"/>
      <c r="V4208" s="298">
        <f>AVERAGE(P4186:P4207)</f>
        <v>13769.047619047618</v>
      </c>
      <c r="W4208" s="751"/>
    </row>
    <row r="4209" spans="1:23" ht="15" customHeight="1">
      <c r="A4209" s="3">
        <v>41760</v>
      </c>
      <c r="B4209" s="583">
        <f t="shared" si="237"/>
        <v>400</v>
      </c>
      <c r="C4209" s="583">
        <v>78325</v>
      </c>
      <c r="D4209" s="725">
        <v>2175</v>
      </c>
      <c r="E4209" s="725">
        <v>112975</v>
      </c>
      <c r="F4209" s="722">
        <v>193875</v>
      </c>
      <c r="G4209" s="5">
        <v>250</v>
      </c>
      <c r="H4209" s="5">
        <v>0</v>
      </c>
      <c r="I4209" s="722">
        <v>21125</v>
      </c>
      <c r="J4209" s="597">
        <f t="shared" si="238"/>
        <v>0.10896196002578981</v>
      </c>
      <c r="K4209" s="586">
        <v>2070.5</v>
      </c>
      <c r="L4209" s="585">
        <v>2095</v>
      </c>
      <c r="M4209" s="598">
        <f t="shared" si="239"/>
        <v>24.5</v>
      </c>
      <c r="P4209" s="607"/>
      <c r="Q4209" s="1012" t="s">
        <v>112</v>
      </c>
      <c r="R4209" s="1012"/>
      <c r="S4209" s="1012"/>
      <c r="T4209" s="1012"/>
      <c r="U4209" s="1012"/>
    </row>
    <row r="4210" spans="1:23" ht="15" customHeight="1">
      <c r="A4210" s="727">
        <v>41761</v>
      </c>
      <c r="F4210" s="726">
        <v>193875</v>
      </c>
      <c r="G4210" s="726">
        <v>0</v>
      </c>
      <c r="H4210" s="726">
        <v>0</v>
      </c>
      <c r="I4210" s="726">
        <v>21225</v>
      </c>
      <c r="J4210" s="597">
        <f t="shared" si="238"/>
        <v>0.10947775628626692</v>
      </c>
      <c r="K4210" s="586">
        <v>2060.5</v>
      </c>
      <c r="L4210" s="585">
        <v>2082</v>
      </c>
      <c r="M4210" s="598">
        <f t="shared" si="239"/>
        <v>21.5</v>
      </c>
      <c r="P4210" s="607"/>
      <c r="Q4210" s="1012" t="s">
        <v>112</v>
      </c>
      <c r="R4210" s="1012"/>
      <c r="S4210" s="1012"/>
      <c r="T4210" s="1012"/>
      <c r="U4210" s="1012"/>
    </row>
    <row r="4211" spans="1:23" ht="15" customHeight="1">
      <c r="A4211" s="727">
        <v>41764</v>
      </c>
      <c r="B4211" s="26"/>
      <c r="C4211" s="26"/>
      <c r="D4211" s="26"/>
      <c r="E4211" s="26"/>
      <c r="F4211" s="26"/>
      <c r="G4211" s="26" t="s">
        <v>146</v>
      </c>
      <c r="H4211" s="26"/>
      <c r="I4211" s="26"/>
      <c r="J4211" s="26"/>
      <c r="K4211" s="586"/>
      <c r="L4211" s="585"/>
      <c r="M4211" s="598"/>
      <c r="P4211" s="607">
        <v>13870</v>
      </c>
      <c r="U4211" s="600"/>
    </row>
    <row r="4212" spans="1:23" ht="15" customHeight="1">
      <c r="A4212" s="727">
        <v>41765</v>
      </c>
      <c r="B4212" s="583">
        <f t="shared" ref="B4212:B4240" si="240">F4212-E4212-D4212-C501-C4212</f>
        <v>350</v>
      </c>
      <c r="C4212" s="583">
        <v>78325</v>
      </c>
      <c r="D4212" s="726">
        <v>2175</v>
      </c>
      <c r="E4212" s="726">
        <v>112975</v>
      </c>
      <c r="F4212" s="726">
        <v>193825</v>
      </c>
      <c r="G4212" s="5">
        <v>0</v>
      </c>
      <c r="H4212" s="5">
        <v>50</v>
      </c>
      <c r="I4212" s="726">
        <v>21175</v>
      </c>
      <c r="J4212" s="597">
        <f t="shared" ref="J4212:J4255" si="241">I4212/F4212</f>
        <v>0.10924803301947633</v>
      </c>
      <c r="K4212" s="586">
        <v>2091</v>
      </c>
      <c r="L4212" s="585">
        <v>2110.5</v>
      </c>
      <c r="M4212" s="598">
        <f>L4212-K4212</f>
        <v>19.5</v>
      </c>
      <c r="P4212" s="607">
        <v>13870</v>
      </c>
      <c r="Q4212" s="28">
        <f>165.71/1031.2</f>
        <v>0.16069627618308766</v>
      </c>
      <c r="U4212" s="600">
        <v>0.1</v>
      </c>
      <c r="W4212" s="741">
        <f>(P4212*Q4212)*(1+U4212)</f>
        <v>2451.7430857253685</v>
      </c>
    </row>
    <row r="4213" spans="1:23" ht="15" customHeight="1">
      <c r="A4213" s="730">
        <v>41766</v>
      </c>
      <c r="B4213" s="583">
        <f t="shared" si="240"/>
        <v>-25</v>
      </c>
      <c r="C4213" s="583">
        <v>78275</v>
      </c>
      <c r="D4213" s="729">
        <v>2175</v>
      </c>
      <c r="E4213" s="729">
        <v>113175</v>
      </c>
      <c r="F4213" s="729">
        <v>193600</v>
      </c>
      <c r="I4213" s="729">
        <v>20750</v>
      </c>
      <c r="J4213" s="597">
        <f t="shared" si="241"/>
        <v>0.1071797520661157</v>
      </c>
      <c r="K4213" s="586">
        <v>2082</v>
      </c>
      <c r="L4213" s="585">
        <v>2103</v>
      </c>
      <c r="M4213" s="598">
        <f>L4213-K4213</f>
        <v>21</v>
      </c>
      <c r="P4213" s="607">
        <v>13910</v>
      </c>
      <c r="Q4213" s="28">
        <f>164.5/1025.6</f>
        <v>0.16039391575663028</v>
      </c>
      <c r="U4213" s="600">
        <v>0.1</v>
      </c>
      <c r="W4213" s="741">
        <f>(P4213*Q4213)*(1+U4213)</f>
        <v>2454.1873049922001</v>
      </c>
    </row>
    <row r="4214" spans="1:23" ht="15" customHeight="1">
      <c r="A4214" s="734">
        <v>41767</v>
      </c>
      <c r="B4214" s="583">
        <f t="shared" si="240"/>
        <v>275</v>
      </c>
      <c r="C4214" s="583">
        <v>77850</v>
      </c>
      <c r="D4214" s="733">
        <v>2175</v>
      </c>
      <c r="E4214" s="733">
        <v>113175</v>
      </c>
      <c r="F4214" s="733">
        <v>193475</v>
      </c>
      <c r="G4214" s="733">
        <v>0</v>
      </c>
      <c r="H4214" s="733">
        <v>125</v>
      </c>
      <c r="I4214" s="733">
        <v>20625</v>
      </c>
      <c r="J4214" s="597">
        <f t="shared" si="241"/>
        <v>0.1066029202739372</v>
      </c>
      <c r="K4214" s="586">
        <v>2064</v>
      </c>
      <c r="L4214" s="585">
        <v>2084</v>
      </c>
      <c r="M4214" s="598">
        <f>L4214-K4214</f>
        <v>20</v>
      </c>
      <c r="P4214" s="607">
        <v>13890</v>
      </c>
      <c r="Q4214" s="28">
        <f>164.22/1023.5</f>
        <v>0.16044943820224719</v>
      </c>
      <c r="U4214" s="600">
        <v>0.1</v>
      </c>
      <c r="W4214" s="741">
        <f>(P4214*Q4214)*(1+U4214)</f>
        <v>2451.5069662921351</v>
      </c>
    </row>
    <row r="4215" spans="1:23" ht="15" customHeight="1">
      <c r="A4215" s="736">
        <v>41768</v>
      </c>
      <c r="B4215" s="583">
        <f t="shared" si="240"/>
        <v>400</v>
      </c>
      <c r="C4215" s="583">
        <v>77725</v>
      </c>
      <c r="D4215" s="735">
        <v>2175</v>
      </c>
      <c r="E4215" s="735">
        <v>113175</v>
      </c>
      <c r="F4215" s="735">
        <v>193475</v>
      </c>
      <c r="G4215" s="735">
        <v>0</v>
      </c>
      <c r="H4215" s="735">
        <v>0</v>
      </c>
      <c r="I4215" s="735">
        <v>20625</v>
      </c>
      <c r="J4215" s="597">
        <f t="shared" si="241"/>
        <v>0.1066029202739372</v>
      </c>
      <c r="K4215" s="586">
        <v>2081</v>
      </c>
      <c r="L4215" s="585">
        <v>2098.5</v>
      </c>
      <c r="M4215" s="598">
        <f>L4215-K4215</f>
        <v>17.5</v>
      </c>
      <c r="P4215" s="607">
        <v>13890</v>
      </c>
      <c r="Q4215" s="28">
        <f>164.09/1023</f>
        <v>0.16040078201368524</v>
      </c>
      <c r="U4215" s="600">
        <v>0.1</v>
      </c>
      <c r="W4215" s="741">
        <f t="shared" ref="W4215:W4230" si="242">(P4215*Q4215)*(1+U4215)</f>
        <v>2450.7635483870972</v>
      </c>
    </row>
    <row r="4216" spans="1:23" ht="15" customHeight="1">
      <c r="A4216" s="738">
        <v>41771</v>
      </c>
      <c r="B4216" s="583">
        <f t="shared" si="240"/>
        <v>400</v>
      </c>
      <c r="C4216" s="583">
        <v>77725</v>
      </c>
      <c r="D4216" s="737">
        <v>2175</v>
      </c>
      <c r="E4216" s="737">
        <v>113175</v>
      </c>
      <c r="F4216" s="737">
        <v>193475</v>
      </c>
      <c r="G4216" s="737">
        <v>0</v>
      </c>
      <c r="H4216" s="737">
        <v>0</v>
      </c>
      <c r="I4216" s="737">
        <v>20625</v>
      </c>
      <c r="J4216" s="597">
        <f t="shared" si="241"/>
        <v>0.1066029202739372</v>
      </c>
      <c r="K4216" s="586">
        <v>2093</v>
      </c>
      <c r="L4216" s="585">
        <v>2113.5</v>
      </c>
      <c r="M4216" s="598">
        <f t="shared" ref="M4216:M4225" si="243">L4216-K4216</f>
        <v>20.5</v>
      </c>
      <c r="P4216" s="607">
        <v>13890</v>
      </c>
      <c r="Q4216" s="28">
        <f>164.16/1025</f>
        <v>0.1601560975609756</v>
      </c>
      <c r="U4216" s="600">
        <v>0.1</v>
      </c>
      <c r="W4216" s="741">
        <f t="shared" si="242"/>
        <v>2447.0250146341464</v>
      </c>
    </row>
    <row r="4217" spans="1:23" ht="15" customHeight="1">
      <c r="A4217" s="739">
        <v>41772</v>
      </c>
      <c r="B4217" s="583">
        <f t="shared" si="240"/>
        <v>400</v>
      </c>
      <c r="C4217" s="4">
        <v>77725</v>
      </c>
      <c r="D4217" s="5">
        <v>2175</v>
      </c>
      <c r="E4217" s="5">
        <v>113375</v>
      </c>
      <c r="F4217" s="5">
        <v>193675</v>
      </c>
      <c r="G4217" s="5">
        <v>200</v>
      </c>
      <c r="H4217" s="5">
        <v>0</v>
      </c>
      <c r="I4217" s="5">
        <v>20625</v>
      </c>
      <c r="J4217" s="597">
        <f t="shared" si="241"/>
        <v>0.10649283593649155</v>
      </c>
      <c r="K4217" s="24">
        <v>2100</v>
      </c>
      <c r="L4217" s="6">
        <v>2124.5</v>
      </c>
      <c r="M4217" s="598">
        <f t="shared" si="243"/>
        <v>24.5</v>
      </c>
      <c r="P4217" s="607">
        <v>13940</v>
      </c>
      <c r="Q4217" s="28">
        <f>164.01/1022.9</f>
        <v>0.16033825398377163</v>
      </c>
      <c r="U4217" s="600">
        <v>0.1</v>
      </c>
      <c r="W4217" s="741">
        <f t="shared" si="242"/>
        <v>2458.6267865871546</v>
      </c>
    </row>
    <row r="4218" spans="1:23" ht="15" customHeight="1">
      <c r="A4218" s="752">
        <v>41773</v>
      </c>
      <c r="B4218" s="583">
        <f t="shared" si="240"/>
        <v>400</v>
      </c>
      <c r="C4218" s="4">
        <v>77725</v>
      </c>
      <c r="D4218" s="5">
        <v>2175</v>
      </c>
      <c r="E4218" s="5">
        <v>111875</v>
      </c>
      <c r="F4218" s="5">
        <v>192175</v>
      </c>
      <c r="G4218" s="5">
        <v>0</v>
      </c>
      <c r="H4218" s="5">
        <v>1500</v>
      </c>
      <c r="I4218" s="5">
        <v>19225</v>
      </c>
      <c r="J4218" s="263">
        <f t="shared" si="241"/>
        <v>0.10003902692858072</v>
      </c>
      <c r="K4218" s="24">
        <v>2113</v>
      </c>
      <c r="L4218" s="6">
        <v>2137</v>
      </c>
      <c r="M4218" s="598">
        <f t="shared" si="243"/>
        <v>24</v>
      </c>
      <c r="P4218" s="607">
        <v>13940</v>
      </c>
      <c r="Q4218" s="28">
        <f>164.58/1024.6</f>
        <v>0.16062853796603555</v>
      </c>
      <c r="U4218" s="600">
        <v>0.1</v>
      </c>
      <c r="W4218" s="741">
        <f t="shared" si="242"/>
        <v>2463.078001171189</v>
      </c>
    </row>
    <row r="4219" spans="1:23" ht="15" customHeight="1">
      <c r="A4219" s="753">
        <v>41774</v>
      </c>
      <c r="B4219" s="583">
        <f t="shared" si="240"/>
        <v>400</v>
      </c>
      <c r="C4219" s="4">
        <v>77725</v>
      </c>
      <c r="D4219" s="5">
        <v>2175</v>
      </c>
      <c r="E4219" s="5">
        <v>110925</v>
      </c>
      <c r="F4219" s="5">
        <v>191225</v>
      </c>
      <c r="G4219" s="5">
        <v>550</v>
      </c>
      <c r="H4219" s="5">
        <v>1500</v>
      </c>
      <c r="I4219" s="5">
        <v>17725</v>
      </c>
      <c r="J4219" s="597">
        <f t="shared" si="241"/>
        <v>9.2691855144463334E-2</v>
      </c>
      <c r="K4219" s="24">
        <v>2125</v>
      </c>
      <c r="L4219" s="6">
        <v>2148</v>
      </c>
      <c r="M4219" s="598">
        <f t="shared" si="243"/>
        <v>23</v>
      </c>
      <c r="P4219" s="607">
        <v>13940</v>
      </c>
      <c r="Q4219" s="587">
        <f>164.7/1026.5</f>
        <v>0.16044812469556746</v>
      </c>
      <c r="U4219" s="600">
        <v>0.1</v>
      </c>
      <c r="W4219" s="741">
        <f t="shared" si="242"/>
        <v>2460.3115440818319</v>
      </c>
    </row>
    <row r="4220" spans="1:23" ht="15" customHeight="1">
      <c r="A4220" s="754">
        <v>41775</v>
      </c>
      <c r="B4220" s="583">
        <f t="shared" si="240"/>
        <v>400</v>
      </c>
      <c r="C4220" s="583">
        <v>77725</v>
      </c>
      <c r="D4220" s="755">
        <v>2175</v>
      </c>
      <c r="E4220" s="755">
        <v>110650</v>
      </c>
      <c r="F4220" s="755">
        <v>190950</v>
      </c>
      <c r="G4220" s="755">
        <v>0</v>
      </c>
      <c r="H4220" s="755">
        <v>275</v>
      </c>
      <c r="I4220" s="755">
        <v>19850</v>
      </c>
      <c r="J4220" s="597">
        <f t="shared" si="241"/>
        <v>0.10395391463733962</v>
      </c>
      <c r="K4220" s="586">
        <v>2121</v>
      </c>
      <c r="L4220" s="585">
        <v>2136</v>
      </c>
      <c r="M4220" s="598">
        <f t="shared" si="243"/>
        <v>15</v>
      </c>
      <c r="P4220" s="607">
        <v>13940</v>
      </c>
      <c r="Q4220" s="28">
        <f>164.58/1025.8</f>
        <v>0.16044063170208619</v>
      </c>
      <c r="U4220" s="600">
        <v>0.1</v>
      </c>
      <c r="W4220" s="741">
        <f t="shared" si="242"/>
        <v>2460.1966465197902</v>
      </c>
    </row>
    <row r="4221" spans="1:23" ht="15" customHeight="1">
      <c r="A4221" s="756">
        <v>41778</v>
      </c>
      <c r="B4221" s="583">
        <f t="shared" si="240"/>
        <v>400</v>
      </c>
      <c r="C4221" s="583">
        <v>77725</v>
      </c>
      <c r="D4221" s="755">
        <v>2175</v>
      </c>
      <c r="E4221" s="755">
        <v>110650</v>
      </c>
      <c r="F4221" s="755">
        <v>190950</v>
      </c>
      <c r="G4221" s="5">
        <v>0</v>
      </c>
      <c r="H4221" s="5">
        <v>275</v>
      </c>
      <c r="I4221" s="755">
        <v>19850</v>
      </c>
      <c r="J4221" s="597">
        <f t="shared" si="241"/>
        <v>0.10395391463733962</v>
      </c>
      <c r="K4221" s="586">
        <v>2110.5</v>
      </c>
      <c r="L4221" s="585">
        <v>2146.5</v>
      </c>
      <c r="M4221" s="598">
        <f t="shared" si="243"/>
        <v>36</v>
      </c>
      <c r="P4221" s="607">
        <v>13940</v>
      </c>
      <c r="Q4221" s="28">
        <f>163.98/1022.7</f>
        <v>0.16034027574068641</v>
      </c>
      <c r="U4221" s="600">
        <v>0.1</v>
      </c>
      <c r="W4221" s="741">
        <f t="shared" si="242"/>
        <v>2458.6577882076858</v>
      </c>
    </row>
    <row r="4222" spans="1:23" ht="15" customHeight="1">
      <c r="A4222" s="758">
        <v>41779</v>
      </c>
      <c r="B4222" s="583">
        <f t="shared" si="240"/>
        <v>400</v>
      </c>
      <c r="C4222" s="583">
        <v>79200</v>
      </c>
      <c r="D4222" s="757">
        <v>2175</v>
      </c>
      <c r="E4222" s="757">
        <v>110400</v>
      </c>
      <c r="F4222" s="757">
        <v>192175</v>
      </c>
      <c r="G4222" s="757">
        <v>0</v>
      </c>
      <c r="H4222" s="757">
        <v>0</v>
      </c>
      <c r="I4222" s="757">
        <v>19600</v>
      </c>
      <c r="J4222" s="597">
        <f t="shared" si="241"/>
        <v>0.10199037335761675</v>
      </c>
      <c r="K4222" s="586">
        <v>2114</v>
      </c>
      <c r="L4222" s="585">
        <v>2139</v>
      </c>
      <c r="M4222" s="598">
        <f t="shared" si="243"/>
        <v>25</v>
      </c>
      <c r="P4222" s="607">
        <v>13940</v>
      </c>
      <c r="Q4222" s="587">
        <f>164.18/1024.1</f>
        <v>0.16031637535396936</v>
      </c>
      <c r="U4222" s="600">
        <v>0.1</v>
      </c>
      <c r="W4222" s="741">
        <f t="shared" si="242"/>
        <v>2458.2912996777663</v>
      </c>
    </row>
    <row r="4223" spans="1:23" ht="15" customHeight="1">
      <c r="A4223" s="760">
        <v>41780</v>
      </c>
      <c r="B4223" s="583">
        <f t="shared" si="240"/>
        <v>600</v>
      </c>
      <c r="C4223" s="583">
        <v>79200</v>
      </c>
      <c r="D4223" s="759">
        <v>2175</v>
      </c>
      <c r="E4223" s="759">
        <v>110400</v>
      </c>
      <c r="F4223" s="759">
        <v>192375</v>
      </c>
      <c r="G4223" s="5">
        <v>500</v>
      </c>
      <c r="H4223" s="5">
        <v>300</v>
      </c>
      <c r="I4223" s="759">
        <v>19300</v>
      </c>
      <c r="J4223" s="597">
        <f t="shared" si="241"/>
        <v>0.10032488628979858</v>
      </c>
      <c r="K4223" s="586">
        <v>2085</v>
      </c>
      <c r="L4223" s="585">
        <v>2109</v>
      </c>
      <c r="M4223" s="598">
        <f t="shared" si="243"/>
        <v>24</v>
      </c>
      <c r="P4223" s="607">
        <v>13940</v>
      </c>
      <c r="Q4223" s="28">
        <f>164.68/1026.7</f>
        <v>0.16039738969513978</v>
      </c>
      <c r="U4223" s="600">
        <v>0.1</v>
      </c>
      <c r="W4223" s="741">
        <f t="shared" si="242"/>
        <v>2459.5335735852732</v>
      </c>
    </row>
    <row r="4224" spans="1:23" ht="15" customHeight="1">
      <c r="A4224" s="762">
        <v>41781</v>
      </c>
      <c r="B4224" s="583">
        <f t="shared" si="240"/>
        <v>900</v>
      </c>
      <c r="C4224" s="583">
        <v>78900</v>
      </c>
      <c r="D4224" s="761">
        <v>2175</v>
      </c>
      <c r="E4224" s="761">
        <v>110300</v>
      </c>
      <c r="F4224" s="761">
        <v>192275</v>
      </c>
      <c r="G4224" s="5">
        <v>0</v>
      </c>
      <c r="H4224" s="5">
        <v>100</v>
      </c>
      <c r="I4224" s="761">
        <v>19200</v>
      </c>
      <c r="J4224" s="597">
        <f t="shared" si="241"/>
        <v>9.98569756858666E-2</v>
      </c>
      <c r="K4224" s="586">
        <v>2112.5</v>
      </c>
      <c r="L4224" s="585">
        <v>2138</v>
      </c>
      <c r="M4224" s="598">
        <f t="shared" si="243"/>
        <v>25.5</v>
      </c>
      <c r="P4224" s="607">
        <v>13960</v>
      </c>
      <c r="Q4224" s="28">
        <f>164.5/1025.2</f>
        <v>0.16045649629340616</v>
      </c>
      <c r="U4224" s="600">
        <v>0.1</v>
      </c>
      <c r="W4224" s="741">
        <f t="shared" si="242"/>
        <v>2463.9699570815451</v>
      </c>
    </row>
    <row r="4225" spans="1:23" ht="15" customHeight="1">
      <c r="A4225" s="764">
        <v>41782</v>
      </c>
      <c r="B4225" s="583">
        <f t="shared" si="240"/>
        <v>900</v>
      </c>
      <c r="C4225" s="583">
        <v>78900</v>
      </c>
      <c r="D4225" s="763">
        <v>2175</v>
      </c>
      <c r="E4225" s="763">
        <v>110300</v>
      </c>
      <c r="F4225" s="763">
        <v>192275</v>
      </c>
      <c r="G4225" s="763">
        <v>0</v>
      </c>
      <c r="H4225" s="763">
        <v>0</v>
      </c>
      <c r="I4225" s="763">
        <v>19200</v>
      </c>
      <c r="J4225" s="597">
        <f t="shared" si="241"/>
        <v>9.98569756858666E-2</v>
      </c>
      <c r="K4225" s="586">
        <v>2123</v>
      </c>
      <c r="L4225" s="585">
        <v>2146</v>
      </c>
      <c r="M4225" s="598">
        <f t="shared" si="243"/>
        <v>23</v>
      </c>
      <c r="P4225" s="607">
        <v>13960</v>
      </c>
      <c r="Q4225" s="28">
        <f>164.3/1024.3</f>
        <v>0.16040222591037784</v>
      </c>
      <c r="U4225" s="600">
        <v>0.1</v>
      </c>
      <c r="W4225" s="741">
        <f t="shared" si="242"/>
        <v>2463.1365810797624</v>
      </c>
    </row>
    <row r="4226" spans="1:23" ht="15" customHeight="1">
      <c r="A4226" s="765">
        <v>41785</v>
      </c>
      <c r="G4226" s="26" t="s">
        <v>146</v>
      </c>
      <c r="K4226" s="586"/>
      <c r="L4226" s="585"/>
      <c r="M4226" s="598"/>
      <c r="P4226" s="607">
        <v>13990</v>
      </c>
      <c r="Q4226" s="28">
        <f>164.17/1023.9</f>
        <v>0.16033792362535404</v>
      </c>
      <c r="U4226" s="600">
        <v>0.1</v>
      </c>
      <c r="W4226" s="741">
        <f t="shared" si="242"/>
        <v>2467.4403066705736</v>
      </c>
    </row>
    <row r="4227" spans="1:23" ht="15" customHeight="1">
      <c r="A4227" s="767">
        <v>41786</v>
      </c>
      <c r="B4227" s="583">
        <f t="shared" si="240"/>
        <v>1125</v>
      </c>
      <c r="C4227" s="583">
        <v>78900</v>
      </c>
      <c r="D4227" s="768">
        <v>2175</v>
      </c>
      <c r="E4227" s="768">
        <v>110300</v>
      </c>
      <c r="F4227" s="768">
        <v>192500</v>
      </c>
      <c r="G4227" s="766">
        <v>325</v>
      </c>
      <c r="H4227" s="766">
        <v>100</v>
      </c>
      <c r="I4227" s="768">
        <v>19150</v>
      </c>
      <c r="J4227" s="597">
        <f t="shared" si="241"/>
        <v>9.9480519480519475E-2</v>
      </c>
      <c r="K4227" s="586">
        <v>2120</v>
      </c>
      <c r="L4227" s="585">
        <v>2142</v>
      </c>
      <c r="M4227" s="598">
        <f t="shared" ref="M4227:M4281" si="244">L4227-K4227</f>
        <v>22</v>
      </c>
      <c r="P4227" s="607">
        <v>13990</v>
      </c>
      <c r="Q4227" s="28">
        <f>163.61/1023.4</f>
        <v>0.15986906390463163</v>
      </c>
      <c r="U4227" s="600">
        <v>0.1</v>
      </c>
      <c r="W4227" s="741">
        <f t="shared" si="242"/>
        <v>2460.2250244283764</v>
      </c>
    </row>
    <row r="4228" spans="1:23" ht="15" customHeight="1">
      <c r="A4228" s="769">
        <v>41787</v>
      </c>
      <c r="B4228" s="583">
        <f t="shared" si="240"/>
        <v>350</v>
      </c>
      <c r="C4228" s="583">
        <v>79125</v>
      </c>
      <c r="D4228" s="768">
        <v>2175</v>
      </c>
      <c r="E4228" s="768">
        <v>110300</v>
      </c>
      <c r="F4228" s="768">
        <v>191950</v>
      </c>
      <c r="G4228" s="5">
        <v>0</v>
      </c>
      <c r="H4228" s="5">
        <v>550</v>
      </c>
      <c r="I4228" s="768">
        <v>18600</v>
      </c>
      <c r="J4228" s="597">
        <f t="shared" si="241"/>
        <v>9.6900234436051058E-2</v>
      </c>
      <c r="K4228" s="586">
        <v>2117</v>
      </c>
      <c r="L4228" s="585">
        <v>2145</v>
      </c>
      <c r="M4228" s="598">
        <f t="shared" si="244"/>
        <v>28</v>
      </c>
      <c r="P4228" s="607">
        <v>13990</v>
      </c>
      <c r="Q4228" s="28">
        <f>163.21/1022.6</f>
        <v>0.15960297281439467</v>
      </c>
      <c r="U4228" s="600">
        <v>0.1</v>
      </c>
      <c r="W4228" s="741">
        <f t="shared" si="242"/>
        <v>2456.1301486407197</v>
      </c>
    </row>
    <row r="4229" spans="1:23" ht="15" customHeight="1">
      <c r="A4229" s="771">
        <v>41788</v>
      </c>
      <c r="B4229" s="583">
        <f t="shared" si="240"/>
        <v>-200</v>
      </c>
      <c r="C4229" s="583">
        <v>78575</v>
      </c>
      <c r="D4229" s="770">
        <v>2175</v>
      </c>
      <c r="E4229" s="770">
        <v>110300</v>
      </c>
      <c r="F4229" s="770">
        <v>190850</v>
      </c>
      <c r="G4229" s="5">
        <v>0</v>
      </c>
      <c r="H4229" s="5">
        <v>1100</v>
      </c>
      <c r="I4229" s="770">
        <v>17500</v>
      </c>
      <c r="J4229" s="597">
        <f t="shared" si="241"/>
        <v>9.1695048467382759E-2</v>
      </c>
      <c r="K4229" s="586">
        <v>2075</v>
      </c>
      <c r="L4229" s="585">
        <v>2102</v>
      </c>
      <c r="M4229" s="598">
        <f t="shared" si="244"/>
        <v>27</v>
      </c>
      <c r="P4229" s="607">
        <v>13970</v>
      </c>
      <c r="Q4229" s="28">
        <f>163.52/1021.6</f>
        <v>0.16006264682850432</v>
      </c>
      <c r="U4229" s="600">
        <v>0.1</v>
      </c>
      <c r="W4229" s="741">
        <f t="shared" si="242"/>
        <v>2459.6826938136264</v>
      </c>
    </row>
    <row r="4230" spans="1:23" ht="15" customHeight="1">
      <c r="A4230" s="773">
        <v>41789</v>
      </c>
      <c r="B4230" s="583">
        <f t="shared" si="240"/>
        <v>100</v>
      </c>
      <c r="C4230" s="583">
        <v>77475</v>
      </c>
      <c r="D4230" s="772">
        <v>2175</v>
      </c>
      <c r="E4230" s="772">
        <v>110725</v>
      </c>
      <c r="F4230" s="772">
        <v>190475</v>
      </c>
      <c r="G4230" s="772">
        <v>425</v>
      </c>
      <c r="H4230" s="772">
        <v>800</v>
      </c>
      <c r="I4230" s="772">
        <v>16750</v>
      </c>
      <c r="J4230" s="597">
        <f t="shared" si="241"/>
        <v>8.7938049612810085E-2</v>
      </c>
      <c r="K4230" s="586">
        <v>2084.5</v>
      </c>
      <c r="L4230" s="585">
        <v>2109</v>
      </c>
      <c r="M4230" s="598">
        <f t="shared" si="244"/>
        <v>24.5</v>
      </c>
      <c r="N4230" s="420">
        <f>AVERAGE(K4209:K4230)</f>
        <v>2097.125</v>
      </c>
      <c r="O4230" s="410">
        <f>AVERAGE(K4120:K4230)</f>
        <v>2100.2912621359224</v>
      </c>
      <c r="P4230" s="607">
        <v>13970</v>
      </c>
      <c r="Q4230" s="28">
        <f>163.33/1020.4</f>
        <v>0.16006468051744416</v>
      </c>
      <c r="U4230" s="600">
        <v>0.1</v>
      </c>
      <c r="W4230" s="741">
        <f t="shared" si="242"/>
        <v>2459.7139455115648</v>
      </c>
    </row>
    <row r="4231" spans="1:23" ht="15" customHeight="1" thickBot="1">
      <c r="A4231" s="392"/>
      <c r="B4231" s="995"/>
      <c r="C4231" s="995"/>
      <c r="D4231" s="995"/>
      <c r="E4231" s="995"/>
      <c r="F4231" s="392"/>
      <c r="G4231" s="332"/>
      <c r="H4231" s="332"/>
      <c r="I4231" s="332"/>
      <c r="J4231" s="334"/>
      <c r="K4231" s="334"/>
      <c r="L4231" s="335"/>
      <c r="M4231" s="336"/>
      <c r="N4231" s="337"/>
      <c r="O4231" s="353"/>
      <c r="P4231" s="350"/>
      <c r="Q4231" s="299"/>
      <c r="R4231" s="453"/>
      <c r="S4231" s="454"/>
      <c r="T4231" s="454"/>
      <c r="U4231" s="302"/>
      <c r="V4231" s="298">
        <f>AVERAGE(P4209:P4230)</f>
        <v>13936.5</v>
      </c>
      <c r="W4231" s="751"/>
    </row>
    <row r="4232" spans="1:23" ht="15" customHeight="1">
      <c r="A4232" s="776">
        <v>41792</v>
      </c>
      <c r="B4232" s="583">
        <f t="shared" si="240"/>
        <v>900</v>
      </c>
      <c r="C4232" s="583">
        <v>76675</v>
      </c>
      <c r="D4232" s="775">
        <v>2175</v>
      </c>
      <c r="E4232" s="775">
        <v>110725</v>
      </c>
      <c r="F4232" s="775">
        <v>190475</v>
      </c>
      <c r="G4232" s="775">
        <v>0</v>
      </c>
      <c r="H4232" s="775">
        <v>0</v>
      </c>
      <c r="I4232" s="775">
        <v>16800</v>
      </c>
      <c r="J4232" s="597">
        <f t="shared" si="241"/>
        <v>8.8200551253445336E-2</v>
      </c>
      <c r="K4232" s="586">
        <v>2089</v>
      </c>
      <c r="L4232" s="585">
        <v>2115</v>
      </c>
      <c r="M4232" s="598">
        <f t="shared" si="244"/>
        <v>26</v>
      </c>
      <c r="P4232" s="607"/>
      <c r="Q4232" s="1012" t="s">
        <v>112</v>
      </c>
      <c r="R4232" s="1012"/>
      <c r="S4232" s="1012"/>
      <c r="T4232" s="1012"/>
      <c r="U4232" s="1012"/>
    </row>
    <row r="4233" spans="1:23" ht="15" customHeight="1">
      <c r="A4233" s="778">
        <v>41793</v>
      </c>
      <c r="B4233" s="583">
        <f t="shared" si="240"/>
        <v>850</v>
      </c>
      <c r="C4233" s="583">
        <v>76675</v>
      </c>
      <c r="D4233" s="777">
        <v>2175</v>
      </c>
      <c r="E4233" s="777">
        <v>110725</v>
      </c>
      <c r="F4233" s="777">
        <v>190425</v>
      </c>
      <c r="G4233" s="5">
        <v>0</v>
      </c>
      <c r="H4233" s="5">
        <v>50</v>
      </c>
      <c r="I4233" s="777">
        <v>17050</v>
      </c>
      <c r="J4233" s="597">
        <f t="shared" si="241"/>
        <v>8.9536562951293155E-2</v>
      </c>
      <c r="K4233" s="586">
        <v>2095</v>
      </c>
      <c r="L4233" s="585">
        <v>2120</v>
      </c>
      <c r="M4233" s="598">
        <f t="shared" si="244"/>
        <v>25</v>
      </c>
      <c r="P4233" s="607">
        <v>13970</v>
      </c>
      <c r="Q4233" s="28">
        <f>163.62/1023.6</f>
        <v>0.15984759671746776</v>
      </c>
      <c r="U4233" s="600">
        <v>0.1</v>
      </c>
      <c r="W4233" s="741">
        <f t="shared" ref="W4233:W4248" si="245">(P4233*Q4233)*(1+U4233)</f>
        <v>2456.3780187573275</v>
      </c>
    </row>
    <row r="4234" spans="1:23" ht="15" customHeight="1">
      <c r="A4234" s="778">
        <v>41794</v>
      </c>
      <c r="B4234" s="583">
        <f t="shared" si="240"/>
        <v>900</v>
      </c>
      <c r="C4234" s="583">
        <v>76625</v>
      </c>
      <c r="D4234" s="779">
        <v>2175</v>
      </c>
      <c r="E4234" s="779">
        <v>110725</v>
      </c>
      <c r="F4234" s="777">
        <v>190425</v>
      </c>
      <c r="G4234" s="777">
        <v>0</v>
      </c>
      <c r="H4234" s="777">
        <v>0</v>
      </c>
      <c r="I4234" s="777">
        <v>17650</v>
      </c>
      <c r="J4234" s="597">
        <f t="shared" si="241"/>
        <v>9.2687409741367993E-2</v>
      </c>
      <c r="K4234" s="586">
        <v>2095</v>
      </c>
      <c r="L4234" s="585">
        <v>2117</v>
      </c>
      <c r="M4234" s="598">
        <f t="shared" si="244"/>
        <v>22</v>
      </c>
      <c r="P4234" s="607">
        <v>13970</v>
      </c>
      <c r="Q4234" s="28">
        <f>163.77/1024.3</f>
        <v>0.15988479937518307</v>
      </c>
      <c r="U4234" s="600">
        <v>0.1</v>
      </c>
      <c r="W4234" s="741">
        <f t="shared" si="245"/>
        <v>2456.9497119984385</v>
      </c>
    </row>
    <row r="4235" spans="1:23" ht="15" customHeight="1">
      <c r="A4235" s="781">
        <v>41795</v>
      </c>
      <c r="B4235" s="583">
        <f t="shared" si="240"/>
        <v>850</v>
      </c>
      <c r="C4235" s="583">
        <v>76625</v>
      </c>
      <c r="D4235" s="780">
        <v>2175</v>
      </c>
      <c r="E4235" s="780">
        <v>110725</v>
      </c>
      <c r="F4235" s="780">
        <v>190375</v>
      </c>
      <c r="G4235" s="5">
        <v>0</v>
      </c>
      <c r="H4235" s="5">
        <v>50</v>
      </c>
      <c r="I4235" s="780">
        <v>17600</v>
      </c>
      <c r="J4235" s="597">
        <f t="shared" si="241"/>
        <v>9.2449113591595536E-2</v>
      </c>
      <c r="K4235" s="586">
        <v>2080</v>
      </c>
      <c r="L4235" s="585">
        <v>2100.5</v>
      </c>
      <c r="M4235" s="598">
        <f t="shared" si="244"/>
        <v>20.5</v>
      </c>
      <c r="P4235" s="607">
        <v>13950</v>
      </c>
      <c r="Q4235" s="587">
        <f>163.77/1024.3</f>
        <v>0.15988479937518307</v>
      </c>
      <c r="U4235" s="600">
        <v>0.1</v>
      </c>
      <c r="W4235" s="741">
        <f t="shared" si="245"/>
        <v>2453.4322464121847</v>
      </c>
    </row>
    <row r="4236" spans="1:23" ht="15" customHeight="1">
      <c r="A4236" s="781">
        <v>41796</v>
      </c>
      <c r="B4236" s="583">
        <f t="shared" si="240"/>
        <v>800</v>
      </c>
      <c r="C4236" s="583">
        <v>76575</v>
      </c>
      <c r="D4236" s="780">
        <v>2175</v>
      </c>
      <c r="E4236" s="780">
        <v>111825</v>
      </c>
      <c r="F4236" s="780">
        <v>191375</v>
      </c>
      <c r="G4236" s="5">
        <v>1100</v>
      </c>
      <c r="H4236" s="5">
        <v>100</v>
      </c>
      <c r="I4236" s="780">
        <v>17500</v>
      </c>
      <c r="J4236" s="597">
        <f t="shared" si="241"/>
        <v>9.1443500979751791E-2</v>
      </c>
      <c r="K4236" s="586">
        <v>2063</v>
      </c>
      <c r="L4236" s="585">
        <v>2084</v>
      </c>
      <c r="M4236" s="598">
        <f t="shared" si="244"/>
        <v>21</v>
      </c>
      <c r="P4236" s="607">
        <v>13950</v>
      </c>
      <c r="Q4236" s="28">
        <f>163.75/1022.6</f>
        <v>0.16013103852923918</v>
      </c>
      <c r="U4236" s="600">
        <v>0.1</v>
      </c>
      <c r="W4236" s="741">
        <f t="shared" si="245"/>
        <v>2457.2107862311755</v>
      </c>
    </row>
    <row r="4237" spans="1:23" ht="15" customHeight="1">
      <c r="A4237" s="783">
        <v>41799</v>
      </c>
      <c r="B4237" s="583">
        <f t="shared" si="240"/>
        <v>900</v>
      </c>
      <c r="C4237" s="583">
        <v>76475</v>
      </c>
      <c r="D4237" s="782">
        <v>2175</v>
      </c>
      <c r="E4237" s="782">
        <v>111225</v>
      </c>
      <c r="F4237" s="782">
        <v>190775</v>
      </c>
      <c r="G4237" s="5">
        <v>0</v>
      </c>
      <c r="H4237" s="5">
        <v>600</v>
      </c>
      <c r="I4237" s="782">
        <v>16900</v>
      </c>
      <c r="J4237" s="597">
        <f t="shared" si="241"/>
        <v>8.8586030664395229E-2</v>
      </c>
      <c r="K4237" s="586">
        <v>2104.5</v>
      </c>
      <c r="L4237" s="585">
        <v>2125.5</v>
      </c>
      <c r="M4237" s="598">
        <f t="shared" si="244"/>
        <v>21</v>
      </c>
      <c r="P4237" s="607">
        <v>13900</v>
      </c>
      <c r="Q4237" s="28">
        <f>163.38/1017.4</f>
        <v>0.16058580695891489</v>
      </c>
      <c r="U4237" s="600">
        <v>0.1</v>
      </c>
      <c r="W4237" s="741">
        <f t="shared" si="245"/>
        <v>2455.3569884018088</v>
      </c>
    </row>
    <row r="4238" spans="1:23" ht="15" customHeight="1">
      <c r="A4238" s="785">
        <v>41800</v>
      </c>
      <c r="B4238" s="583">
        <f t="shared" si="240"/>
        <v>900</v>
      </c>
      <c r="C4238" s="583">
        <v>76475</v>
      </c>
      <c r="D4238" s="784">
        <v>2175</v>
      </c>
      <c r="E4238" s="784">
        <v>111225</v>
      </c>
      <c r="F4238" s="784">
        <v>190775</v>
      </c>
      <c r="G4238" s="784">
        <v>0</v>
      </c>
      <c r="H4238" s="784">
        <v>0</v>
      </c>
      <c r="I4238" s="784">
        <v>16900</v>
      </c>
      <c r="J4238" s="597">
        <f t="shared" si="241"/>
        <v>8.8586030664395229E-2</v>
      </c>
      <c r="K4238" s="586">
        <v>2108</v>
      </c>
      <c r="L4238" s="585">
        <v>2130</v>
      </c>
      <c r="M4238" s="598">
        <f t="shared" si="244"/>
        <v>22</v>
      </c>
      <c r="P4238" s="607">
        <v>13925</v>
      </c>
      <c r="Q4238" s="28">
        <f>163.53/1016.5</f>
        <v>0.16087555336940482</v>
      </c>
      <c r="U4238" s="600">
        <v>0.1</v>
      </c>
      <c r="W4238" s="741">
        <f t="shared" si="245"/>
        <v>2464.2112887358585</v>
      </c>
    </row>
    <row r="4239" spans="1:23" ht="15" customHeight="1">
      <c r="A4239" s="787">
        <v>41801</v>
      </c>
      <c r="B4239" s="583">
        <f t="shared" si="240"/>
        <v>900</v>
      </c>
      <c r="C4239" s="583">
        <v>76475</v>
      </c>
      <c r="D4239" s="786">
        <v>2175</v>
      </c>
      <c r="E4239" s="786">
        <v>111225</v>
      </c>
      <c r="F4239" s="786">
        <v>190775</v>
      </c>
      <c r="G4239" s="786">
        <v>0</v>
      </c>
      <c r="H4239" s="786">
        <v>0</v>
      </c>
      <c r="I4239" s="786">
        <v>14950</v>
      </c>
      <c r="J4239" s="597">
        <f t="shared" si="241"/>
        <v>7.8364565587734247E-2</v>
      </c>
      <c r="K4239" s="586">
        <v>2090.5</v>
      </c>
      <c r="L4239" s="585">
        <v>2118.5</v>
      </c>
      <c r="M4239" s="598">
        <f t="shared" si="244"/>
        <v>28</v>
      </c>
      <c r="P4239" s="607">
        <v>14010</v>
      </c>
      <c r="Q4239" s="28">
        <f>163.3/1016.5</f>
        <v>0.16064928676832269</v>
      </c>
      <c r="U4239" s="600">
        <v>0.1</v>
      </c>
      <c r="W4239" s="741">
        <f t="shared" si="245"/>
        <v>2475.7661583866211</v>
      </c>
    </row>
    <row r="4240" spans="1:23" ht="15" customHeight="1">
      <c r="A4240" s="789">
        <v>41802</v>
      </c>
      <c r="B4240" s="583">
        <f t="shared" si="240"/>
        <v>1400</v>
      </c>
      <c r="C4240" s="583">
        <v>76475</v>
      </c>
      <c r="D4240" s="788">
        <v>2175</v>
      </c>
      <c r="E4240" s="788">
        <v>111225</v>
      </c>
      <c r="F4240" s="788">
        <v>191275</v>
      </c>
      <c r="G4240" s="5">
        <v>500</v>
      </c>
      <c r="H4240" s="5">
        <v>0</v>
      </c>
      <c r="I4240" s="788">
        <v>14950</v>
      </c>
      <c r="J4240" s="597">
        <f t="shared" si="241"/>
        <v>7.8159717683962876E-2</v>
      </c>
      <c r="K4240" s="586">
        <v>2084.5</v>
      </c>
      <c r="L4240" s="585">
        <v>2115</v>
      </c>
      <c r="M4240" s="598">
        <f t="shared" si="244"/>
        <v>30.5</v>
      </c>
      <c r="P4240" s="607">
        <v>13990</v>
      </c>
      <c r="Q4240" s="28">
        <f>163.79/1017.5</f>
        <v>0.16097297297297297</v>
      </c>
      <c r="U4240" s="600">
        <v>0.1</v>
      </c>
      <c r="W4240" s="741">
        <f t="shared" si="245"/>
        <v>2477.2130810810813</v>
      </c>
    </row>
    <row r="4241" spans="1:23" ht="15" customHeight="1">
      <c r="A4241" s="790">
        <v>41803</v>
      </c>
      <c r="B4241" s="583">
        <f t="shared" ref="B4241:B4258" si="246">F4241-E4241-D4241-C530-C4241</f>
        <v>1400</v>
      </c>
      <c r="C4241" s="4">
        <v>76475</v>
      </c>
      <c r="D4241" s="5">
        <v>2175</v>
      </c>
      <c r="E4241" s="5">
        <v>111200</v>
      </c>
      <c r="F4241" s="5">
        <v>191250</v>
      </c>
      <c r="G4241" s="5">
        <v>0</v>
      </c>
      <c r="H4241" s="5">
        <v>25</v>
      </c>
      <c r="I4241" s="5">
        <v>15500</v>
      </c>
      <c r="J4241" s="597">
        <f t="shared" si="241"/>
        <v>8.1045751633986932E-2</v>
      </c>
      <c r="K4241" s="586">
        <v>2054</v>
      </c>
      <c r="L4241" s="6">
        <v>2085</v>
      </c>
      <c r="M4241" s="598">
        <f t="shared" si="244"/>
        <v>31</v>
      </c>
      <c r="P4241" s="607">
        <v>13940</v>
      </c>
      <c r="Q4241" s="28">
        <f>163.84/1018</f>
        <v>0.16094302554027506</v>
      </c>
      <c r="U4241" s="600">
        <v>0.1</v>
      </c>
      <c r="W4241" s="741">
        <f t="shared" si="245"/>
        <v>2467.9003536345781</v>
      </c>
    </row>
    <row r="4242" spans="1:23" ht="15" customHeight="1">
      <c r="A4242" s="3">
        <v>41806</v>
      </c>
      <c r="B4242" s="583">
        <f t="shared" si="246"/>
        <v>1250</v>
      </c>
      <c r="C4242" s="4">
        <v>76475</v>
      </c>
      <c r="D4242" s="5">
        <v>2175</v>
      </c>
      <c r="E4242" s="5">
        <v>111200</v>
      </c>
      <c r="F4242" s="5">
        <v>191100</v>
      </c>
      <c r="G4242" s="5">
        <v>0</v>
      </c>
      <c r="H4242" s="5">
        <v>150</v>
      </c>
      <c r="I4242" s="5">
        <v>12325</v>
      </c>
      <c r="J4242" s="597">
        <f t="shared" si="241"/>
        <v>6.4495028780743063E-2</v>
      </c>
      <c r="K4242" s="24">
        <v>2064</v>
      </c>
      <c r="L4242" s="6">
        <v>2090</v>
      </c>
      <c r="M4242" s="598">
        <f t="shared" si="244"/>
        <v>26</v>
      </c>
      <c r="P4242" s="607">
        <v>13940</v>
      </c>
      <c r="Q4242" s="28">
        <f>163.84/1018</f>
        <v>0.16094302554027506</v>
      </c>
      <c r="U4242" s="600">
        <v>0.1</v>
      </c>
      <c r="W4242" s="741">
        <f t="shared" si="245"/>
        <v>2467.9003536345781</v>
      </c>
    </row>
    <row r="4243" spans="1:23" ht="15" customHeight="1">
      <c r="A4243" s="792">
        <v>41807</v>
      </c>
      <c r="B4243" s="583">
        <f t="shared" si="246"/>
        <v>2375</v>
      </c>
      <c r="C4243" s="4">
        <v>76325</v>
      </c>
      <c r="D4243" s="5">
        <v>2175</v>
      </c>
      <c r="E4243" s="5">
        <v>112000</v>
      </c>
      <c r="F4243" s="5">
        <v>192875</v>
      </c>
      <c r="G4243" s="5">
        <v>1925</v>
      </c>
      <c r="H4243" s="5">
        <v>150</v>
      </c>
      <c r="I4243" s="5">
        <v>12175</v>
      </c>
      <c r="J4243" s="263">
        <f t="shared" si="241"/>
        <v>6.3123784834737517E-2</v>
      </c>
      <c r="K4243" s="24">
        <v>2092</v>
      </c>
      <c r="L4243" s="6">
        <v>2116.5</v>
      </c>
      <c r="M4243" s="598">
        <f t="shared" si="244"/>
        <v>24.5</v>
      </c>
      <c r="P4243" s="607">
        <v>13940</v>
      </c>
      <c r="Q4243" s="28">
        <f>163.99/1022.1</f>
        <v>0.16044418354368459</v>
      </c>
      <c r="U4243" s="600">
        <v>0.1</v>
      </c>
      <c r="W4243" s="741">
        <f t="shared" si="245"/>
        <v>2460.2511104588598</v>
      </c>
    </row>
    <row r="4244" spans="1:23" ht="15" customHeight="1">
      <c r="A4244" s="793">
        <v>41808</v>
      </c>
      <c r="B4244" s="583">
        <f t="shared" si="246"/>
        <v>1100</v>
      </c>
      <c r="C4244" s="4">
        <v>77300</v>
      </c>
      <c r="D4244" s="5">
        <v>2175</v>
      </c>
      <c r="E4244" s="5">
        <v>112000</v>
      </c>
      <c r="F4244" s="5">
        <v>192575</v>
      </c>
      <c r="G4244" s="5">
        <v>0</v>
      </c>
      <c r="H4244" s="5">
        <v>300</v>
      </c>
      <c r="I4244" s="5">
        <v>11975</v>
      </c>
      <c r="J4244" s="263">
        <f t="shared" si="241"/>
        <v>6.2183564844865639E-2</v>
      </c>
      <c r="K4244" s="24">
        <v>2100</v>
      </c>
      <c r="L4244" s="6">
        <v>2127</v>
      </c>
      <c r="M4244" s="598">
        <f t="shared" si="244"/>
        <v>27</v>
      </c>
      <c r="P4244" s="607">
        <v>13940</v>
      </c>
      <c r="Q4244" s="28">
        <f>164.29/1023.1</f>
        <v>0.16058058840778028</v>
      </c>
      <c r="U4244" s="600">
        <v>0.1</v>
      </c>
      <c r="W4244" s="741">
        <f t="shared" si="245"/>
        <v>2462.342742644903</v>
      </c>
    </row>
    <row r="4245" spans="1:23" ht="15" customHeight="1">
      <c r="A4245" s="794">
        <v>41809</v>
      </c>
      <c r="B4245" s="583">
        <f t="shared" si="246"/>
        <v>1400</v>
      </c>
      <c r="C4245" s="4">
        <v>77000</v>
      </c>
      <c r="D4245" s="5">
        <v>2175</v>
      </c>
      <c r="E4245" s="5">
        <v>112000</v>
      </c>
      <c r="F4245" s="5">
        <v>192575</v>
      </c>
      <c r="G4245" s="5">
        <v>0</v>
      </c>
      <c r="H4245" s="5">
        <v>0</v>
      </c>
      <c r="I4245" s="5">
        <v>11975</v>
      </c>
      <c r="J4245" s="597">
        <f t="shared" si="241"/>
        <v>6.2183564844865639E-2</v>
      </c>
      <c r="K4245" s="24">
        <v>2097.5</v>
      </c>
      <c r="L4245" s="6">
        <v>2124.5</v>
      </c>
      <c r="M4245" s="598">
        <f t="shared" si="244"/>
        <v>27</v>
      </c>
      <c r="P4245" s="607">
        <v>13940</v>
      </c>
      <c r="Q4245" s="28">
        <f>163.45/1018.3</f>
        <v>0.16051261907100067</v>
      </c>
      <c r="U4245" s="600">
        <v>0.1</v>
      </c>
      <c r="W4245" s="741">
        <f t="shared" si="245"/>
        <v>2461.3005008347245</v>
      </c>
    </row>
    <row r="4246" spans="1:23" ht="15" customHeight="1">
      <c r="A4246" s="795">
        <v>41810</v>
      </c>
      <c r="B4246" s="583">
        <f t="shared" si="246"/>
        <v>1400</v>
      </c>
      <c r="C4246" s="4">
        <v>77000</v>
      </c>
      <c r="D4246" s="5">
        <v>2175</v>
      </c>
      <c r="E4246" s="5">
        <v>112000</v>
      </c>
      <c r="F4246" s="5">
        <v>192575</v>
      </c>
      <c r="G4246" s="5">
        <v>0</v>
      </c>
      <c r="H4246" s="5">
        <v>0</v>
      </c>
      <c r="I4246" s="5">
        <v>11975</v>
      </c>
      <c r="J4246" s="263">
        <f t="shared" si="241"/>
        <v>6.2183564844865639E-2</v>
      </c>
      <c r="K4246" s="24">
        <v>2108</v>
      </c>
      <c r="L4246" s="6">
        <v>2134</v>
      </c>
      <c r="M4246" s="598">
        <f t="shared" si="244"/>
        <v>26</v>
      </c>
      <c r="P4246" s="607">
        <v>13940</v>
      </c>
      <c r="Q4246" s="28">
        <f>163.74/1019.6</f>
        <v>0.1605923891722244</v>
      </c>
      <c r="U4246" s="600">
        <v>0.1</v>
      </c>
      <c r="W4246" s="741">
        <f t="shared" si="245"/>
        <v>2462.5236955668893</v>
      </c>
    </row>
    <row r="4247" spans="1:23" ht="15" customHeight="1">
      <c r="A4247" s="803">
        <v>41813</v>
      </c>
      <c r="B4247" s="583">
        <f t="shared" si="246"/>
        <v>1400</v>
      </c>
      <c r="C4247" s="4">
        <v>77000</v>
      </c>
      <c r="D4247" s="5">
        <v>2175</v>
      </c>
      <c r="E4247" s="5">
        <v>112000</v>
      </c>
      <c r="F4247" s="802">
        <v>192575</v>
      </c>
      <c r="G4247" s="5">
        <v>0</v>
      </c>
      <c r="H4247" s="5">
        <v>0</v>
      </c>
      <c r="I4247" s="5">
        <v>11975</v>
      </c>
      <c r="J4247" s="597">
        <f t="shared" si="241"/>
        <v>6.2183564844865639E-2</v>
      </c>
      <c r="K4247" s="24">
        <v>2137</v>
      </c>
      <c r="L4247" s="6">
        <v>2167</v>
      </c>
      <c r="M4247" s="598">
        <f t="shared" si="244"/>
        <v>30</v>
      </c>
      <c r="P4247" s="607">
        <v>13940</v>
      </c>
      <c r="Q4247" s="28">
        <f>163.64/1018.4</f>
        <v>0.16068342498036134</v>
      </c>
      <c r="U4247" s="600">
        <v>0.1</v>
      </c>
      <c r="W4247" s="741">
        <f t="shared" si="245"/>
        <v>2463.9196386488611</v>
      </c>
    </row>
    <row r="4248" spans="1:23" ht="15" customHeight="1">
      <c r="A4248" s="804">
        <v>41814</v>
      </c>
      <c r="B4248" s="583">
        <f t="shared" si="246"/>
        <v>1400</v>
      </c>
      <c r="C4248" s="4">
        <v>77000</v>
      </c>
      <c r="D4248" s="5">
        <v>2175</v>
      </c>
      <c r="E4248" s="5">
        <v>111950</v>
      </c>
      <c r="F4248" s="5">
        <v>192525</v>
      </c>
      <c r="G4248" s="5">
        <v>0</v>
      </c>
      <c r="H4248" s="5">
        <v>50</v>
      </c>
      <c r="I4248" s="5">
        <v>11925</v>
      </c>
      <c r="J4248" s="597">
        <f t="shared" si="241"/>
        <v>6.1940007791195947E-2</v>
      </c>
      <c r="K4248" s="24">
        <v>2160</v>
      </c>
      <c r="L4248" s="6">
        <v>2190</v>
      </c>
      <c r="M4248" s="598">
        <f t="shared" si="244"/>
        <v>30</v>
      </c>
      <c r="P4248" s="607">
        <v>13960</v>
      </c>
      <c r="Q4248" s="28">
        <f>163.36/1018</f>
        <v>0.16047151277013755</v>
      </c>
      <c r="U4248" s="600">
        <v>0.1</v>
      </c>
      <c r="W4248" s="741">
        <f t="shared" si="245"/>
        <v>2464.2005500982323</v>
      </c>
    </row>
    <row r="4249" spans="1:23" ht="15" customHeight="1">
      <c r="A4249" s="805">
        <v>41815</v>
      </c>
      <c r="B4249" s="583">
        <f t="shared" si="246"/>
        <v>1050</v>
      </c>
      <c r="C4249" s="4">
        <v>77000</v>
      </c>
      <c r="D4249" s="5">
        <v>2175</v>
      </c>
      <c r="E4249" s="5">
        <v>111950</v>
      </c>
      <c r="F4249" s="5">
        <v>192175</v>
      </c>
      <c r="G4249" s="5">
        <v>0</v>
      </c>
      <c r="H4249" s="5">
        <v>350</v>
      </c>
      <c r="I4249" s="5">
        <v>11900</v>
      </c>
      <c r="J4249" s="263">
        <f t="shared" si="241"/>
        <v>6.1922726681410176E-2</v>
      </c>
      <c r="K4249" s="24">
        <v>2139.5</v>
      </c>
      <c r="L4249" s="6">
        <v>2168</v>
      </c>
      <c r="M4249" s="598">
        <f t="shared" si="244"/>
        <v>28.5</v>
      </c>
      <c r="P4249" s="607">
        <v>13960</v>
      </c>
      <c r="Q4249" s="28">
        <f>163.86/1020.6</f>
        <v>0.16055261610817168</v>
      </c>
      <c r="U4249" s="600">
        <v>0.1</v>
      </c>
      <c r="W4249" s="741">
        <f>(P4249*Q4249)*(1+U4249)</f>
        <v>2465.4459729570845</v>
      </c>
    </row>
    <row r="4250" spans="1:23" ht="15" customHeight="1">
      <c r="A4250" s="806">
        <v>41816</v>
      </c>
      <c r="B4250" s="583">
        <f t="shared" si="246"/>
        <v>1175</v>
      </c>
      <c r="C4250" s="4">
        <v>76650</v>
      </c>
      <c r="D4250" s="5">
        <v>2175</v>
      </c>
      <c r="E4250" s="5">
        <v>111900</v>
      </c>
      <c r="F4250" s="5">
        <v>191900</v>
      </c>
      <c r="G4250" s="5">
        <v>0</v>
      </c>
      <c r="H4250" s="5">
        <v>275</v>
      </c>
      <c r="I4250" s="5">
        <v>11625</v>
      </c>
      <c r="J4250" s="263">
        <f t="shared" si="241"/>
        <v>6.0578426263679E-2</v>
      </c>
      <c r="K4250" s="24">
        <v>2140.5</v>
      </c>
      <c r="L4250" s="6">
        <v>2170</v>
      </c>
      <c r="M4250" s="598">
        <f t="shared" si="244"/>
        <v>29.5</v>
      </c>
      <c r="P4250" s="607">
        <v>13940</v>
      </c>
      <c r="Q4250" s="28">
        <f>163.34/1017</f>
        <v>0.16060963618485743</v>
      </c>
      <c r="U4250" s="600">
        <v>0.1</v>
      </c>
      <c r="W4250" s="741">
        <f>(P4250*Q4250)*(1+U4250)</f>
        <v>2462.7881612586039</v>
      </c>
    </row>
    <row r="4251" spans="1:23" ht="15" customHeight="1">
      <c r="A4251" s="807">
        <v>41817</v>
      </c>
      <c r="B4251" s="583">
        <f t="shared" si="246"/>
        <v>1400</v>
      </c>
      <c r="C4251" s="4">
        <v>76425</v>
      </c>
      <c r="D4251" s="5">
        <v>2175</v>
      </c>
      <c r="E4251" s="5">
        <v>113400</v>
      </c>
      <c r="F4251" s="5">
        <v>193400</v>
      </c>
      <c r="G4251" s="5">
        <v>1500</v>
      </c>
      <c r="H4251" s="5">
        <v>0</v>
      </c>
      <c r="I4251" s="5">
        <v>11625</v>
      </c>
      <c r="J4251" s="597">
        <f t="shared" si="241"/>
        <v>6.010858324715615E-2</v>
      </c>
      <c r="K4251" s="24">
        <v>2138.5</v>
      </c>
      <c r="L4251" s="6">
        <v>2163.5</v>
      </c>
      <c r="M4251" s="598">
        <f t="shared" si="244"/>
        <v>25</v>
      </c>
      <c r="P4251" s="607">
        <v>13940</v>
      </c>
      <c r="Q4251" s="28">
        <f>163.2/1014.4</f>
        <v>0.16088328075709779</v>
      </c>
      <c r="U4251" s="600">
        <v>0.1</v>
      </c>
      <c r="W4251" s="741">
        <f>(P4251*Q4251)*(1+U4251)</f>
        <v>2466.9842271293378</v>
      </c>
    </row>
    <row r="4252" spans="1:23" ht="15" customHeight="1">
      <c r="A4252" s="808">
        <v>41820</v>
      </c>
      <c r="B4252" s="583">
        <f t="shared" si="246"/>
        <v>1400</v>
      </c>
      <c r="C4252" s="4">
        <v>76425</v>
      </c>
      <c r="D4252" s="5">
        <v>2175</v>
      </c>
      <c r="E4252" s="5">
        <v>113800</v>
      </c>
      <c r="F4252" s="5">
        <v>193800</v>
      </c>
      <c r="G4252" s="5">
        <v>500</v>
      </c>
      <c r="H4252" s="5">
        <v>100</v>
      </c>
      <c r="I4252" s="5">
        <v>11525</v>
      </c>
      <c r="J4252" s="597">
        <f t="shared" si="241"/>
        <v>5.9468524251805988E-2</v>
      </c>
      <c r="K4252" s="24">
        <v>2129</v>
      </c>
      <c r="L4252" s="6">
        <v>2159</v>
      </c>
      <c r="M4252" s="598">
        <f t="shared" si="244"/>
        <v>30</v>
      </c>
      <c r="N4252" s="420">
        <f>AVERAGE(K4232:K4252)</f>
        <v>2103.3095238095239</v>
      </c>
      <c r="O4252" s="410">
        <f>AVERAGE(K4120:K4252)</f>
        <v>2100.8024193548385</v>
      </c>
      <c r="P4252" s="607">
        <v>13940</v>
      </c>
      <c r="Q4252" s="28">
        <f>163.11/1012.1</f>
        <v>0.16115996443039227</v>
      </c>
      <c r="U4252" s="600">
        <v>0.1</v>
      </c>
      <c r="W4252" s="741">
        <f>(P4252*Q4252)*(1+U4252)</f>
        <v>2471.226894575635</v>
      </c>
    </row>
    <row r="4253" spans="1:23" ht="15" customHeight="1" thickBot="1">
      <c r="A4253" s="392"/>
      <c r="B4253" s="995"/>
      <c r="C4253" s="995"/>
      <c r="D4253" s="995"/>
      <c r="E4253" s="995"/>
      <c r="F4253" s="392"/>
      <c r="G4253" s="332"/>
      <c r="H4253" s="332"/>
      <c r="I4253" s="332"/>
      <c r="J4253" s="334"/>
      <c r="K4253" s="334"/>
      <c r="L4253" s="335"/>
      <c r="M4253" s="336"/>
      <c r="N4253" s="337"/>
      <c r="O4253" s="353"/>
      <c r="P4253" s="350"/>
      <c r="Q4253" s="299"/>
      <c r="R4253" s="453"/>
      <c r="S4253" s="454"/>
      <c r="T4253" s="454"/>
      <c r="U4253" s="302"/>
      <c r="V4253" s="298">
        <f>AVERAGE(P4232:P4252)</f>
        <v>13949.25</v>
      </c>
      <c r="W4253" s="751"/>
    </row>
    <row r="4254" spans="1:23" ht="15" customHeight="1">
      <c r="A4254" s="810">
        <v>41821</v>
      </c>
      <c r="B4254" s="583">
        <f t="shared" si="246"/>
        <v>1400</v>
      </c>
      <c r="C4254" s="4">
        <v>76425</v>
      </c>
      <c r="D4254" s="5">
        <v>2175</v>
      </c>
      <c r="E4254" s="5">
        <v>113700</v>
      </c>
      <c r="F4254" s="5">
        <v>193700</v>
      </c>
      <c r="G4254" s="5">
        <v>0</v>
      </c>
      <c r="H4254" s="5">
        <v>100</v>
      </c>
      <c r="I4254" s="5">
        <v>11425</v>
      </c>
      <c r="J4254" s="597">
        <f t="shared" si="241"/>
        <v>5.8982963345379454E-2</v>
      </c>
      <c r="K4254" s="24">
        <v>2129</v>
      </c>
      <c r="L4254" s="6">
        <v>2163</v>
      </c>
      <c r="M4254" s="598">
        <f t="shared" si="244"/>
        <v>34</v>
      </c>
      <c r="P4254" s="607">
        <v>13940</v>
      </c>
      <c r="Q4254" s="28">
        <f>163.07/1011.8</f>
        <v>0.16116821506226528</v>
      </c>
      <c r="U4254" s="600">
        <v>0.1</v>
      </c>
      <c r="W4254" s="741">
        <f t="shared" ref="W4254:W4260" si="247">(P4254*Q4254)*(1+U4254)</f>
        <v>2471.3534097647762</v>
      </c>
    </row>
    <row r="4255" spans="1:23" ht="15" customHeight="1">
      <c r="A4255" s="811">
        <v>41822</v>
      </c>
      <c r="B4255" s="583">
        <f t="shared" si="246"/>
        <v>1400</v>
      </c>
      <c r="C4255" s="4">
        <v>76425</v>
      </c>
      <c r="D4255" s="5">
        <v>2175</v>
      </c>
      <c r="E4255" s="5">
        <v>113700</v>
      </c>
      <c r="F4255" s="5">
        <v>193700</v>
      </c>
      <c r="G4255" s="5">
        <v>0</v>
      </c>
      <c r="H4255" s="5">
        <v>0</v>
      </c>
      <c r="I4255" s="5">
        <v>11425</v>
      </c>
      <c r="J4255" s="597">
        <f t="shared" si="241"/>
        <v>5.8982963345379454E-2</v>
      </c>
      <c r="K4255" s="24">
        <v>2140</v>
      </c>
      <c r="L4255" s="6">
        <v>2166</v>
      </c>
      <c r="M4255" s="598">
        <f t="shared" si="244"/>
        <v>26</v>
      </c>
      <c r="P4255" s="607">
        <v>13920</v>
      </c>
      <c r="Q4255" s="28">
        <f>162.48/1009.8</f>
        <v>0.16090314913844325</v>
      </c>
      <c r="U4255" s="600">
        <v>0.1</v>
      </c>
      <c r="W4255" s="741">
        <f t="shared" si="247"/>
        <v>2463.7490196078429</v>
      </c>
    </row>
    <row r="4256" spans="1:23" ht="15" customHeight="1">
      <c r="A4256" s="812">
        <v>41823</v>
      </c>
      <c r="B4256" s="583">
        <f t="shared" si="246"/>
        <v>1400</v>
      </c>
      <c r="C4256" s="4">
        <v>76425</v>
      </c>
      <c r="D4256" s="5">
        <v>2175</v>
      </c>
      <c r="E4256" s="5">
        <v>133600</v>
      </c>
      <c r="F4256" s="5">
        <v>213600</v>
      </c>
      <c r="G4256" s="5">
        <v>19900</v>
      </c>
      <c r="H4256" s="5">
        <v>0</v>
      </c>
      <c r="I4256" s="5">
        <v>11425</v>
      </c>
      <c r="J4256" s="597">
        <f t="shared" ref="J4256:J4292" si="248">I4256/F4256</f>
        <v>5.3487827715355804E-2</v>
      </c>
      <c r="K4256" s="24">
        <v>2160.5</v>
      </c>
      <c r="L4256" s="6">
        <v>2193</v>
      </c>
      <c r="M4256" s="598">
        <f t="shared" si="244"/>
        <v>32.5</v>
      </c>
      <c r="P4256" s="607">
        <v>13970</v>
      </c>
      <c r="Q4256" s="28">
        <f>162.54/1009.6</f>
        <v>0.1609944532488114</v>
      </c>
      <c r="U4256" s="600">
        <v>0.1</v>
      </c>
      <c r="W4256" s="741">
        <f t="shared" si="247"/>
        <v>2474.0017630744851</v>
      </c>
    </row>
    <row r="4257" spans="1:23" ht="15" customHeight="1">
      <c r="A4257" s="814">
        <v>41824</v>
      </c>
      <c r="B4257" s="583">
        <f t="shared" si="246"/>
        <v>1400</v>
      </c>
      <c r="C4257" s="583">
        <v>76425</v>
      </c>
      <c r="D4257" s="813">
        <v>2175</v>
      </c>
      <c r="E4257" s="813">
        <v>133600</v>
      </c>
      <c r="F4257" s="813">
        <v>213600</v>
      </c>
      <c r="G4257" s="813">
        <v>0</v>
      </c>
      <c r="H4257" s="813">
        <v>0</v>
      </c>
      <c r="I4257" s="813">
        <v>11425</v>
      </c>
      <c r="J4257" s="597">
        <f t="shared" si="248"/>
        <v>5.3487827715355804E-2</v>
      </c>
      <c r="K4257" s="586">
        <v>2156</v>
      </c>
      <c r="L4257" s="585">
        <v>2188</v>
      </c>
      <c r="M4257" s="598">
        <f t="shared" si="244"/>
        <v>32</v>
      </c>
      <c r="P4257" s="607">
        <v>13940</v>
      </c>
      <c r="Q4257" s="28">
        <f>162.59/1008.9</f>
        <v>0.16115571414411736</v>
      </c>
      <c r="U4257" s="600">
        <v>0.1</v>
      </c>
      <c r="W4257" s="741">
        <f t="shared" si="247"/>
        <v>2471.1617206858959</v>
      </c>
    </row>
    <row r="4258" spans="1:23" ht="15" customHeight="1">
      <c r="A4258" s="815">
        <v>41827</v>
      </c>
      <c r="B4258" s="583">
        <f t="shared" si="246"/>
        <v>1400</v>
      </c>
      <c r="C4258" s="4">
        <v>76425</v>
      </c>
      <c r="D4258" s="5">
        <v>2175</v>
      </c>
      <c r="E4258" s="5">
        <v>133600</v>
      </c>
      <c r="F4258" s="5">
        <v>213600</v>
      </c>
      <c r="G4258" s="5">
        <v>0</v>
      </c>
      <c r="H4258" s="5">
        <v>0</v>
      </c>
      <c r="I4258" s="5">
        <v>11600</v>
      </c>
      <c r="J4258" s="597">
        <f t="shared" si="248"/>
        <v>5.4307116104868915E-2</v>
      </c>
      <c r="K4258" s="24">
        <v>2161</v>
      </c>
      <c r="L4258" s="6">
        <v>2192</v>
      </c>
      <c r="M4258" s="598">
        <f t="shared" si="244"/>
        <v>31</v>
      </c>
      <c r="P4258" s="607">
        <v>13910</v>
      </c>
      <c r="Q4258" s="28">
        <f>162.81/1009.9</f>
        <v>0.16121398158233488</v>
      </c>
      <c r="U4258" s="600">
        <v>0.1</v>
      </c>
      <c r="W4258" s="741">
        <f t="shared" si="247"/>
        <v>2466.7351321913061</v>
      </c>
    </row>
    <row r="4259" spans="1:23" ht="15" customHeight="1">
      <c r="A4259" s="816">
        <v>41828</v>
      </c>
      <c r="B4259" s="583">
        <f t="shared" ref="B4259:B4295" si="249">F4259-E4259-D4259-C548-C4259</f>
        <v>1400</v>
      </c>
      <c r="C4259" s="4">
        <v>76425</v>
      </c>
      <c r="D4259" s="5">
        <v>2175</v>
      </c>
      <c r="E4259" s="5">
        <v>133600</v>
      </c>
      <c r="F4259" s="5">
        <v>213600</v>
      </c>
      <c r="G4259" s="5">
        <v>0</v>
      </c>
      <c r="H4259" s="5">
        <v>0</v>
      </c>
      <c r="I4259" s="5">
        <v>11600</v>
      </c>
      <c r="J4259" s="263">
        <f t="shared" si="248"/>
        <v>5.4307116104868915E-2</v>
      </c>
      <c r="K4259" s="24">
        <v>2169</v>
      </c>
      <c r="L4259" s="6">
        <v>2197.5</v>
      </c>
      <c r="M4259" s="598">
        <f t="shared" si="244"/>
        <v>28.5</v>
      </c>
      <c r="P4259" s="607">
        <v>13910</v>
      </c>
      <c r="Q4259" s="28">
        <f>163.01/1011.2</f>
        <v>0.16120450949367088</v>
      </c>
      <c r="U4259" s="600">
        <v>0.1</v>
      </c>
      <c r="W4259" s="741">
        <f t="shared" si="247"/>
        <v>2466.5901997626584</v>
      </c>
    </row>
    <row r="4260" spans="1:23" ht="15" customHeight="1">
      <c r="A4260" s="817">
        <v>41829</v>
      </c>
      <c r="B4260" s="583">
        <f t="shared" si="249"/>
        <v>1400</v>
      </c>
      <c r="C4260" s="4">
        <v>76425</v>
      </c>
      <c r="D4260" s="5">
        <v>2175</v>
      </c>
      <c r="E4260" s="5">
        <v>133600</v>
      </c>
      <c r="F4260" s="5">
        <v>213600</v>
      </c>
      <c r="G4260" s="5">
        <v>0</v>
      </c>
      <c r="H4260" s="5">
        <v>0</v>
      </c>
      <c r="I4260" s="5">
        <v>11600</v>
      </c>
      <c r="J4260" s="597">
        <f t="shared" si="248"/>
        <v>5.4307116104868915E-2</v>
      </c>
      <c r="K4260" s="24">
        <v>2194</v>
      </c>
      <c r="L4260" s="6">
        <v>2219</v>
      </c>
      <c r="M4260" s="598">
        <f t="shared" si="244"/>
        <v>25</v>
      </c>
      <c r="P4260" s="607">
        <v>13910</v>
      </c>
      <c r="Q4260" s="28">
        <f>163.34/1012.2</f>
        <v>0.16137127049990121</v>
      </c>
      <c r="U4260" s="600">
        <v>0.1</v>
      </c>
      <c r="W4260" s="741">
        <f t="shared" si="247"/>
        <v>2469.1418099189887</v>
      </c>
    </row>
    <row r="4261" spans="1:23" ht="15" customHeight="1">
      <c r="A4261" s="818">
        <v>41830</v>
      </c>
      <c r="B4261" s="583">
        <f t="shared" si="249"/>
        <v>1400</v>
      </c>
      <c r="C4261" s="4">
        <v>76425</v>
      </c>
      <c r="D4261" s="5">
        <v>2175</v>
      </c>
      <c r="E4261" s="5">
        <v>133600</v>
      </c>
      <c r="F4261" s="5">
        <v>213600</v>
      </c>
      <c r="G4261" s="5">
        <v>0</v>
      </c>
      <c r="H4261" s="5">
        <v>0</v>
      </c>
      <c r="I4261" s="5">
        <v>11600</v>
      </c>
      <c r="J4261" s="597">
        <f t="shared" si="248"/>
        <v>5.4307116104868915E-2</v>
      </c>
      <c r="K4261" s="24">
        <v>2149</v>
      </c>
      <c r="L4261" s="6">
        <v>2172</v>
      </c>
      <c r="M4261" s="598">
        <f t="shared" si="244"/>
        <v>23</v>
      </c>
      <c r="P4261" s="607">
        <v>13890</v>
      </c>
      <c r="Q4261" s="28">
        <f>163.12/1011.9</f>
        <v>0.16120169977270482</v>
      </c>
      <c r="U4261" s="600">
        <v>0.1</v>
      </c>
      <c r="W4261" s="741">
        <f t="shared" ref="W4261:W4281" si="250">(P4261*Q4261)*(1+U4261)</f>
        <v>2463.0007708271573</v>
      </c>
    </row>
    <row r="4262" spans="1:23" ht="15" customHeight="1">
      <c r="A4262" s="819">
        <v>41831</v>
      </c>
      <c r="B4262" s="583">
        <f t="shared" si="249"/>
        <v>1400</v>
      </c>
      <c r="C4262" s="4">
        <v>76425</v>
      </c>
      <c r="D4262" s="5">
        <v>2175</v>
      </c>
      <c r="E4262" s="5">
        <v>133375</v>
      </c>
      <c r="F4262" s="5">
        <v>213375</v>
      </c>
      <c r="G4262" s="5">
        <v>0</v>
      </c>
      <c r="H4262" s="5">
        <v>225</v>
      </c>
      <c r="I4262" s="5">
        <v>11375</v>
      </c>
      <c r="J4262" s="597">
        <f t="shared" si="248"/>
        <v>5.3309900410076154E-2</v>
      </c>
      <c r="K4262" s="24">
        <v>2175.5</v>
      </c>
      <c r="L4262" s="6">
        <v>2196</v>
      </c>
      <c r="M4262" s="598">
        <f t="shared" si="244"/>
        <v>20.5</v>
      </c>
      <c r="P4262" s="607">
        <v>13890</v>
      </c>
      <c r="Q4262" s="28">
        <f>164.09/1018</f>
        <v>0.16118860510805502</v>
      </c>
      <c r="U4262" s="600">
        <v>0.1</v>
      </c>
      <c r="W4262" s="741">
        <f t="shared" si="250"/>
        <v>2462.8006974459727</v>
      </c>
    </row>
    <row r="4263" spans="1:23" ht="15" customHeight="1">
      <c r="A4263" s="820">
        <v>41834</v>
      </c>
      <c r="B4263" s="583">
        <f t="shared" si="249"/>
        <v>1400</v>
      </c>
      <c r="C4263" s="4">
        <v>76425</v>
      </c>
      <c r="D4263" s="5">
        <v>2175</v>
      </c>
      <c r="E4263" s="5">
        <v>133375</v>
      </c>
      <c r="F4263" s="5">
        <v>213375</v>
      </c>
      <c r="G4263" s="5">
        <v>0</v>
      </c>
      <c r="H4263" s="5">
        <v>0</v>
      </c>
      <c r="I4263" s="5">
        <v>11375</v>
      </c>
      <c r="J4263" s="597">
        <f t="shared" si="248"/>
        <v>5.3309900410076154E-2</v>
      </c>
      <c r="K4263" s="24">
        <v>2193.5</v>
      </c>
      <c r="L4263" s="6">
        <v>2216</v>
      </c>
      <c r="M4263" s="598">
        <f t="shared" si="244"/>
        <v>22.5</v>
      </c>
      <c r="P4263" s="607">
        <v>13910</v>
      </c>
      <c r="Q4263" s="28">
        <f>164.04/1018.5</f>
        <v>0.16106038291605301</v>
      </c>
      <c r="U4263" s="600">
        <v>0.1</v>
      </c>
      <c r="W4263" s="741">
        <f t="shared" si="250"/>
        <v>2464.3849189985276</v>
      </c>
    </row>
    <row r="4264" spans="1:23" ht="15" customHeight="1">
      <c r="A4264" s="821">
        <v>41835</v>
      </c>
      <c r="B4264" s="583">
        <f t="shared" si="249"/>
        <v>1400</v>
      </c>
      <c r="C4264" s="4">
        <v>76425</v>
      </c>
      <c r="D4264" s="5">
        <v>2175</v>
      </c>
      <c r="E4264" s="5">
        <v>133375</v>
      </c>
      <c r="F4264" s="5">
        <v>213375</v>
      </c>
      <c r="G4264" s="5">
        <v>0</v>
      </c>
      <c r="H4264" s="5">
        <v>0</v>
      </c>
      <c r="I4264" s="5">
        <v>11375</v>
      </c>
      <c r="J4264" s="597">
        <f t="shared" si="248"/>
        <v>5.3309900410076154E-2</v>
      </c>
      <c r="K4264" s="24">
        <v>2175</v>
      </c>
      <c r="L4264" s="6">
        <v>2199</v>
      </c>
      <c r="M4264" s="598">
        <f t="shared" si="244"/>
        <v>24</v>
      </c>
      <c r="P4264" s="607">
        <v>13910</v>
      </c>
      <c r="Q4264" s="28">
        <f>164.72/1023.7</f>
        <v>0.16090651558073654</v>
      </c>
      <c r="U4264" s="600">
        <v>0.1</v>
      </c>
      <c r="W4264" s="741">
        <f t="shared" si="250"/>
        <v>2462.0305949008498</v>
      </c>
    </row>
    <row r="4265" spans="1:23" ht="15" customHeight="1">
      <c r="A4265" s="822">
        <v>41836</v>
      </c>
      <c r="B4265" s="583">
        <f t="shared" si="249"/>
        <v>1400</v>
      </c>
      <c r="C4265" s="4">
        <v>76425</v>
      </c>
      <c r="D4265" s="5">
        <v>2175</v>
      </c>
      <c r="E4265" s="5">
        <v>133375</v>
      </c>
      <c r="F4265" s="5">
        <v>213375</v>
      </c>
      <c r="G4265" s="5">
        <v>0</v>
      </c>
      <c r="H4265" s="5">
        <v>0</v>
      </c>
      <c r="I4265" s="5">
        <v>11375</v>
      </c>
      <c r="J4265" s="263">
        <f t="shared" si="248"/>
        <v>5.3309900410076154E-2</v>
      </c>
      <c r="K4265" s="24">
        <v>2180</v>
      </c>
      <c r="L4265" s="6">
        <v>2213.5</v>
      </c>
      <c r="M4265" s="598">
        <f t="shared" si="244"/>
        <v>33.5</v>
      </c>
      <c r="P4265" s="607">
        <v>13910</v>
      </c>
      <c r="Q4265" s="28">
        <f>166.3/1032.7</f>
        <v>0.16103418224072819</v>
      </c>
      <c r="U4265" s="600">
        <v>0.1</v>
      </c>
      <c r="W4265" s="741">
        <f t="shared" si="250"/>
        <v>2463.9840224653822</v>
      </c>
    </row>
    <row r="4266" spans="1:23" ht="15" customHeight="1">
      <c r="A4266" s="824">
        <v>41837</v>
      </c>
      <c r="B4266" s="583">
        <f t="shared" si="249"/>
        <v>1400</v>
      </c>
      <c r="C4266" s="583">
        <v>76425</v>
      </c>
      <c r="D4266" s="823">
        <v>2175</v>
      </c>
      <c r="E4266" s="5">
        <v>133550</v>
      </c>
      <c r="F4266" s="5">
        <v>213550</v>
      </c>
      <c r="G4266" s="5">
        <v>175</v>
      </c>
      <c r="H4266" s="5">
        <v>0</v>
      </c>
      <c r="I4266" s="5">
        <v>11375</v>
      </c>
      <c r="J4266" s="597">
        <f t="shared" si="248"/>
        <v>5.326621400140482E-2</v>
      </c>
      <c r="K4266" s="24">
        <v>2161</v>
      </c>
      <c r="L4266" s="6">
        <v>2190</v>
      </c>
      <c r="M4266" s="598">
        <f t="shared" si="244"/>
        <v>29</v>
      </c>
      <c r="P4266" s="607">
        <v>13940</v>
      </c>
      <c r="Q4266" s="28">
        <f>165.92/1029.6</f>
        <v>0.16114996114996116</v>
      </c>
      <c r="U4266" s="600">
        <v>0.1</v>
      </c>
      <c r="W4266" s="741">
        <f t="shared" si="250"/>
        <v>2471.0735042735046</v>
      </c>
    </row>
    <row r="4267" spans="1:23" ht="15" customHeight="1">
      <c r="A4267" s="826">
        <v>41838</v>
      </c>
      <c r="B4267" s="583">
        <f t="shared" si="249"/>
        <v>1400</v>
      </c>
      <c r="C4267" s="583">
        <v>76425</v>
      </c>
      <c r="D4267" s="825">
        <v>2175</v>
      </c>
      <c r="E4267" s="825">
        <v>133725</v>
      </c>
      <c r="F4267" s="825">
        <v>213725</v>
      </c>
      <c r="G4267" s="825">
        <v>175</v>
      </c>
      <c r="H4267" s="825">
        <v>0</v>
      </c>
      <c r="I4267" s="825">
        <v>11375</v>
      </c>
      <c r="J4267" s="597">
        <f t="shared" si="248"/>
        <v>5.3222599134401687E-2</v>
      </c>
      <c r="K4267" s="586">
        <v>2168</v>
      </c>
      <c r="L4267" s="585">
        <v>2194</v>
      </c>
      <c r="M4267" s="598">
        <f t="shared" si="244"/>
        <v>26</v>
      </c>
      <c r="P4267" s="607">
        <v>13940</v>
      </c>
      <c r="Q4267" s="28">
        <f>166.28/1031.9</f>
        <v>0.16113964531446845</v>
      </c>
      <c r="U4267" s="600">
        <v>0.1</v>
      </c>
      <c r="W4267" s="741">
        <f t="shared" si="250"/>
        <v>2470.9153212520596</v>
      </c>
    </row>
    <row r="4268" spans="1:23" ht="15" customHeight="1">
      <c r="A4268" s="828">
        <v>41841</v>
      </c>
      <c r="B4268" s="583">
        <f t="shared" si="249"/>
        <v>1400</v>
      </c>
      <c r="C4268" s="583">
        <v>76425</v>
      </c>
      <c r="D4268" s="827">
        <v>2175</v>
      </c>
      <c r="E4268" s="827">
        <v>133725</v>
      </c>
      <c r="F4268" s="827">
        <v>213725</v>
      </c>
      <c r="G4268" s="827">
        <v>0</v>
      </c>
      <c r="H4268" s="827">
        <v>0</v>
      </c>
      <c r="I4268" s="827">
        <v>11375</v>
      </c>
      <c r="J4268" s="597">
        <f t="shared" si="248"/>
        <v>5.3222599134401687E-2</v>
      </c>
      <c r="K4268" s="586">
        <v>2174</v>
      </c>
      <c r="L4268" s="585">
        <v>2195</v>
      </c>
      <c r="M4268" s="598">
        <f t="shared" si="244"/>
        <v>21</v>
      </c>
      <c r="P4268" s="607">
        <v>13960</v>
      </c>
      <c r="Q4268" s="28">
        <f>165.51/1027.5</f>
        <v>0.16108029197080292</v>
      </c>
      <c r="U4268" s="600">
        <v>0.1</v>
      </c>
      <c r="W4268" s="741">
        <f t="shared" si="250"/>
        <v>2473.5489635036497</v>
      </c>
    </row>
    <row r="4269" spans="1:23" ht="15" customHeight="1">
      <c r="A4269" s="829">
        <v>41842</v>
      </c>
      <c r="B4269" s="583">
        <f t="shared" si="249"/>
        <v>1400</v>
      </c>
      <c r="C4269" s="4">
        <v>76425</v>
      </c>
      <c r="D4269" s="5">
        <v>2175</v>
      </c>
      <c r="E4269" s="5">
        <v>133725</v>
      </c>
      <c r="F4269" s="5">
        <v>213725</v>
      </c>
      <c r="G4269" s="5">
        <v>0</v>
      </c>
      <c r="H4269" s="5">
        <v>0</v>
      </c>
      <c r="I4269" s="5">
        <v>11375</v>
      </c>
      <c r="J4269" s="263">
        <f t="shared" si="248"/>
        <v>5.3222599134401687E-2</v>
      </c>
      <c r="K4269" s="24">
        <v>2206</v>
      </c>
      <c r="L4269" s="6">
        <v>2226</v>
      </c>
      <c r="M4269" s="598">
        <f t="shared" si="244"/>
        <v>20</v>
      </c>
      <c r="P4269" s="607">
        <v>13990</v>
      </c>
      <c r="Q4269" s="28">
        <f>165.18/1024.6</f>
        <v>0.16121413234432952</v>
      </c>
      <c r="U4269" s="600">
        <v>0.1</v>
      </c>
      <c r="W4269" s="741">
        <f t="shared" si="250"/>
        <v>2480.9242826468876</v>
      </c>
    </row>
    <row r="4270" spans="1:23" ht="15" customHeight="1">
      <c r="A4270" s="830">
        <v>41843</v>
      </c>
      <c r="B4270" s="583">
        <f t="shared" si="249"/>
        <v>1400</v>
      </c>
      <c r="C4270" s="4">
        <v>76425</v>
      </c>
      <c r="D4270" s="5">
        <v>1800</v>
      </c>
      <c r="E4270" s="5">
        <v>133725</v>
      </c>
      <c r="F4270" s="5">
        <v>213350</v>
      </c>
      <c r="G4270" s="5">
        <v>0</v>
      </c>
      <c r="H4270" s="5">
        <v>375</v>
      </c>
      <c r="I4270" s="5">
        <v>11000</v>
      </c>
      <c r="J4270" s="597">
        <f t="shared" si="248"/>
        <v>5.1558471994375438E-2</v>
      </c>
      <c r="K4270" s="24">
        <v>2199</v>
      </c>
      <c r="L4270" s="6">
        <v>2210.5</v>
      </c>
      <c r="M4270" s="598">
        <f t="shared" si="244"/>
        <v>11.5</v>
      </c>
      <c r="P4270" s="607">
        <v>13960</v>
      </c>
      <c r="Q4270" s="28">
        <f>165.18/1022.8</f>
        <v>0.16149784904184591</v>
      </c>
      <c r="U4270" s="600">
        <v>0.1</v>
      </c>
      <c r="W4270" s="741">
        <f t="shared" si="250"/>
        <v>2479.9609698865856</v>
      </c>
    </row>
    <row r="4271" spans="1:23" ht="15" customHeight="1">
      <c r="A4271" s="831">
        <v>41844</v>
      </c>
      <c r="B4271" s="583">
        <f t="shared" si="249"/>
        <v>1950</v>
      </c>
      <c r="C4271" s="4">
        <v>76425</v>
      </c>
      <c r="D4271" s="5">
        <v>1325</v>
      </c>
      <c r="E4271" s="5">
        <v>133725</v>
      </c>
      <c r="F4271" s="5">
        <v>213425</v>
      </c>
      <c r="G4271" s="5">
        <v>550</v>
      </c>
      <c r="H4271" s="5">
        <v>475</v>
      </c>
      <c r="I4271" s="5">
        <v>10525</v>
      </c>
      <c r="J4271" s="597">
        <f t="shared" si="248"/>
        <v>4.9314747569403773E-2</v>
      </c>
      <c r="K4271" s="24">
        <v>2208.5</v>
      </c>
      <c r="L4271" s="6">
        <v>2228</v>
      </c>
      <c r="M4271" s="598">
        <f t="shared" si="244"/>
        <v>19.5</v>
      </c>
      <c r="P4271" s="607">
        <v>13990</v>
      </c>
      <c r="Q4271" s="28">
        <f>166.03/1028</f>
        <v>0.16150778210116731</v>
      </c>
      <c r="U4271" s="600">
        <v>0.1</v>
      </c>
      <c r="W4271" s="741">
        <f t="shared" si="250"/>
        <v>2485.443258754864</v>
      </c>
    </row>
    <row r="4272" spans="1:23" ht="15" customHeight="1">
      <c r="A4272" s="832">
        <v>41845</v>
      </c>
      <c r="B4272" s="583">
        <f t="shared" si="249"/>
        <v>1400</v>
      </c>
      <c r="C4272" s="4">
        <v>76975</v>
      </c>
      <c r="D4272" s="5">
        <v>825</v>
      </c>
      <c r="E4272" s="5">
        <v>135325</v>
      </c>
      <c r="F4272" s="5">
        <v>214525</v>
      </c>
      <c r="G4272" s="5">
        <v>1600</v>
      </c>
      <c r="H4272" s="5">
        <v>500</v>
      </c>
      <c r="I4272" s="5">
        <v>10025</v>
      </c>
      <c r="J4272" s="597">
        <f t="shared" si="248"/>
        <v>4.6731150215592591E-2</v>
      </c>
      <c r="K4272" s="24">
        <v>2265</v>
      </c>
      <c r="L4272" s="6">
        <v>2274</v>
      </c>
      <c r="M4272" s="598">
        <f t="shared" si="244"/>
        <v>9</v>
      </c>
      <c r="P4272" s="607">
        <v>14110</v>
      </c>
      <c r="Q4272" s="28">
        <f>166.03/1028</f>
        <v>0.16150778210116731</v>
      </c>
      <c r="U4272" s="600">
        <v>0.1</v>
      </c>
      <c r="W4272" s="741">
        <f t="shared" si="250"/>
        <v>2506.762285992218</v>
      </c>
    </row>
    <row r="4273" spans="1:23" ht="15" customHeight="1">
      <c r="A4273" s="833">
        <v>41848</v>
      </c>
      <c r="B4273" s="583">
        <f t="shared" si="249"/>
        <v>1400</v>
      </c>
      <c r="C4273" s="4">
        <v>76975</v>
      </c>
      <c r="D4273" s="5">
        <v>725</v>
      </c>
      <c r="E4273" s="5">
        <v>135325</v>
      </c>
      <c r="F4273" s="5">
        <v>214425</v>
      </c>
      <c r="G4273" s="5">
        <v>0</v>
      </c>
      <c r="H4273" s="5">
        <v>100</v>
      </c>
      <c r="I4273" s="5">
        <v>9925</v>
      </c>
      <c r="J4273" s="597">
        <f t="shared" si="248"/>
        <v>4.6286580389413551E-2</v>
      </c>
      <c r="K4273" s="24">
        <v>2269</v>
      </c>
      <c r="L4273" s="6">
        <v>2287</v>
      </c>
      <c r="M4273" s="598">
        <f t="shared" si="244"/>
        <v>18</v>
      </c>
      <c r="P4273" s="607">
        <v>14940</v>
      </c>
      <c r="Q4273" s="28">
        <f>166.33/1025.2</f>
        <v>0.16224151385095592</v>
      </c>
      <c r="U4273" s="600">
        <v>0.1</v>
      </c>
      <c r="W4273" s="741">
        <f t="shared" si="250"/>
        <v>2666.2770386266097</v>
      </c>
    </row>
    <row r="4274" spans="1:23" ht="15" customHeight="1">
      <c r="A4274" s="834">
        <v>41849</v>
      </c>
      <c r="B4274" s="583">
        <f t="shared" si="249"/>
        <v>1400</v>
      </c>
      <c r="C4274" s="4">
        <v>76975</v>
      </c>
      <c r="D4274" s="5">
        <v>725</v>
      </c>
      <c r="E4274" s="5">
        <v>135550</v>
      </c>
      <c r="F4274" s="5">
        <v>214650</v>
      </c>
      <c r="G4274" s="5">
        <v>225</v>
      </c>
      <c r="H4274" s="5">
        <v>0</v>
      </c>
      <c r="I4274" s="5">
        <v>9925</v>
      </c>
      <c r="J4274" s="597">
        <f t="shared" si="248"/>
        <v>4.62380619613324E-2</v>
      </c>
      <c r="K4274" s="24">
        <v>2265</v>
      </c>
      <c r="L4274" s="6">
        <v>2277</v>
      </c>
      <c r="M4274" s="598">
        <f t="shared" si="244"/>
        <v>12</v>
      </c>
      <c r="P4274" s="607">
        <v>14940</v>
      </c>
      <c r="Q4274" s="28">
        <f>165.78/1024.7</f>
        <v>0.16178393676197911</v>
      </c>
      <c r="U4274" s="600">
        <v>0.1</v>
      </c>
      <c r="W4274" s="741">
        <f t="shared" si="250"/>
        <v>2658.757216746365</v>
      </c>
    </row>
    <row r="4275" spans="1:23" ht="15" customHeight="1">
      <c r="A4275" s="835">
        <v>41850</v>
      </c>
      <c r="B4275" s="583">
        <f t="shared" si="249"/>
        <v>1400</v>
      </c>
      <c r="C4275" s="4">
        <v>76975</v>
      </c>
      <c r="D4275" s="5">
        <v>725</v>
      </c>
      <c r="E4275" s="5">
        <v>135550</v>
      </c>
      <c r="F4275" s="5">
        <v>214650</v>
      </c>
      <c r="G4275" s="5">
        <v>0</v>
      </c>
      <c r="H4275" s="5">
        <v>0</v>
      </c>
      <c r="I4275" s="5">
        <v>9925</v>
      </c>
      <c r="J4275" s="597">
        <f t="shared" si="248"/>
        <v>4.62380619613324E-2</v>
      </c>
      <c r="K4275" s="24">
        <v>2218</v>
      </c>
      <c r="L4275" s="6">
        <v>2232</v>
      </c>
      <c r="M4275" s="598">
        <f t="shared" si="244"/>
        <v>14</v>
      </c>
      <c r="P4275" s="607">
        <v>14840</v>
      </c>
      <c r="Q4275" s="28">
        <f>165.92/1024.3</f>
        <v>0.16198379381040709</v>
      </c>
      <c r="U4275" s="600">
        <v>0.1</v>
      </c>
      <c r="W4275" s="741">
        <f t="shared" si="250"/>
        <v>2644.2234501610856</v>
      </c>
    </row>
    <row r="4276" spans="1:23" ht="15" customHeight="1">
      <c r="A4276" s="836">
        <v>41851</v>
      </c>
      <c r="B4276" s="583">
        <f t="shared" si="249"/>
        <v>1400</v>
      </c>
      <c r="C4276" s="4">
        <v>76975</v>
      </c>
      <c r="D4276" s="5">
        <v>725</v>
      </c>
      <c r="E4276" s="5">
        <v>136450</v>
      </c>
      <c r="F4276" s="5">
        <v>215550</v>
      </c>
      <c r="G4276" s="5">
        <v>900</v>
      </c>
      <c r="H4276" s="5">
        <v>0</v>
      </c>
      <c r="I4276" s="5">
        <v>9925</v>
      </c>
      <c r="J4276" s="597">
        <f t="shared" si="248"/>
        <v>4.6045001159823705E-2</v>
      </c>
      <c r="K4276" s="24">
        <v>2237</v>
      </c>
      <c r="L4276" s="6">
        <v>2246</v>
      </c>
      <c r="M4276" s="598">
        <f t="shared" si="244"/>
        <v>9</v>
      </c>
      <c r="N4276" s="420">
        <f>AVERAGE(K4254:K4276)</f>
        <v>2189.2608695652175</v>
      </c>
      <c r="O4276" s="410">
        <f>AVERAGE(K4120:K4276)</f>
        <v>2114.6428571428573</v>
      </c>
      <c r="P4276" s="607">
        <v>14790</v>
      </c>
      <c r="Q4276" s="28">
        <f>166.02/1026.2</f>
        <v>0.16178132917559931</v>
      </c>
      <c r="U4276" s="600">
        <v>0.1</v>
      </c>
      <c r="W4276" s="741">
        <f t="shared" si="250"/>
        <v>2632.0204443578255</v>
      </c>
    </row>
    <row r="4277" spans="1:23" ht="15" customHeight="1" thickBot="1">
      <c r="A4277" s="392"/>
      <c r="B4277" s="995"/>
      <c r="C4277" s="995"/>
      <c r="D4277" s="995"/>
      <c r="E4277" s="995"/>
      <c r="F4277" s="392"/>
      <c r="G4277" s="332"/>
      <c r="H4277" s="332"/>
      <c r="I4277" s="332"/>
      <c r="J4277" s="334"/>
      <c r="K4277" s="334"/>
      <c r="L4277" s="335"/>
      <c r="M4277" s="336"/>
      <c r="N4277" s="337"/>
      <c r="O4277" s="353"/>
      <c r="P4277" s="350"/>
      <c r="Q4277" s="299"/>
      <c r="R4277" s="453"/>
      <c r="S4277" s="454"/>
      <c r="T4277" s="454"/>
      <c r="U4277" s="302"/>
      <c r="V4277" s="298">
        <f>AVERAGE(P4254:P4276)</f>
        <v>14104.782608695652</v>
      </c>
      <c r="W4277" s="751"/>
    </row>
    <row r="4278" spans="1:23" ht="15" customHeight="1">
      <c r="A4278" s="3">
        <v>41852</v>
      </c>
      <c r="B4278" s="583">
        <f t="shared" si="249"/>
        <v>1400</v>
      </c>
      <c r="C4278" s="4">
        <v>76975</v>
      </c>
      <c r="D4278" s="5">
        <v>725</v>
      </c>
      <c r="E4278" s="5">
        <v>136450</v>
      </c>
      <c r="F4278" s="5">
        <v>215550</v>
      </c>
      <c r="G4278" s="5">
        <v>0</v>
      </c>
      <c r="H4278" s="5">
        <v>0</v>
      </c>
      <c r="I4278" s="5">
        <v>10225</v>
      </c>
      <c r="J4278" s="597">
        <f t="shared" si="248"/>
        <v>4.743678960797959E-2</v>
      </c>
      <c r="K4278" s="24">
        <v>2196.5</v>
      </c>
      <c r="L4278" s="6">
        <v>2208</v>
      </c>
      <c r="M4278" s="598">
        <f t="shared" si="244"/>
        <v>11.5</v>
      </c>
      <c r="P4278" s="607">
        <v>14690</v>
      </c>
      <c r="Q4278" s="28">
        <f>167.24/1033.7</f>
        <v>0.16178775273290122</v>
      </c>
      <c r="U4278" s="600">
        <v>0.1</v>
      </c>
      <c r="W4278" s="741">
        <f t="shared" si="250"/>
        <v>2614.3282964109512</v>
      </c>
    </row>
    <row r="4279" spans="1:23" ht="15" customHeight="1">
      <c r="A4279" s="851">
        <v>41855</v>
      </c>
      <c r="B4279" s="583">
        <f t="shared" si="249"/>
        <v>1400</v>
      </c>
      <c r="C4279" s="4">
        <v>76975</v>
      </c>
      <c r="D4279" s="5">
        <v>725</v>
      </c>
      <c r="E4279" s="5">
        <v>136550</v>
      </c>
      <c r="F4279" s="5">
        <v>215650</v>
      </c>
      <c r="G4279" s="5">
        <v>100</v>
      </c>
      <c r="H4279" s="5">
        <v>0</v>
      </c>
      <c r="I4279" s="5">
        <v>10225</v>
      </c>
      <c r="J4279" s="597">
        <f t="shared" si="248"/>
        <v>4.7414792487827498E-2</v>
      </c>
      <c r="K4279" s="24">
        <v>2240</v>
      </c>
      <c r="L4279" s="6">
        <v>2252</v>
      </c>
      <c r="M4279" s="598">
        <f t="shared" si="244"/>
        <v>12</v>
      </c>
      <c r="P4279" s="607">
        <v>14790</v>
      </c>
      <c r="Q4279" s="28">
        <f>167.1/1031.7</f>
        <v>0.16196568769991276</v>
      </c>
      <c r="U4279" s="600">
        <v>0.1</v>
      </c>
      <c r="W4279" s="741">
        <f t="shared" si="250"/>
        <v>2635.0197731898807</v>
      </c>
    </row>
    <row r="4280" spans="1:23" ht="15" customHeight="1">
      <c r="A4280" s="852">
        <v>41856</v>
      </c>
      <c r="B4280" s="583">
        <f t="shared" si="249"/>
        <v>1400</v>
      </c>
      <c r="C4280" s="4">
        <v>76975</v>
      </c>
      <c r="D4280" s="5">
        <v>725</v>
      </c>
      <c r="E4280" s="5">
        <v>136550</v>
      </c>
      <c r="F4280" s="5">
        <v>215650</v>
      </c>
      <c r="G4280" s="5">
        <v>0</v>
      </c>
      <c r="H4280" s="5">
        <v>0</v>
      </c>
      <c r="I4280" s="5">
        <v>10225</v>
      </c>
      <c r="J4280" s="597">
        <f t="shared" si="248"/>
        <v>4.7414792487827498E-2</v>
      </c>
      <c r="K4280" s="24">
        <v>2247</v>
      </c>
      <c r="L4280" s="6">
        <v>2256</v>
      </c>
      <c r="M4280" s="598">
        <f t="shared" si="244"/>
        <v>9</v>
      </c>
      <c r="P4280" s="607">
        <v>14840</v>
      </c>
      <c r="Q4280" s="28">
        <f>167.09/1030.8</f>
        <v>0.16209740007760964</v>
      </c>
      <c r="U4280" s="600">
        <v>0.1</v>
      </c>
      <c r="W4280" s="741">
        <f t="shared" si="250"/>
        <v>2646.0779588669002</v>
      </c>
    </row>
    <row r="4281" spans="1:23" ht="15" customHeight="1">
      <c r="A4281" s="854">
        <v>41857</v>
      </c>
      <c r="B4281" s="583">
        <f t="shared" si="249"/>
        <v>1400</v>
      </c>
      <c r="C4281" s="4">
        <v>76975</v>
      </c>
      <c r="D4281" s="5">
        <v>725</v>
      </c>
      <c r="E4281" s="5">
        <v>136550</v>
      </c>
      <c r="F4281" s="5">
        <v>215650</v>
      </c>
      <c r="G4281" s="5">
        <v>0</v>
      </c>
      <c r="H4281" s="5">
        <v>0</v>
      </c>
      <c r="I4281" s="5">
        <v>10225</v>
      </c>
      <c r="J4281" s="597">
        <f t="shared" si="248"/>
        <v>4.7414792487827498E-2</v>
      </c>
      <c r="K4281" s="24">
        <v>2212.5</v>
      </c>
      <c r="L4281" s="6">
        <v>2214</v>
      </c>
      <c r="M4281" s="598">
        <f t="shared" si="244"/>
        <v>1.5</v>
      </c>
      <c r="P4281" s="607">
        <v>14690</v>
      </c>
      <c r="Q4281" s="28">
        <f>167.86/1034.3</f>
        <v>0.16229333848979988</v>
      </c>
      <c r="U4281" s="600">
        <v>0.1</v>
      </c>
      <c r="W4281" s="741">
        <f t="shared" si="250"/>
        <v>2622.4980566566765</v>
      </c>
    </row>
    <row r="4282" spans="1:23" ht="15" customHeight="1">
      <c r="A4282" s="855">
        <v>41858</v>
      </c>
      <c r="B4282" s="583">
        <f t="shared" si="249"/>
        <v>1600</v>
      </c>
      <c r="C4282" s="4">
        <v>76975</v>
      </c>
      <c r="D4282" s="5">
        <v>725</v>
      </c>
      <c r="E4282" s="5">
        <v>136600</v>
      </c>
      <c r="F4282" s="5">
        <v>215900</v>
      </c>
      <c r="G4282" s="5">
        <v>250</v>
      </c>
      <c r="H4282" s="5">
        <v>0</v>
      </c>
      <c r="I4282" s="5">
        <v>10225</v>
      </c>
      <c r="J4282" s="597">
        <f t="shared" si="248"/>
        <v>4.7359888837424736E-2</v>
      </c>
      <c r="K4282" s="24">
        <v>2248</v>
      </c>
      <c r="L4282" s="6">
        <v>2246</v>
      </c>
      <c r="M4282" s="598">
        <f t="shared" ref="M4282:M4288" si="251">L4282-K4282</f>
        <v>-2</v>
      </c>
      <c r="P4282" s="607">
        <v>14690</v>
      </c>
      <c r="Q4282" s="28">
        <f>167.75/1034.4</f>
        <v>0.16217130703789634</v>
      </c>
      <c r="U4282" s="600">
        <v>0.1</v>
      </c>
      <c r="W4282" s="741">
        <f>(P4282*Q4282)*(1+U4282)</f>
        <v>2620.5261504253672</v>
      </c>
    </row>
    <row r="4283" spans="1:23" ht="15" customHeight="1">
      <c r="A4283" s="856">
        <v>41859</v>
      </c>
      <c r="B4283" s="583">
        <f t="shared" si="249"/>
        <v>1400</v>
      </c>
      <c r="C4283" s="4">
        <v>77175</v>
      </c>
      <c r="D4283" s="5">
        <v>725</v>
      </c>
      <c r="E4283" s="5">
        <v>136600</v>
      </c>
      <c r="F4283" s="5">
        <v>215900</v>
      </c>
      <c r="G4283" s="5">
        <v>0</v>
      </c>
      <c r="H4283" s="5">
        <v>0</v>
      </c>
      <c r="I4283" s="5">
        <v>10225</v>
      </c>
      <c r="J4283" s="263">
        <f t="shared" si="248"/>
        <v>4.7359888837424736E-2</v>
      </c>
      <c r="K4283" s="24">
        <v>2237</v>
      </c>
      <c r="L4283" s="6">
        <v>2240</v>
      </c>
      <c r="M4283" s="598">
        <f t="shared" si="251"/>
        <v>3</v>
      </c>
      <c r="P4283" s="607">
        <v>14690</v>
      </c>
      <c r="Q4283" s="28">
        <f>167.75/1034.4</f>
        <v>0.16217130703789634</v>
      </c>
      <c r="U4283" s="600">
        <v>0.1</v>
      </c>
      <c r="W4283" s="741">
        <f>(P4283*Q4283)*(1+U4283)</f>
        <v>2620.5261504253672</v>
      </c>
    </row>
    <row r="4284" spans="1:23" ht="15" customHeight="1">
      <c r="A4284" s="858">
        <v>41862</v>
      </c>
      <c r="B4284" s="583">
        <f t="shared" si="249"/>
        <v>1400</v>
      </c>
      <c r="C4284" s="4">
        <v>77175</v>
      </c>
      <c r="D4284" s="5">
        <v>725</v>
      </c>
      <c r="E4284" s="5">
        <v>136600</v>
      </c>
      <c r="F4284" s="5">
        <v>215900</v>
      </c>
      <c r="G4284" s="5">
        <v>0</v>
      </c>
      <c r="H4284" s="5">
        <v>0</v>
      </c>
      <c r="I4284" s="857">
        <v>10225</v>
      </c>
      <c r="J4284" s="597">
        <f t="shared" si="248"/>
        <v>4.7359888837424736E-2</v>
      </c>
      <c r="K4284" s="24">
        <v>2248</v>
      </c>
      <c r="L4284" s="585">
        <v>2254</v>
      </c>
      <c r="M4284" s="598">
        <f t="shared" si="251"/>
        <v>6</v>
      </c>
      <c r="P4284" s="607">
        <v>14640</v>
      </c>
      <c r="Q4284" s="28">
        <f>168.54/1037.4</f>
        <v>0.16246385193753612</v>
      </c>
      <c r="U4284" s="600">
        <v>0.1</v>
      </c>
      <c r="W4284" s="741">
        <f>(P4284*Q4284)*(1+U4284)</f>
        <v>2616.3178716020816</v>
      </c>
    </row>
    <row r="4285" spans="1:23" ht="15" customHeight="1">
      <c r="A4285" s="859">
        <v>41863</v>
      </c>
      <c r="B4285" s="583">
        <f t="shared" si="249"/>
        <v>1400</v>
      </c>
      <c r="C4285" s="4">
        <v>77175</v>
      </c>
      <c r="D4285" s="5">
        <v>725</v>
      </c>
      <c r="E4285" s="5">
        <v>136600</v>
      </c>
      <c r="F4285" s="5">
        <v>215900</v>
      </c>
      <c r="G4285" s="5">
        <v>0</v>
      </c>
      <c r="H4285" s="5">
        <v>0</v>
      </c>
      <c r="I4285" s="5">
        <v>10225</v>
      </c>
      <c r="J4285" s="263">
        <f t="shared" si="248"/>
        <v>4.7359888837424736E-2</v>
      </c>
      <c r="K4285" s="24">
        <v>2260</v>
      </c>
      <c r="L4285" s="6">
        <v>2272</v>
      </c>
      <c r="M4285" s="598">
        <f t="shared" si="251"/>
        <v>12</v>
      </c>
      <c r="P4285" s="607">
        <v>14590</v>
      </c>
      <c r="Q4285" s="28">
        <f>166.92/1028.3</f>
        <v>0.16232616940581543</v>
      </c>
      <c r="U4285" s="600">
        <v>0.1</v>
      </c>
      <c r="W4285" s="741">
        <f>(P4285*Q4285)*(1+U4285)</f>
        <v>2605.1726927939317</v>
      </c>
    </row>
    <row r="4286" spans="1:23" ht="15" customHeight="1">
      <c r="A4286" s="860">
        <v>41864</v>
      </c>
      <c r="B4286" s="583">
        <f t="shared" si="249"/>
        <v>1400</v>
      </c>
      <c r="C4286" s="4">
        <v>77175</v>
      </c>
      <c r="D4286" s="5">
        <v>725</v>
      </c>
      <c r="E4286" s="5">
        <v>136600</v>
      </c>
      <c r="F4286" s="5">
        <v>215900</v>
      </c>
      <c r="G4286" s="5">
        <v>0</v>
      </c>
      <c r="H4286" s="5">
        <v>0</v>
      </c>
      <c r="I4286" s="5">
        <v>6350</v>
      </c>
      <c r="J4286" s="597">
        <f t="shared" si="248"/>
        <v>2.9411764705882353E-2</v>
      </c>
      <c r="K4286" s="24">
        <v>2230.5</v>
      </c>
      <c r="L4286" s="6">
        <v>2242.5</v>
      </c>
      <c r="M4286" s="598">
        <f t="shared" si="251"/>
        <v>12</v>
      </c>
      <c r="P4286" s="607">
        <v>14590</v>
      </c>
      <c r="Q4286" s="28">
        <f>166.93/1028.1</f>
        <v>0.16236747398113027</v>
      </c>
      <c r="U4286" s="600">
        <v>0.1</v>
      </c>
      <c r="W4286" s="741">
        <f>(P4286*Q4286)*(1+U4286)</f>
        <v>2605.8355899231601</v>
      </c>
    </row>
    <row r="4287" spans="1:23" ht="15" customHeight="1">
      <c r="A4287" s="861">
        <v>41865</v>
      </c>
      <c r="B4287" s="583">
        <f t="shared" si="249"/>
        <v>1400</v>
      </c>
      <c r="C4287" s="4">
        <v>77175</v>
      </c>
      <c r="D4287" s="5">
        <v>725</v>
      </c>
      <c r="E4287" s="5">
        <v>136600</v>
      </c>
      <c r="F4287" s="5">
        <v>215900</v>
      </c>
      <c r="G4287" s="5">
        <v>0</v>
      </c>
      <c r="H4287" s="5">
        <v>0</v>
      </c>
      <c r="I4287" s="5">
        <v>6350</v>
      </c>
      <c r="J4287" s="597">
        <f t="shared" si="248"/>
        <v>2.9411764705882353E-2</v>
      </c>
      <c r="K4287" s="24">
        <v>2206</v>
      </c>
      <c r="L4287" s="6">
        <v>2214</v>
      </c>
      <c r="M4287" s="598">
        <f t="shared" si="251"/>
        <v>8</v>
      </c>
      <c r="P4287" s="607">
        <v>14440</v>
      </c>
      <c r="Q4287" s="28">
        <f>166.93/1028.1</f>
        <v>0.16236747398113027</v>
      </c>
      <c r="U4287" s="600">
        <v>0.1</v>
      </c>
      <c r="W4287" s="741">
        <f t="shared" ref="W4287:W4291" si="252">(P4287*Q4287)*(1+U4287)</f>
        <v>2579.0449567162736</v>
      </c>
    </row>
    <row r="4288" spans="1:23" ht="15" customHeight="1">
      <c r="A4288" s="861">
        <v>41866</v>
      </c>
      <c r="B4288" s="583">
        <f t="shared" si="249"/>
        <v>1275</v>
      </c>
      <c r="C4288" s="4">
        <v>77175</v>
      </c>
      <c r="D4288" s="5">
        <v>725</v>
      </c>
      <c r="E4288" s="5">
        <v>136600</v>
      </c>
      <c r="F4288" s="5">
        <v>215775</v>
      </c>
      <c r="G4288" s="5">
        <v>0</v>
      </c>
      <c r="H4288" s="5">
        <v>125</v>
      </c>
      <c r="I4288" s="5">
        <v>6225</v>
      </c>
      <c r="J4288" s="263">
        <f t="shared" si="248"/>
        <v>2.8849496002780674E-2</v>
      </c>
      <c r="K4288" s="24">
        <v>2194.5</v>
      </c>
      <c r="L4288" s="6">
        <v>2203</v>
      </c>
      <c r="M4288" s="598">
        <f t="shared" si="251"/>
        <v>8.5</v>
      </c>
      <c r="P4288" s="607">
        <v>14340</v>
      </c>
      <c r="Q4288" s="28">
        <f>166.72/1024.9</f>
        <v>0.16266952873451068</v>
      </c>
      <c r="U4288" s="600">
        <v>0.1</v>
      </c>
      <c r="W4288" s="741">
        <f t="shared" si="252"/>
        <v>2565.9491462581718</v>
      </c>
    </row>
    <row r="4289" spans="1:23" ht="15" customHeight="1">
      <c r="A4289" s="862">
        <v>41869</v>
      </c>
      <c r="B4289" s="583">
        <f t="shared" si="249"/>
        <v>1300</v>
      </c>
      <c r="C4289" s="4">
        <v>77050</v>
      </c>
      <c r="D4289" s="5">
        <v>725</v>
      </c>
      <c r="E4289" s="5">
        <v>136600</v>
      </c>
      <c r="F4289" s="5">
        <v>215675</v>
      </c>
      <c r="G4289" s="5">
        <v>0</v>
      </c>
      <c r="H4289" s="5">
        <v>100</v>
      </c>
      <c r="I4289" s="5">
        <v>6125</v>
      </c>
      <c r="J4289" s="597">
        <f t="shared" si="248"/>
        <v>2.8399211776979252E-2</v>
      </c>
      <c r="K4289" s="24">
        <v>2200.5</v>
      </c>
      <c r="L4289" s="6">
        <v>2208</v>
      </c>
      <c r="M4289" s="598">
        <f>L4289-K4289</f>
        <v>7.5</v>
      </c>
      <c r="P4289" s="607">
        <v>14340</v>
      </c>
      <c r="Q4289" s="28">
        <f>166.72/1024.9</f>
        <v>0.16266952873451068</v>
      </c>
      <c r="U4289" s="600">
        <v>0.1</v>
      </c>
      <c r="W4289" s="741">
        <f t="shared" si="252"/>
        <v>2565.9491462581718</v>
      </c>
    </row>
    <row r="4290" spans="1:23" ht="15" customHeight="1">
      <c r="A4290" s="863">
        <v>41870</v>
      </c>
      <c r="B4290" s="583">
        <f t="shared" si="249"/>
        <v>1325</v>
      </c>
      <c r="C4290" s="4">
        <v>76950</v>
      </c>
      <c r="D4290" s="5">
        <v>725</v>
      </c>
      <c r="E4290" s="5">
        <v>136600</v>
      </c>
      <c r="F4290" s="5">
        <v>215600</v>
      </c>
      <c r="G4290" s="5">
        <v>0</v>
      </c>
      <c r="H4290" s="5">
        <v>75</v>
      </c>
      <c r="I4290" s="5">
        <v>6100</v>
      </c>
      <c r="J4290" s="597">
        <f t="shared" si="248"/>
        <v>2.8293135435992579E-2</v>
      </c>
      <c r="K4290" s="24">
        <v>2240.5</v>
      </c>
      <c r="L4290" s="6">
        <v>2232</v>
      </c>
      <c r="M4290" s="598">
        <f>L4290-K4290</f>
        <v>-8.5</v>
      </c>
      <c r="P4290" s="607">
        <v>14340</v>
      </c>
      <c r="Q4290" s="28">
        <f>165.7/1018</f>
        <v>0.16277013752455793</v>
      </c>
      <c r="U4290" s="600">
        <v>0.1</v>
      </c>
      <c r="W4290" s="741">
        <f t="shared" si="252"/>
        <v>2567.5361493123769</v>
      </c>
    </row>
    <row r="4291" spans="1:23" ht="15" customHeight="1">
      <c r="A4291" s="864">
        <v>41871</v>
      </c>
      <c r="B4291" s="583">
        <f t="shared" si="249"/>
        <v>1400</v>
      </c>
      <c r="C4291" s="4">
        <v>76875</v>
      </c>
      <c r="D4291" s="5">
        <v>725</v>
      </c>
      <c r="E4291" s="5">
        <v>136600</v>
      </c>
      <c r="F4291" s="5">
        <v>215600</v>
      </c>
      <c r="G4291" s="5">
        <v>0</v>
      </c>
      <c r="H4291" s="5">
        <v>0</v>
      </c>
      <c r="I4291" s="5">
        <v>6100</v>
      </c>
      <c r="J4291" s="597">
        <f t="shared" si="248"/>
        <v>2.8293135435992579E-2</v>
      </c>
      <c r="K4291" s="24">
        <v>2235.5</v>
      </c>
      <c r="L4291" s="6">
        <v>2235.5</v>
      </c>
      <c r="M4291" s="598">
        <f>L4291-K4291</f>
        <v>0</v>
      </c>
      <c r="P4291" s="607">
        <v>14340</v>
      </c>
      <c r="Q4291" s="28">
        <f>165.7/1018</f>
        <v>0.16277013752455793</v>
      </c>
      <c r="U4291" s="600">
        <v>0.1</v>
      </c>
      <c r="W4291" s="741">
        <f t="shared" si="252"/>
        <v>2567.5361493123769</v>
      </c>
    </row>
    <row r="4292" spans="1:23" ht="15" customHeight="1">
      <c r="A4292" s="865">
        <v>41872</v>
      </c>
      <c r="B4292" s="583">
        <f t="shared" si="249"/>
        <v>3000</v>
      </c>
      <c r="C4292" s="4">
        <v>76875</v>
      </c>
      <c r="D4292" s="5">
        <v>725</v>
      </c>
      <c r="E4292" s="5">
        <v>136600</v>
      </c>
      <c r="F4292" s="5">
        <v>217200</v>
      </c>
      <c r="G4292" s="5">
        <v>1600</v>
      </c>
      <c r="H4292" s="5">
        <v>0</v>
      </c>
      <c r="I4292" s="5">
        <v>6100</v>
      </c>
      <c r="J4292" s="597">
        <f t="shared" si="248"/>
        <v>2.8084714548802948E-2</v>
      </c>
      <c r="K4292" s="24">
        <v>2254</v>
      </c>
      <c r="L4292" s="6">
        <v>2249</v>
      </c>
      <c r="M4292" s="598">
        <f>L4292-K4292</f>
        <v>-5</v>
      </c>
      <c r="P4292" s="607">
        <v>14440</v>
      </c>
      <c r="Q4292" s="28">
        <f>166.14/1020.9</f>
        <v>0.16273875991771966</v>
      </c>
      <c r="U4292" s="600">
        <v>0.1</v>
      </c>
      <c r="W4292" s="741">
        <f t="shared" ref="W4292:W4310" si="253">(P4292*Q4292)*(1+U4292)</f>
        <v>2584.9424625330594</v>
      </c>
    </row>
    <row r="4293" spans="1:23" ht="15" customHeight="1">
      <c r="A4293" s="866">
        <v>41873</v>
      </c>
      <c r="B4293" s="583">
        <f t="shared" si="249"/>
        <v>1400</v>
      </c>
      <c r="C4293" s="4">
        <v>78475</v>
      </c>
      <c r="D4293" s="5">
        <v>725</v>
      </c>
      <c r="E4293" s="5">
        <v>136600</v>
      </c>
      <c r="F4293" s="5">
        <v>217200</v>
      </c>
      <c r="G4293" s="5">
        <v>0</v>
      </c>
      <c r="H4293" s="5">
        <v>0</v>
      </c>
      <c r="I4293" s="5">
        <v>6100</v>
      </c>
      <c r="J4293" s="597">
        <f>I4293/F4293</f>
        <v>2.8084714548802948E-2</v>
      </c>
      <c r="K4293" s="24">
        <v>2259.5</v>
      </c>
      <c r="L4293" s="6">
        <v>2255</v>
      </c>
      <c r="M4293" s="598">
        <f>L4293-K4293</f>
        <v>-4.5</v>
      </c>
      <c r="P4293" s="607">
        <v>14440</v>
      </c>
      <c r="Q4293" s="28">
        <f>165.54/1019.5</f>
        <v>0.16237371260421773</v>
      </c>
      <c r="U4293" s="600">
        <v>0.1</v>
      </c>
      <c r="W4293" s="741">
        <f t="shared" si="253"/>
        <v>2579.1440510053944</v>
      </c>
    </row>
    <row r="4294" spans="1:23" ht="15" customHeight="1">
      <c r="A4294" s="867">
        <v>41876</v>
      </c>
      <c r="B4294" s="583"/>
      <c r="C4294" s="583"/>
      <c r="D4294" s="869"/>
      <c r="E4294" s="869"/>
      <c r="F4294" s="869"/>
      <c r="G4294" s="1003" t="s">
        <v>185</v>
      </c>
      <c r="H4294" s="1003"/>
      <c r="I4294" s="1003"/>
      <c r="J4294" s="1003"/>
      <c r="N4294" s="875"/>
      <c r="O4294" s="444"/>
      <c r="P4294" s="607">
        <v>14340</v>
      </c>
      <c r="Q4294" s="28">
        <f>165.79/1020.6</f>
        <v>0.16244366059180873</v>
      </c>
      <c r="U4294" s="600">
        <v>0.1</v>
      </c>
      <c r="W4294" s="741">
        <f t="shared" si="253"/>
        <v>2562.3863021751908</v>
      </c>
    </row>
    <row r="4295" spans="1:23" ht="15" customHeight="1">
      <c r="A4295" s="868">
        <v>41877</v>
      </c>
      <c r="B4295" s="583">
        <f t="shared" si="249"/>
        <v>2000</v>
      </c>
      <c r="C4295" s="583">
        <v>78475</v>
      </c>
      <c r="D4295" s="869">
        <v>725</v>
      </c>
      <c r="E4295" s="869">
        <v>136000</v>
      </c>
      <c r="F4295" s="869">
        <v>217200</v>
      </c>
      <c r="G4295" s="5">
        <v>0</v>
      </c>
      <c r="H4295" s="5">
        <v>0</v>
      </c>
      <c r="I4295" s="5">
        <v>6100</v>
      </c>
      <c r="J4295" s="263">
        <f>I4295/F4295</f>
        <v>2.8084714548802948E-2</v>
      </c>
      <c r="K4295" s="24">
        <v>2257</v>
      </c>
      <c r="L4295" s="6">
        <v>2263</v>
      </c>
      <c r="M4295" s="598">
        <f>L4295-K4295</f>
        <v>6</v>
      </c>
      <c r="P4295" s="607">
        <v>14270</v>
      </c>
      <c r="Q4295" s="28">
        <f>165.51/1018</f>
        <v>0.16258349705304517</v>
      </c>
      <c r="U4295" s="600">
        <v>0.1</v>
      </c>
      <c r="W4295" s="741">
        <f t="shared" si="253"/>
        <v>2552.0731532416503</v>
      </c>
    </row>
    <row r="4296" spans="1:23" ht="15" customHeight="1">
      <c r="A4296" s="870">
        <v>41878</v>
      </c>
      <c r="B4296" s="583">
        <f t="shared" ref="B4296:B4315" si="254">F4296-E4296-D4296-C585-C4296</f>
        <v>1400</v>
      </c>
      <c r="C4296" s="4">
        <v>78475</v>
      </c>
      <c r="D4296" s="5">
        <v>725</v>
      </c>
      <c r="E4296" s="5">
        <v>136550</v>
      </c>
      <c r="F4296" s="869">
        <v>217150</v>
      </c>
      <c r="G4296" s="5">
        <v>0</v>
      </c>
      <c r="H4296" s="5">
        <v>50</v>
      </c>
      <c r="I4296" s="869">
        <v>6050</v>
      </c>
      <c r="J4296" s="597">
        <f>I4296/F4296</f>
        <v>2.7860925627446465E-2</v>
      </c>
      <c r="K4296" s="586">
        <v>2251</v>
      </c>
      <c r="L4296" s="585">
        <v>2259</v>
      </c>
      <c r="M4296" s="598">
        <f>L4296-K4296</f>
        <v>8</v>
      </c>
      <c r="P4296" s="607">
        <v>14370</v>
      </c>
      <c r="Q4296" s="28">
        <f>165.14/1014.6</f>
        <v>0.16276365069978316</v>
      </c>
      <c r="U4296" s="600">
        <v>0.1</v>
      </c>
      <c r="W4296" s="741">
        <f t="shared" si="253"/>
        <v>2572.8050266114724</v>
      </c>
    </row>
    <row r="4297" spans="1:23" ht="15" customHeight="1">
      <c r="A4297" s="873">
        <v>41879</v>
      </c>
      <c r="B4297" s="583">
        <f t="shared" si="254"/>
        <v>3350</v>
      </c>
      <c r="C4297" s="583">
        <v>78475</v>
      </c>
      <c r="D4297" s="872">
        <v>725</v>
      </c>
      <c r="E4297" s="872">
        <v>138075</v>
      </c>
      <c r="F4297" s="872">
        <v>220625</v>
      </c>
      <c r="G4297" s="872">
        <v>3475</v>
      </c>
      <c r="H4297" s="872">
        <v>0</v>
      </c>
      <c r="I4297" s="872">
        <v>4550</v>
      </c>
      <c r="J4297" s="597">
        <f>I4297/F4297</f>
        <v>2.0623229461756373E-2</v>
      </c>
      <c r="K4297" s="586">
        <v>2254.5</v>
      </c>
      <c r="L4297" s="585">
        <v>2253</v>
      </c>
      <c r="M4297" s="598">
        <f>L4297-K4297</f>
        <v>-1.5</v>
      </c>
      <c r="P4297" s="607">
        <v>14370</v>
      </c>
      <c r="Q4297" s="28">
        <f>164.8/1013.6</f>
        <v>0.16258879242304658</v>
      </c>
      <c r="U4297" s="600">
        <v>0.1</v>
      </c>
      <c r="W4297" s="741">
        <f t="shared" si="253"/>
        <v>2570.0410418310976</v>
      </c>
    </row>
    <row r="4298" spans="1:23" ht="15" customHeight="1">
      <c r="A4298" s="874">
        <v>41880</v>
      </c>
      <c r="B4298" s="583">
        <f t="shared" si="254"/>
        <v>1325</v>
      </c>
      <c r="C4298" s="4">
        <v>80425</v>
      </c>
      <c r="D4298" s="5">
        <v>725</v>
      </c>
      <c r="E4298" s="5">
        <v>138075</v>
      </c>
      <c r="F4298" s="5">
        <v>220550</v>
      </c>
      <c r="G4298" s="5">
        <v>0</v>
      </c>
      <c r="H4298" s="5">
        <v>75</v>
      </c>
      <c r="I4298" s="5">
        <v>4475</v>
      </c>
      <c r="J4298" s="597">
        <f>I4298/F4298</f>
        <v>2.0290183631829516E-2</v>
      </c>
      <c r="K4298" s="24">
        <v>2259</v>
      </c>
      <c r="L4298" s="6">
        <v>2251.5</v>
      </c>
      <c r="M4298" s="598">
        <f>L4298-K4298</f>
        <v>-7.5</v>
      </c>
      <c r="N4298" s="420">
        <f>AVERAGE(K4278:K4298)</f>
        <v>2236.5749999999998</v>
      </c>
      <c r="O4298" s="410">
        <f>AVERAGE(K4120:K4298)</f>
        <v>2129.245508982036</v>
      </c>
      <c r="P4298" s="607">
        <v>14320</v>
      </c>
      <c r="Q4298" s="28">
        <f>165.04/1014.9</f>
        <v>0.16261700660163564</v>
      </c>
      <c r="U4298" s="600">
        <v>0.1</v>
      </c>
      <c r="W4298" s="741">
        <f t="shared" si="253"/>
        <v>2561.5430879889645</v>
      </c>
    </row>
    <row r="4299" spans="1:23" ht="15" customHeight="1" thickBot="1">
      <c r="A4299" s="392"/>
      <c r="B4299" s="995"/>
      <c r="C4299" s="995"/>
      <c r="D4299" s="995"/>
      <c r="E4299" s="995"/>
      <c r="F4299" s="392"/>
      <c r="G4299" s="332"/>
      <c r="H4299" s="332"/>
      <c r="I4299" s="332"/>
      <c r="J4299" s="334"/>
      <c r="K4299" s="334"/>
      <c r="L4299" s="335"/>
      <c r="M4299" s="336"/>
      <c r="N4299" s="337"/>
      <c r="O4299" s="353"/>
      <c r="P4299" s="350"/>
      <c r="Q4299" s="299"/>
      <c r="R4299" s="453"/>
      <c r="S4299" s="454"/>
      <c r="T4299" s="454"/>
      <c r="U4299" s="302"/>
      <c r="V4299" s="298">
        <f>AVERAGE(P4278:P4298)</f>
        <v>14502.857142857143</v>
      </c>
      <c r="W4299" s="751"/>
    </row>
    <row r="4300" spans="1:23" ht="15" customHeight="1">
      <c r="A4300" s="876">
        <v>41883</v>
      </c>
      <c r="B4300" s="583">
        <f t="shared" si="254"/>
        <v>1400</v>
      </c>
      <c r="C4300" s="4">
        <v>80350</v>
      </c>
      <c r="D4300" s="5">
        <v>725</v>
      </c>
      <c r="E4300" s="5">
        <v>138075</v>
      </c>
      <c r="F4300" s="5">
        <v>220550</v>
      </c>
      <c r="G4300" s="5">
        <v>0</v>
      </c>
      <c r="H4300" s="5">
        <v>0</v>
      </c>
      <c r="I4300" s="5">
        <v>4475</v>
      </c>
      <c r="J4300" s="597">
        <f t="shared" ref="J4300:J4309" si="255">I4300/F4300</f>
        <v>2.0290183631829516E-2</v>
      </c>
      <c r="K4300" s="24">
        <v>2230</v>
      </c>
      <c r="L4300" s="6">
        <v>2230.5</v>
      </c>
      <c r="M4300" s="598">
        <f t="shared" ref="M4300:M4315" si="256">L4300-K4300</f>
        <v>0.5</v>
      </c>
      <c r="P4300" s="607">
        <v>14220</v>
      </c>
      <c r="Q4300" s="28">
        <f>165/1014.3</f>
        <v>0.16267376515823723</v>
      </c>
      <c r="U4300" s="600">
        <v>0.1</v>
      </c>
      <c r="W4300" s="741">
        <f t="shared" si="253"/>
        <v>2544.5430346051471</v>
      </c>
    </row>
    <row r="4301" spans="1:23" ht="15" customHeight="1">
      <c r="A4301" s="879">
        <v>41884</v>
      </c>
      <c r="B4301" s="583">
        <f t="shared" si="254"/>
        <v>1400</v>
      </c>
      <c r="C4301" s="4">
        <v>80350</v>
      </c>
      <c r="D4301" s="5">
        <v>725</v>
      </c>
      <c r="E4301" s="5">
        <v>141575</v>
      </c>
      <c r="F4301" s="5">
        <v>224050</v>
      </c>
      <c r="G4301" s="5">
        <v>3500</v>
      </c>
      <c r="H4301" s="5">
        <v>0</v>
      </c>
      <c r="I4301" s="5">
        <v>4475</v>
      </c>
      <c r="J4301" s="597">
        <f t="shared" si="255"/>
        <v>1.9973220263334077E-2</v>
      </c>
      <c r="K4301" s="24">
        <v>2233</v>
      </c>
      <c r="L4301" s="6">
        <v>2231</v>
      </c>
      <c r="M4301" s="598">
        <f t="shared" si="256"/>
        <v>-2</v>
      </c>
      <c r="P4301" s="607">
        <v>14220</v>
      </c>
      <c r="Q4301" s="28">
        <f>165.05/1015.6</f>
        <v>0.16251476959432848</v>
      </c>
      <c r="U4301" s="600">
        <v>0.1</v>
      </c>
      <c r="W4301" s="741">
        <f t="shared" si="253"/>
        <v>2542.0560259944859</v>
      </c>
    </row>
    <row r="4302" spans="1:23" ht="15" customHeight="1">
      <c r="A4302" s="880">
        <v>41885</v>
      </c>
      <c r="B4302" s="583">
        <f t="shared" si="254"/>
        <v>1400</v>
      </c>
      <c r="C4302" s="4">
        <v>80350</v>
      </c>
      <c r="D4302" s="5">
        <v>725</v>
      </c>
      <c r="E4302" s="5">
        <v>142075</v>
      </c>
      <c r="F4302" s="5">
        <v>224550</v>
      </c>
      <c r="G4302" s="5">
        <v>500</v>
      </c>
      <c r="H4302" s="5">
        <v>0</v>
      </c>
      <c r="I4302" s="5">
        <v>4475</v>
      </c>
      <c r="J4302" s="263">
        <f t="shared" si="255"/>
        <v>1.9928746381652193E-2</v>
      </c>
      <c r="K4302" s="24">
        <v>2217</v>
      </c>
      <c r="L4302" s="6">
        <v>2220</v>
      </c>
      <c r="M4302" s="598">
        <f t="shared" si="256"/>
        <v>3</v>
      </c>
      <c r="P4302" s="607">
        <v>14250</v>
      </c>
      <c r="Q4302" s="28">
        <f>165.05/1015.6</f>
        <v>0.16251476959432848</v>
      </c>
      <c r="U4302" s="600">
        <v>0.1</v>
      </c>
      <c r="W4302" s="741">
        <f t="shared" si="253"/>
        <v>2547.4190133910988</v>
      </c>
    </row>
    <row r="4303" spans="1:23" ht="15" customHeight="1">
      <c r="A4303" s="881">
        <v>41886</v>
      </c>
      <c r="B4303" s="583">
        <f t="shared" si="254"/>
        <v>1400</v>
      </c>
      <c r="C4303" s="4">
        <v>80350</v>
      </c>
      <c r="D4303" s="5">
        <v>725</v>
      </c>
      <c r="E4303" s="5">
        <v>142075</v>
      </c>
      <c r="F4303" s="5">
        <v>224550</v>
      </c>
      <c r="G4303" s="5">
        <v>0</v>
      </c>
      <c r="H4303" s="5">
        <v>0</v>
      </c>
      <c r="I4303" s="5">
        <v>4475</v>
      </c>
      <c r="J4303" s="597">
        <f t="shared" si="255"/>
        <v>1.9928746381652193E-2</v>
      </c>
      <c r="K4303" s="24">
        <v>2227</v>
      </c>
      <c r="L4303" s="6">
        <v>2233.5</v>
      </c>
      <c r="M4303" s="598">
        <f t="shared" si="256"/>
        <v>6.5</v>
      </c>
      <c r="P4303" s="607">
        <v>14220</v>
      </c>
      <c r="Q4303" s="28">
        <f>165.58/1018</f>
        <v>0.1626522593320236</v>
      </c>
      <c r="U4303" s="600">
        <v>0.1</v>
      </c>
      <c r="W4303" s="741">
        <f t="shared" si="253"/>
        <v>2544.2066404715133</v>
      </c>
    </row>
    <row r="4304" spans="1:23" ht="15" customHeight="1">
      <c r="A4304" s="882">
        <v>41887</v>
      </c>
      <c r="B4304" s="583">
        <f t="shared" si="254"/>
        <v>1400</v>
      </c>
      <c r="C4304" s="4">
        <v>80350</v>
      </c>
      <c r="D4304" s="5">
        <v>725</v>
      </c>
      <c r="E4304" s="5">
        <v>142075</v>
      </c>
      <c r="F4304" s="5">
        <v>224550</v>
      </c>
      <c r="G4304" s="5">
        <v>0</v>
      </c>
      <c r="H4304" s="5">
        <v>0</v>
      </c>
      <c r="I4304" s="5">
        <v>4475</v>
      </c>
      <c r="J4304" s="597">
        <f t="shared" si="255"/>
        <v>1.9928746381652193E-2</v>
      </c>
      <c r="K4304" s="24">
        <v>2200</v>
      </c>
      <c r="L4304" s="6">
        <v>2213</v>
      </c>
      <c r="M4304" s="598">
        <f t="shared" si="256"/>
        <v>13</v>
      </c>
      <c r="P4304" s="607">
        <v>14220</v>
      </c>
      <c r="Q4304" s="885" t="s">
        <v>184</v>
      </c>
      <c r="R4304" s="885"/>
      <c r="S4304" s="885"/>
      <c r="T4304" s="885"/>
      <c r="U4304" s="600">
        <v>0.1</v>
      </c>
    </row>
    <row r="4305" spans="1:23" ht="15" customHeight="1">
      <c r="A4305" s="882">
        <v>41890</v>
      </c>
      <c r="B4305" s="583">
        <f t="shared" si="254"/>
        <v>1525</v>
      </c>
      <c r="C4305" s="4">
        <v>80350</v>
      </c>
      <c r="D4305" s="5">
        <v>725</v>
      </c>
      <c r="E4305" s="5">
        <v>142325</v>
      </c>
      <c r="F4305" s="5">
        <v>224925</v>
      </c>
      <c r="G4305" s="5">
        <v>375</v>
      </c>
      <c r="H4305" s="5">
        <v>0</v>
      </c>
      <c r="I4305" s="5">
        <v>4475</v>
      </c>
      <c r="J4305" s="597">
        <f t="shared" si="255"/>
        <v>1.9895520729131932E-2</v>
      </c>
      <c r="K4305" s="24">
        <v>2194</v>
      </c>
      <c r="L4305" s="6">
        <v>2217</v>
      </c>
      <c r="M4305" s="598">
        <f t="shared" si="256"/>
        <v>23</v>
      </c>
      <c r="P4305" s="1048" t="s">
        <v>186</v>
      </c>
      <c r="Q4305" s="1048"/>
      <c r="R4305" s="884"/>
      <c r="S4305" s="884"/>
      <c r="T4305" s="884"/>
      <c r="U4305" s="600">
        <v>0.1</v>
      </c>
    </row>
    <row r="4306" spans="1:23" ht="15" customHeight="1">
      <c r="A4306" s="882">
        <v>41891</v>
      </c>
      <c r="B4306" s="583">
        <f t="shared" si="254"/>
        <v>1400</v>
      </c>
      <c r="C4306" s="4">
        <v>80475</v>
      </c>
      <c r="D4306" s="5">
        <v>725</v>
      </c>
      <c r="E4306" s="5">
        <v>142325</v>
      </c>
      <c r="F4306" s="5">
        <v>224925</v>
      </c>
      <c r="G4306" s="5">
        <v>0</v>
      </c>
      <c r="H4306" s="5">
        <v>0</v>
      </c>
      <c r="I4306" s="5">
        <v>4600</v>
      </c>
      <c r="J4306" s="263">
        <f t="shared" si="255"/>
        <v>2.0451261531621651E-2</v>
      </c>
      <c r="K4306" s="24">
        <v>2158</v>
      </c>
      <c r="L4306" s="6">
        <v>2174</v>
      </c>
      <c r="M4306" s="598">
        <f t="shared" si="256"/>
        <v>16</v>
      </c>
      <c r="P4306" s="607">
        <v>14120</v>
      </c>
      <c r="Q4306" s="885" t="s">
        <v>184</v>
      </c>
      <c r="R4306" s="587"/>
      <c r="S4306" s="587"/>
      <c r="T4306" s="587"/>
      <c r="U4306" s="600">
        <v>0.1</v>
      </c>
    </row>
    <row r="4307" spans="1:23" ht="15" customHeight="1">
      <c r="A4307" s="882">
        <v>41892</v>
      </c>
      <c r="B4307" s="583">
        <f t="shared" si="254"/>
        <v>1400</v>
      </c>
      <c r="C4307" s="4">
        <v>80475</v>
      </c>
      <c r="D4307" s="5">
        <v>725</v>
      </c>
      <c r="E4307" s="5">
        <v>142325</v>
      </c>
      <c r="F4307" s="5">
        <v>224925</v>
      </c>
      <c r="G4307" s="5">
        <v>0</v>
      </c>
      <c r="H4307" s="5">
        <v>0</v>
      </c>
      <c r="I4307" s="5">
        <v>4600</v>
      </c>
      <c r="J4307" s="263">
        <f t="shared" si="255"/>
        <v>2.0451261531621651E-2</v>
      </c>
      <c r="K4307" s="24">
        <v>2100</v>
      </c>
      <c r="L4307" s="6">
        <v>2118</v>
      </c>
      <c r="M4307" s="598">
        <f t="shared" si="256"/>
        <v>18</v>
      </c>
      <c r="P4307" s="607">
        <v>13920</v>
      </c>
      <c r="Q4307" s="587">
        <f>167.04/1024.6</f>
        <v>0.16302947491704081</v>
      </c>
      <c r="U4307" s="600">
        <v>0.1</v>
      </c>
      <c r="W4307" s="741">
        <f t="shared" si="253"/>
        <v>2496.3073199297291</v>
      </c>
    </row>
    <row r="4308" spans="1:23" ht="15" customHeight="1">
      <c r="A4308" s="883">
        <v>41893</v>
      </c>
      <c r="B4308" s="583">
        <f t="shared" si="254"/>
        <v>1900</v>
      </c>
      <c r="C4308" s="4">
        <v>80475</v>
      </c>
      <c r="D4308" s="5">
        <v>725</v>
      </c>
      <c r="E4308" s="5">
        <v>142325</v>
      </c>
      <c r="F4308" s="5">
        <v>225425</v>
      </c>
      <c r="G4308" s="5">
        <v>0</v>
      </c>
      <c r="H4308" s="5">
        <v>500</v>
      </c>
      <c r="I4308" s="5">
        <v>4900</v>
      </c>
      <c r="J4308" s="597">
        <f t="shared" si="255"/>
        <v>2.1736719529777088E-2</v>
      </c>
      <c r="K4308" s="24">
        <v>2112</v>
      </c>
      <c r="L4308" s="6">
        <v>2124</v>
      </c>
      <c r="M4308" s="598">
        <f t="shared" si="256"/>
        <v>12</v>
      </c>
      <c r="P4308" s="607">
        <v>13870</v>
      </c>
      <c r="Q4308" s="28">
        <f>165.55/1034.4</f>
        <v>0.16004447022428461</v>
      </c>
      <c r="U4308" s="600">
        <v>0.1</v>
      </c>
      <c r="W4308" s="741">
        <f t="shared" si="253"/>
        <v>2441.7984822119101</v>
      </c>
    </row>
    <row r="4309" spans="1:23" ht="15" customHeight="1">
      <c r="A4309" s="888">
        <v>41894</v>
      </c>
      <c r="B4309" s="583">
        <f t="shared" si="254"/>
        <v>1900</v>
      </c>
      <c r="C4309" s="4">
        <v>80475</v>
      </c>
      <c r="D4309" s="5">
        <v>725</v>
      </c>
      <c r="E4309" s="5">
        <v>142800</v>
      </c>
      <c r="F4309" s="5">
        <v>225900</v>
      </c>
      <c r="G4309" s="5">
        <v>475</v>
      </c>
      <c r="H4309" s="5">
        <v>0</v>
      </c>
      <c r="I4309" s="5">
        <v>4975</v>
      </c>
      <c r="J4309" s="597">
        <f t="shared" si="255"/>
        <v>2.2023019034971225E-2</v>
      </c>
      <c r="K4309" s="24">
        <v>2115</v>
      </c>
      <c r="L4309" s="6">
        <v>2124</v>
      </c>
      <c r="M4309" s="598">
        <f t="shared" si="256"/>
        <v>9</v>
      </c>
      <c r="P4309" s="607">
        <v>13870</v>
      </c>
      <c r="Q4309" s="28">
        <f>169.02/1038</f>
        <v>0.16283236994219655</v>
      </c>
      <c r="U4309" s="600">
        <v>0.1</v>
      </c>
      <c r="W4309" s="741">
        <f t="shared" si="253"/>
        <v>2484.3334682080931</v>
      </c>
    </row>
    <row r="4310" spans="1:23" ht="15" customHeight="1">
      <c r="A4310" s="889">
        <v>41897</v>
      </c>
      <c r="B4310" s="583">
        <f t="shared" si="254"/>
        <v>1900</v>
      </c>
      <c r="C4310" s="4">
        <v>80475</v>
      </c>
      <c r="D4310" s="5">
        <v>725</v>
      </c>
      <c r="E4310" s="5">
        <v>142775</v>
      </c>
      <c r="F4310" s="5">
        <v>225875</v>
      </c>
      <c r="G4310" s="5">
        <v>0</v>
      </c>
      <c r="H4310" s="5">
        <v>25</v>
      </c>
      <c r="I4310" s="5">
        <v>4950</v>
      </c>
      <c r="J4310" s="263">
        <f t="shared" ref="J4310:J4315" si="257">I4310/F4310</f>
        <v>2.1914775871610403E-2</v>
      </c>
      <c r="K4310" s="24">
        <v>2103</v>
      </c>
      <c r="L4310" s="6">
        <v>2115</v>
      </c>
      <c r="M4310" s="598">
        <f t="shared" si="256"/>
        <v>12</v>
      </c>
      <c r="P4310" s="607">
        <v>13870</v>
      </c>
      <c r="Q4310" s="28">
        <f>168.46/1038.9</f>
        <v>0.16215227644624122</v>
      </c>
      <c r="U4310" s="600">
        <v>0.1</v>
      </c>
      <c r="W4310" s="741">
        <f t="shared" si="253"/>
        <v>2473.9572817403023</v>
      </c>
    </row>
    <row r="4311" spans="1:23" ht="15" customHeight="1">
      <c r="A4311" s="890">
        <v>41898</v>
      </c>
      <c r="B4311" s="583">
        <f t="shared" si="254"/>
        <v>1775</v>
      </c>
      <c r="C4311" s="4">
        <v>80475</v>
      </c>
      <c r="D4311" s="5">
        <v>725</v>
      </c>
      <c r="E4311" s="5">
        <v>142700</v>
      </c>
      <c r="F4311" s="5">
        <v>225675</v>
      </c>
      <c r="G4311" s="5">
        <v>0</v>
      </c>
      <c r="H4311" s="5">
        <v>200</v>
      </c>
      <c r="I4311" s="5">
        <v>4900</v>
      </c>
      <c r="J4311" s="597">
        <f t="shared" si="257"/>
        <v>2.1712639858203167E-2</v>
      </c>
      <c r="K4311" s="24">
        <v>2091</v>
      </c>
      <c r="L4311" s="6">
        <v>2099</v>
      </c>
      <c r="M4311" s="598">
        <f t="shared" si="256"/>
        <v>8</v>
      </c>
      <c r="P4311" s="607">
        <v>13840</v>
      </c>
      <c r="Q4311" s="28">
        <f>168.15/1035.2</f>
        <v>0.16243238021638332</v>
      </c>
      <c r="U4311" s="600">
        <v>0.1</v>
      </c>
      <c r="W4311" s="741">
        <f t="shared" ref="W4311:W4315" si="258">(P4311*Q4311)*(1+U4311)</f>
        <v>2472.8705564142201</v>
      </c>
    </row>
    <row r="4312" spans="1:23" ht="15" customHeight="1">
      <c r="A4312" s="891">
        <v>41899</v>
      </c>
      <c r="B4312" s="583">
        <f t="shared" si="254"/>
        <v>1900</v>
      </c>
      <c r="C4312" s="4">
        <v>80350</v>
      </c>
      <c r="D4312" s="5">
        <v>725</v>
      </c>
      <c r="E4312" s="5">
        <v>142675</v>
      </c>
      <c r="F4312" s="5">
        <v>225650</v>
      </c>
      <c r="G4312" s="5">
        <v>0</v>
      </c>
      <c r="H4312" s="5">
        <v>25</v>
      </c>
      <c r="I4312" s="5">
        <v>4875</v>
      </c>
      <c r="J4312" s="597">
        <f t="shared" si="257"/>
        <v>2.1604254376246398E-2</v>
      </c>
      <c r="K4312" s="24">
        <v>2092</v>
      </c>
      <c r="L4312" s="6">
        <v>2107</v>
      </c>
      <c r="M4312" s="598">
        <f t="shared" si="256"/>
        <v>15</v>
      </c>
      <c r="P4312" s="607">
        <v>13870</v>
      </c>
      <c r="Q4312" s="28">
        <f>168.15/1035.2</f>
        <v>0.16243238021638332</v>
      </c>
      <c r="U4312" s="600">
        <v>0.1</v>
      </c>
      <c r="W4312" s="741">
        <f t="shared" si="258"/>
        <v>2478.2308249613602</v>
      </c>
    </row>
    <row r="4313" spans="1:23" ht="15" customHeight="1">
      <c r="A4313" s="892">
        <v>41900</v>
      </c>
      <c r="B4313" s="583">
        <f t="shared" si="254"/>
        <v>1725</v>
      </c>
      <c r="C4313" s="4">
        <v>80350</v>
      </c>
      <c r="D4313" s="5">
        <v>725</v>
      </c>
      <c r="E4313" s="5">
        <v>142675</v>
      </c>
      <c r="F4313" s="5">
        <v>225475</v>
      </c>
      <c r="G4313" s="5">
        <v>0</v>
      </c>
      <c r="H4313" s="5">
        <v>175</v>
      </c>
      <c r="I4313" s="5">
        <v>4700</v>
      </c>
      <c r="J4313" s="597">
        <f t="shared" si="257"/>
        <v>2.0844883024725581E-2</v>
      </c>
      <c r="K4313" s="24">
        <v>2078</v>
      </c>
      <c r="L4313" s="6">
        <v>2092</v>
      </c>
      <c r="M4313" s="598">
        <f t="shared" si="256"/>
        <v>14</v>
      </c>
      <c r="P4313" s="607">
        <v>13840</v>
      </c>
      <c r="Q4313" s="28">
        <f>169.44/1041.5</f>
        <v>0.16268843014882381</v>
      </c>
      <c r="U4313" s="600">
        <v>0.1</v>
      </c>
      <c r="W4313" s="741">
        <f t="shared" si="258"/>
        <v>2476.7686605856939</v>
      </c>
    </row>
    <row r="4314" spans="1:23" ht="15" customHeight="1">
      <c r="A4314" s="893">
        <v>41901</v>
      </c>
      <c r="B4314" s="583">
        <f t="shared" si="254"/>
        <v>1700</v>
      </c>
      <c r="C4314" s="4">
        <v>80175</v>
      </c>
      <c r="D4314" s="5">
        <v>725</v>
      </c>
      <c r="E4314" s="5">
        <v>142675</v>
      </c>
      <c r="F4314" s="5">
        <v>225275</v>
      </c>
      <c r="G4314" s="5">
        <v>0</v>
      </c>
      <c r="H4314" s="5">
        <v>200</v>
      </c>
      <c r="I4314" s="5">
        <v>4575</v>
      </c>
      <c r="J4314" s="263">
        <f t="shared" si="257"/>
        <v>2.0308511818888025E-2</v>
      </c>
      <c r="K4314" s="24">
        <v>2068</v>
      </c>
      <c r="L4314" s="6">
        <v>2078</v>
      </c>
      <c r="M4314" s="598">
        <f t="shared" si="256"/>
        <v>10</v>
      </c>
      <c r="P4314" s="607">
        <v>13790</v>
      </c>
      <c r="Q4314" s="28">
        <f>170.04/1044.9</f>
        <v>0.16273327591157047</v>
      </c>
      <c r="U4314" s="600">
        <v>0.1</v>
      </c>
      <c r="W4314" s="741">
        <f t="shared" si="258"/>
        <v>2468.5010623026128</v>
      </c>
    </row>
    <row r="4315" spans="1:23" ht="15" customHeight="1">
      <c r="A4315" s="894">
        <v>41904</v>
      </c>
      <c r="B4315" s="583">
        <f t="shared" si="254"/>
        <v>1900</v>
      </c>
      <c r="C4315" s="4">
        <v>79975</v>
      </c>
      <c r="D4315" s="5">
        <v>725</v>
      </c>
      <c r="E4315" s="5">
        <v>142675</v>
      </c>
      <c r="F4315" s="5">
        <v>225275</v>
      </c>
      <c r="G4315" s="5">
        <v>0</v>
      </c>
      <c r="H4315" s="5">
        <v>0</v>
      </c>
      <c r="I4315" s="5">
        <v>4575</v>
      </c>
      <c r="J4315" s="597">
        <f t="shared" si="257"/>
        <v>2.0308511818888025E-2</v>
      </c>
      <c r="K4315" s="24">
        <v>2050.5</v>
      </c>
      <c r="L4315" s="6">
        <v>2060</v>
      </c>
      <c r="M4315" s="598">
        <f t="shared" si="256"/>
        <v>9.5</v>
      </c>
      <c r="P4315" s="607">
        <v>13690</v>
      </c>
      <c r="Q4315" s="28">
        <f>170.04/1044.9</f>
        <v>0.16273327591157047</v>
      </c>
      <c r="U4315" s="600">
        <v>0.1</v>
      </c>
      <c r="W4315" s="741">
        <f t="shared" si="258"/>
        <v>2450.6004019523402</v>
      </c>
    </row>
    <row r="4316" spans="1:23" ht="15" customHeight="1">
      <c r="A4316" s="895">
        <v>41905</v>
      </c>
      <c r="B4316" s="583">
        <f t="shared" ref="B4316:B4368" si="259">F4316-E4316-D4316-C605-C4316</f>
        <v>1575</v>
      </c>
      <c r="C4316" s="4">
        <v>79975</v>
      </c>
      <c r="D4316" s="5">
        <v>725</v>
      </c>
      <c r="E4316" s="5">
        <v>142975</v>
      </c>
      <c r="F4316" s="5">
        <v>225250</v>
      </c>
      <c r="G4316" s="5">
        <v>300</v>
      </c>
      <c r="H4316" s="5">
        <v>325</v>
      </c>
      <c r="I4316" s="5">
        <v>4275</v>
      </c>
      <c r="J4316" s="597">
        <f t="shared" ref="J4316:J4339" si="260">I4316/F4316</f>
        <v>1.8978912319644839E-2</v>
      </c>
      <c r="K4316" s="24">
        <v>2074</v>
      </c>
      <c r="L4316" s="6">
        <v>2085</v>
      </c>
      <c r="M4316" s="598">
        <f t="shared" ref="M4316:M4385" si="261">L4316-K4316</f>
        <v>11</v>
      </c>
      <c r="P4316" s="607">
        <v>13690</v>
      </c>
      <c r="Q4316" s="28">
        <f>169.66/1042.1</f>
        <v>0.16280587275693312</v>
      </c>
      <c r="U4316" s="600">
        <v>0.1</v>
      </c>
      <c r="W4316" s="741">
        <f t="shared" ref="W4316:W4321" si="262">(P4316*Q4316)*(1+U4316)</f>
        <v>2451.6936378466557</v>
      </c>
    </row>
    <row r="4317" spans="1:23" ht="15" customHeight="1">
      <c r="A4317" s="896">
        <v>41906</v>
      </c>
      <c r="B4317" s="583">
        <f t="shared" si="259"/>
        <v>1900</v>
      </c>
      <c r="C4317" s="4">
        <v>79650</v>
      </c>
      <c r="D4317" s="5">
        <v>725</v>
      </c>
      <c r="E4317" s="5">
        <v>143100</v>
      </c>
      <c r="F4317" s="5">
        <v>225375</v>
      </c>
      <c r="G4317" s="5">
        <v>150</v>
      </c>
      <c r="H4317" s="5">
        <v>25</v>
      </c>
      <c r="I4317" s="5">
        <v>5000</v>
      </c>
      <c r="J4317" s="597">
        <f t="shared" si="260"/>
        <v>2.2185246810870772E-2</v>
      </c>
      <c r="K4317" s="24">
        <v>2058</v>
      </c>
      <c r="L4317" s="6">
        <v>2068.5</v>
      </c>
      <c r="M4317" s="598">
        <f t="shared" si="261"/>
        <v>10.5</v>
      </c>
      <c r="P4317" s="607">
        <v>13690</v>
      </c>
      <c r="Q4317" s="28">
        <f>169.36/1039.8</f>
        <v>0.1628774764377765</v>
      </c>
      <c r="U4317" s="600">
        <v>0.1</v>
      </c>
      <c r="W4317" s="741">
        <f t="shared" si="262"/>
        <v>2452.7719176764763</v>
      </c>
    </row>
    <row r="4318" spans="1:23" ht="15" customHeight="1">
      <c r="A4318" s="897">
        <v>41907</v>
      </c>
      <c r="B4318" s="583">
        <f t="shared" si="259"/>
        <v>1900</v>
      </c>
      <c r="C4318" s="4">
        <v>79650</v>
      </c>
      <c r="D4318" s="5">
        <v>725</v>
      </c>
      <c r="E4318" s="5">
        <v>143200</v>
      </c>
      <c r="F4318" s="5">
        <v>225475</v>
      </c>
      <c r="G4318" s="5">
        <v>100</v>
      </c>
      <c r="H4318" s="5">
        <v>0</v>
      </c>
      <c r="I4318" s="5">
        <v>5000</v>
      </c>
      <c r="J4318" s="597">
        <f t="shared" si="260"/>
        <v>2.2175407473112318E-2</v>
      </c>
      <c r="K4318" s="24">
        <v>2074</v>
      </c>
      <c r="L4318" s="6">
        <v>2089</v>
      </c>
      <c r="M4318" s="598">
        <f t="shared" si="261"/>
        <v>15</v>
      </c>
      <c r="P4318" s="607">
        <v>13690</v>
      </c>
      <c r="Q4318" s="28">
        <f>169.59/1042.6</f>
        <v>0.16266065605217728</v>
      </c>
      <c r="U4318" s="600">
        <v>0.1</v>
      </c>
      <c r="W4318" s="741">
        <f t="shared" si="262"/>
        <v>2449.5068194897376</v>
      </c>
    </row>
    <row r="4319" spans="1:23" ht="15" customHeight="1">
      <c r="A4319" s="898">
        <v>41908</v>
      </c>
      <c r="B4319" s="583">
        <f t="shared" si="259"/>
        <v>1850</v>
      </c>
      <c r="C4319" s="4">
        <v>79650</v>
      </c>
      <c r="D4319" s="5">
        <v>725</v>
      </c>
      <c r="E4319" s="5">
        <v>143200</v>
      </c>
      <c r="F4319" s="5">
        <v>225425</v>
      </c>
      <c r="G4319" s="5">
        <v>0</v>
      </c>
      <c r="H4319" s="5">
        <v>50</v>
      </c>
      <c r="I4319" s="5">
        <v>4950</v>
      </c>
      <c r="J4319" s="597">
        <f t="shared" si="260"/>
        <v>2.1958522790285016E-2</v>
      </c>
      <c r="K4319" s="24">
        <v>2075</v>
      </c>
      <c r="L4319" s="6">
        <v>2087</v>
      </c>
      <c r="M4319" s="598">
        <f t="shared" si="261"/>
        <v>12</v>
      </c>
      <c r="P4319" s="607">
        <v>13690</v>
      </c>
      <c r="Q4319" s="28">
        <f>169.55/1042.7</f>
        <v>0.16260669415939388</v>
      </c>
      <c r="U4319" s="600">
        <v>0.1</v>
      </c>
      <c r="W4319" s="741">
        <f t="shared" si="262"/>
        <v>2448.6942073463129</v>
      </c>
    </row>
    <row r="4320" spans="1:23" ht="15" customHeight="1">
      <c r="A4320" s="899">
        <v>41911</v>
      </c>
      <c r="B4320" s="583">
        <f t="shared" si="259"/>
        <v>1900</v>
      </c>
      <c r="C4320" s="4">
        <v>79600</v>
      </c>
      <c r="D4320" s="5">
        <v>725</v>
      </c>
      <c r="E4320" s="5">
        <v>143075</v>
      </c>
      <c r="F4320" s="5">
        <v>225300</v>
      </c>
      <c r="G4320" s="5">
        <v>0</v>
      </c>
      <c r="H4320" s="5">
        <v>125</v>
      </c>
      <c r="I4320" s="5">
        <v>4825</v>
      </c>
      <c r="J4320" s="597">
        <f t="shared" si="260"/>
        <v>2.1415889924545052E-2</v>
      </c>
      <c r="K4320" s="24">
        <v>2057</v>
      </c>
      <c r="L4320" s="6">
        <v>2063</v>
      </c>
      <c r="M4320" s="598">
        <f t="shared" si="261"/>
        <v>6</v>
      </c>
      <c r="P4320" s="607">
        <v>13690</v>
      </c>
      <c r="Q4320" s="28">
        <f>169.55/1042.7</f>
        <v>0.16260669415939388</v>
      </c>
      <c r="U4320" s="600">
        <v>0.1</v>
      </c>
      <c r="W4320" s="741">
        <f t="shared" si="262"/>
        <v>2448.6942073463129</v>
      </c>
    </row>
    <row r="4321" spans="1:23" ht="15" customHeight="1">
      <c r="A4321" s="900">
        <v>41912</v>
      </c>
      <c r="B4321" s="583">
        <f t="shared" si="259"/>
        <v>1900</v>
      </c>
      <c r="C4321" s="4">
        <v>79600</v>
      </c>
      <c r="D4321" s="5">
        <v>725</v>
      </c>
      <c r="E4321" s="5">
        <v>143050</v>
      </c>
      <c r="F4321" s="5">
        <v>225275</v>
      </c>
      <c r="G4321" s="5">
        <v>0</v>
      </c>
      <c r="H4321" s="5">
        <v>25</v>
      </c>
      <c r="I4321" s="5">
        <v>4800</v>
      </c>
      <c r="J4321" s="597">
        <f t="shared" si="260"/>
        <v>2.1307291088669404E-2</v>
      </c>
      <c r="K4321" s="24">
        <v>2083</v>
      </c>
      <c r="L4321" s="6">
        <v>2093</v>
      </c>
      <c r="M4321" s="598">
        <f t="shared" si="261"/>
        <v>10</v>
      </c>
      <c r="N4321" s="420">
        <f>AVERAGE(K4300:K4321)</f>
        <v>2122.25</v>
      </c>
      <c r="O4321" s="410">
        <f>AVERAGE(K4120:K4321)</f>
        <v>2128.431216931217</v>
      </c>
      <c r="P4321" s="607">
        <v>13760</v>
      </c>
      <c r="Q4321" s="28">
        <f>170.7/1054.7</f>
        <v>0.16184697070256943</v>
      </c>
      <c r="U4321" s="600">
        <v>0.1</v>
      </c>
      <c r="W4321" s="741">
        <f t="shared" si="262"/>
        <v>2449.7157485540911</v>
      </c>
    </row>
    <row r="4322" spans="1:23" ht="15" customHeight="1" thickBot="1">
      <c r="A4322" s="392"/>
      <c r="B4322" s="995"/>
      <c r="C4322" s="995"/>
      <c r="D4322" s="995"/>
      <c r="E4322" s="995"/>
      <c r="F4322" s="392"/>
      <c r="G4322" s="332"/>
      <c r="H4322" s="332"/>
      <c r="I4322" s="332"/>
      <c r="J4322" s="334"/>
      <c r="K4322" s="334"/>
      <c r="L4322" s="335"/>
      <c r="M4322" s="336"/>
      <c r="N4322" s="337"/>
      <c r="O4322" s="353"/>
      <c r="P4322" s="350"/>
      <c r="Q4322" s="299"/>
      <c r="R4322" s="453"/>
      <c r="S4322" s="454"/>
      <c r="T4322" s="454"/>
      <c r="U4322" s="302"/>
      <c r="V4322" s="298">
        <f>AVERAGE(P4300:P4321)</f>
        <v>13905.714285714286</v>
      </c>
      <c r="W4322" s="751"/>
    </row>
    <row r="4323" spans="1:23" ht="15" customHeight="1">
      <c r="A4323" s="3">
        <v>41913</v>
      </c>
      <c r="B4323" s="583">
        <f t="shared" si="259"/>
        <v>2200</v>
      </c>
      <c r="C4323" s="4">
        <v>79600</v>
      </c>
      <c r="D4323" s="5">
        <v>725</v>
      </c>
      <c r="E4323" s="5">
        <v>143000</v>
      </c>
      <c r="F4323" s="5">
        <v>225525</v>
      </c>
      <c r="G4323" s="5">
        <v>300</v>
      </c>
      <c r="H4323" s="5">
        <v>50</v>
      </c>
      <c r="I4323" s="5">
        <v>4750</v>
      </c>
      <c r="J4323" s="597">
        <f t="shared" si="260"/>
        <v>2.1061966522558474E-2</v>
      </c>
      <c r="K4323" s="24">
        <v>2071</v>
      </c>
      <c r="L4323" s="6">
        <v>2087</v>
      </c>
      <c r="M4323" s="598">
        <f t="shared" si="261"/>
        <v>16</v>
      </c>
      <c r="P4323" s="886" t="s">
        <v>184</v>
      </c>
      <c r="Q4323" s="28">
        <f>172.12/1062.1</f>
        <v>0.16205630354957162</v>
      </c>
      <c r="U4323" s="600">
        <v>0.1</v>
      </c>
    </row>
    <row r="4324" spans="1:23" ht="15" customHeight="1">
      <c r="A4324" s="903">
        <v>41914</v>
      </c>
      <c r="B4324" s="583">
        <f t="shared" si="259"/>
        <v>1900</v>
      </c>
      <c r="C4324" s="4">
        <v>79900</v>
      </c>
      <c r="D4324" s="5">
        <v>725</v>
      </c>
      <c r="E4324" s="5">
        <v>142900</v>
      </c>
      <c r="F4324" s="5">
        <v>225425</v>
      </c>
      <c r="G4324" s="5">
        <v>0</v>
      </c>
      <c r="H4324" s="5">
        <v>100</v>
      </c>
      <c r="I4324" s="5">
        <v>4750</v>
      </c>
      <c r="J4324" s="263">
        <f t="shared" si="260"/>
        <v>2.1071309748253299E-2</v>
      </c>
      <c r="K4324" s="24">
        <v>2078</v>
      </c>
      <c r="L4324" s="6">
        <v>2089</v>
      </c>
      <c r="M4324" s="598">
        <f t="shared" si="261"/>
        <v>11</v>
      </c>
      <c r="P4324" s="1048" t="s">
        <v>186</v>
      </c>
      <c r="Q4324" s="1048"/>
      <c r="U4324" s="600">
        <v>0.1</v>
      </c>
    </row>
    <row r="4325" spans="1:23" ht="15" customHeight="1">
      <c r="A4325" s="903">
        <v>41915</v>
      </c>
      <c r="B4325" s="583">
        <f t="shared" si="259"/>
        <v>1900</v>
      </c>
      <c r="C4325" s="4">
        <v>79900</v>
      </c>
      <c r="D4325" s="5">
        <v>725</v>
      </c>
      <c r="E4325" s="5">
        <v>142800</v>
      </c>
      <c r="F4325" s="5">
        <v>225325</v>
      </c>
      <c r="G4325" s="5">
        <v>0</v>
      </c>
      <c r="H4325" s="5">
        <v>100</v>
      </c>
      <c r="I4325" s="5">
        <v>4850</v>
      </c>
      <c r="J4325" s="597">
        <f t="shared" si="260"/>
        <v>2.1524464662154665E-2</v>
      </c>
      <c r="K4325" s="24">
        <v>2080</v>
      </c>
      <c r="L4325" s="6">
        <v>2088</v>
      </c>
      <c r="M4325" s="598">
        <f t="shared" si="261"/>
        <v>8</v>
      </c>
      <c r="P4325" s="1049" t="s">
        <v>188</v>
      </c>
      <c r="Q4325" s="28">
        <f>172.04/1061.1</f>
        <v>0.16213363490717181</v>
      </c>
      <c r="U4325" s="600">
        <v>0.1</v>
      </c>
    </row>
    <row r="4326" spans="1:23" ht="15" customHeight="1">
      <c r="A4326" s="906">
        <v>41918</v>
      </c>
      <c r="B4326" s="583">
        <f t="shared" si="259"/>
        <v>1900</v>
      </c>
      <c r="C4326" s="4">
        <v>79900</v>
      </c>
      <c r="D4326" s="5">
        <v>725</v>
      </c>
      <c r="E4326" s="5">
        <v>142725</v>
      </c>
      <c r="F4326" s="5">
        <v>225250</v>
      </c>
      <c r="G4326" s="5">
        <v>0</v>
      </c>
      <c r="H4326" s="5">
        <v>75</v>
      </c>
      <c r="I4326" s="5">
        <v>4775</v>
      </c>
      <c r="J4326" s="597">
        <f t="shared" si="260"/>
        <v>2.1198668146503886E-2</v>
      </c>
      <c r="K4326" s="24">
        <v>2085</v>
      </c>
      <c r="L4326" s="6">
        <v>2095</v>
      </c>
      <c r="M4326" s="598">
        <f t="shared" si="261"/>
        <v>10</v>
      </c>
      <c r="P4326" s="1049"/>
      <c r="Q4326" s="28">
        <f>173.88/1069.7</f>
        <v>0.16255024773300925</v>
      </c>
      <c r="U4326" s="600">
        <v>0.1</v>
      </c>
    </row>
    <row r="4327" spans="1:23" ht="15" customHeight="1">
      <c r="A4327" s="907">
        <v>41919</v>
      </c>
      <c r="B4327" s="583">
        <f t="shared" si="259"/>
        <v>1900</v>
      </c>
      <c r="C4327" s="4">
        <v>79900</v>
      </c>
      <c r="D4327" s="5">
        <v>725</v>
      </c>
      <c r="E4327" s="5">
        <v>142700</v>
      </c>
      <c r="F4327" s="5">
        <v>225225</v>
      </c>
      <c r="G4327" s="5">
        <v>0</v>
      </c>
      <c r="H4327" s="5">
        <v>25</v>
      </c>
      <c r="I4327" s="5">
        <v>4750</v>
      </c>
      <c r="J4327" s="597">
        <f t="shared" si="260"/>
        <v>2.1090021090021092E-2</v>
      </c>
      <c r="K4327" s="24">
        <v>2095</v>
      </c>
      <c r="L4327" s="6">
        <v>2106</v>
      </c>
      <c r="M4327" s="598">
        <f t="shared" si="261"/>
        <v>11</v>
      </c>
      <c r="P4327" s="1049"/>
      <c r="Q4327" s="28">
        <f>173.49/1066.5</f>
        <v>0.16267229254571028</v>
      </c>
      <c r="U4327" s="600">
        <v>0.1</v>
      </c>
    </row>
    <row r="4328" spans="1:23" ht="15" customHeight="1">
      <c r="A4328" s="909">
        <v>41920</v>
      </c>
      <c r="B4328" s="583">
        <f t="shared" si="259"/>
        <v>1900</v>
      </c>
      <c r="C4328" s="4">
        <v>79900</v>
      </c>
      <c r="D4328" s="5">
        <v>725</v>
      </c>
      <c r="E4328" s="5">
        <v>142700</v>
      </c>
      <c r="F4328" s="5">
        <v>225225</v>
      </c>
      <c r="G4328" s="5">
        <v>0</v>
      </c>
      <c r="H4328" s="5">
        <v>0</v>
      </c>
      <c r="I4328" s="5">
        <v>6075</v>
      </c>
      <c r="J4328" s="597">
        <f t="shared" si="260"/>
        <v>2.6973026973026972E-2</v>
      </c>
      <c r="K4328" s="24">
        <v>2095</v>
      </c>
      <c r="L4328" s="6">
        <v>2102</v>
      </c>
      <c r="M4328" s="598">
        <f t="shared" si="261"/>
        <v>7</v>
      </c>
      <c r="P4328" s="1049"/>
      <c r="Q4328" s="908" t="s">
        <v>184</v>
      </c>
      <c r="U4328" s="600">
        <v>0.1</v>
      </c>
    </row>
    <row r="4329" spans="1:23" ht="15" customHeight="1">
      <c r="A4329" s="909">
        <v>41921</v>
      </c>
      <c r="B4329" s="583">
        <f t="shared" si="259"/>
        <v>1900</v>
      </c>
      <c r="C4329" s="4">
        <v>79900</v>
      </c>
      <c r="D4329" s="5">
        <v>725</v>
      </c>
      <c r="E4329" s="5">
        <v>142675</v>
      </c>
      <c r="F4329" s="5">
        <v>225200</v>
      </c>
      <c r="G4329" s="5">
        <v>0</v>
      </c>
      <c r="H4329" s="5">
        <v>25</v>
      </c>
      <c r="I4329" s="5">
        <v>6050</v>
      </c>
      <c r="J4329" s="597">
        <f t="shared" si="260"/>
        <v>2.6865008880994672E-2</v>
      </c>
      <c r="K4329" s="24">
        <v>2082</v>
      </c>
      <c r="L4329" s="6">
        <v>2095.5</v>
      </c>
      <c r="M4329" s="598">
        <f t="shared" si="261"/>
        <v>13.5</v>
      </c>
      <c r="P4329" s="607">
        <v>13760</v>
      </c>
      <c r="Q4329" s="28">
        <f>174.66/1072.3</f>
        <v>0.16288352140259257</v>
      </c>
      <c r="U4329" s="600">
        <v>0.1</v>
      </c>
      <c r="W4329" s="741">
        <f t="shared" ref="W4329:W4342" si="263">(P4329*Q4329)*(1+U4329)</f>
        <v>2465.4049799496415</v>
      </c>
    </row>
    <row r="4330" spans="1:23" ht="15" customHeight="1">
      <c r="A4330" s="910">
        <v>41922</v>
      </c>
      <c r="B4330" s="583">
        <f t="shared" si="259"/>
        <v>1700</v>
      </c>
      <c r="C4330" s="4">
        <v>79900</v>
      </c>
      <c r="D4330" s="5">
        <v>725</v>
      </c>
      <c r="E4330" s="5">
        <v>142625</v>
      </c>
      <c r="F4330" s="5">
        <v>224950</v>
      </c>
      <c r="G4330" s="5">
        <v>0</v>
      </c>
      <c r="H4330" s="5">
        <v>250</v>
      </c>
      <c r="I4330" s="5">
        <v>5800</v>
      </c>
      <c r="J4330" s="597">
        <f t="shared" si="260"/>
        <v>2.5783507446099134E-2</v>
      </c>
      <c r="K4330" s="24">
        <v>2057</v>
      </c>
      <c r="L4330" s="6">
        <v>2067</v>
      </c>
      <c r="M4330" s="598">
        <f t="shared" si="261"/>
        <v>10</v>
      </c>
      <c r="P4330" s="607">
        <v>13760</v>
      </c>
      <c r="Q4330" s="28">
        <f>174.4/1071</f>
        <v>0.16283846872082167</v>
      </c>
      <c r="U4330" s="600">
        <v>0.1</v>
      </c>
      <c r="W4330" s="741">
        <f t="shared" si="263"/>
        <v>2464.723062558357</v>
      </c>
    </row>
    <row r="4331" spans="1:23" ht="15" customHeight="1">
      <c r="A4331" s="912">
        <v>41925</v>
      </c>
      <c r="B4331" s="583">
        <f t="shared" si="259"/>
        <v>2725</v>
      </c>
      <c r="C4331" s="583">
        <v>79700</v>
      </c>
      <c r="D4331" s="911">
        <v>725</v>
      </c>
      <c r="E4331" s="911">
        <v>142500</v>
      </c>
      <c r="F4331" s="911">
        <v>225650</v>
      </c>
      <c r="G4331" s="911">
        <v>875</v>
      </c>
      <c r="H4331" s="911">
        <v>175</v>
      </c>
      <c r="I4331" s="911">
        <v>5625</v>
      </c>
      <c r="J4331" s="597">
        <f t="shared" si="260"/>
        <v>2.4927985818745845E-2</v>
      </c>
      <c r="K4331" s="586">
        <v>2072</v>
      </c>
      <c r="L4331" s="585">
        <v>2061.25</v>
      </c>
      <c r="M4331" s="598">
        <f t="shared" si="261"/>
        <v>-10.75</v>
      </c>
      <c r="P4331" s="607">
        <v>13760</v>
      </c>
      <c r="Q4331" s="28">
        <f>174.2/1069.1</f>
        <v>0.16294079131980171</v>
      </c>
      <c r="U4331" s="600">
        <v>0.1</v>
      </c>
      <c r="W4331" s="741">
        <f t="shared" si="263"/>
        <v>2466.2718174165193</v>
      </c>
    </row>
    <row r="4332" spans="1:23" ht="15" customHeight="1">
      <c r="A4332" s="913">
        <v>41926</v>
      </c>
      <c r="B4332" s="583">
        <f t="shared" si="259"/>
        <v>1850</v>
      </c>
      <c r="C4332" s="4">
        <v>80525</v>
      </c>
      <c r="D4332" s="5">
        <v>725</v>
      </c>
      <c r="E4332" s="5">
        <v>142500</v>
      </c>
      <c r="F4332" s="5">
        <v>225600</v>
      </c>
      <c r="G4332" s="5">
        <v>0</v>
      </c>
      <c r="H4332" s="5">
        <v>50</v>
      </c>
      <c r="I4332" s="5">
        <v>5575</v>
      </c>
      <c r="J4332" s="597">
        <f t="shared" si="260"/>
        <v>2.4711879432624113E-2</v>
      </c>
      <c r="K4332" s="24">
        <v>2053.5</v>
      </c>
      <c r="L4332" s="6">
        <v>2065</v>
      </c>
      <c r="M4332" s="598">
        <f t="shared" si="261"/>
        <v>11.5</v>
      </c>
      <c r="P4332" s="607">
        <v>13760</v>
      </c>
      <c r="Q4332" s="28">
        <f>173.19/1063.5</f>
        <v>0.16284908321579689</v>
      </c>
      <c r="U4332" s="600">
        <v>0.1</v>
      </c>
      <c r="W4332" s="741">
        <f t="shared" si="263"/>
        <v>2464.8837235543019</v>
      </c>
    </row>
    <row r="4333" spans="1:23" ht="15" customHeight="1">
      <c r="A4333" s="914">
        <v>41927</v>
      </c>
      <c r="B4333" s="583">
        <f t="shared" si="259"/>
        <v>1900</v>
      </c>
      <c r="C4333" s="4">
        <v>80475</v>
      </c>
      <c r="D4333" s="5">
        <v>725</v>
      </c>
      <c r="E4333" s="5">
        <v>142425</v>
      </c>
      <c r="F4333" s="5">
        <v>225525</v>
      </c>
      <c r="G4333" s="5">
        <v>0</v>
      </c>
      <c r="H4333" s="5">
        <v>75</v>
      </c>
      <c r="I4333" s="5">
        <v>5500</v>
      </c>
      <c r="J4333" s="597">
        <f t="shared" si="260"/>
        <v>2.4387540184015077E-2</v>
      </c>
      <c r="K4333" s="24">
        <v>2042.5</v>
      </c>
      <c r="L4333" s="6">
        <v>2055</v>
      </c>
      <c r="M4333" s="598">
        <f t="shared" si="261"/>
        <v>12.5</v>
      </c>
      <c r="P4333" s="607">
        <v>13760</v>
      </c>
      <c r="Q4333" s="28">
        <f>173.69/1065.8</f>
        <v>0.16296678551322952</v>
      </c>
      <c r="U4333" s="600">
        <v>0.1</v>
      </c>
      <c r="W4333" s="741">
        <f t="shared" si="263"/>
        <v>2466.6652655282423</v>
      </c>
    </row>
    <row r="4334" spans="1:23" ht="15" customHeight="1">
      <c r="A4334" s="915">
        <v>41928</v>
      </c>
      <c r="B4334" s="583">
        <f t="shared" si="259"/>
        <v>1925</v>
      </c>
      <c r="C4334" s="4">
        <v>80475</v>
      </c>
      <c r="D4334" s="5">
        <v>725</v>
      </c>
      <c r="E4334" s="5">
        <v>142425</v>
      </c>
      <c r="F4334" s="5">
        <v>225550</v>
      </c>
      <c r="G4334" s="5">
        <v>500</v>
      </c>
      <c r="H4334" s="5">
        <v>475</v>
      </c>
      <c r="I4334" s="5">
        <v>7775</v>
      </c>
      <c r="J4334" s="597">
        <f t="shared" si="260"/>
        <v>3.4471292396364442E-2</v>
      </c>
      <c r="K4334" s="24">
        <v>1956</v>
      </c>
      <c r="L4334" s="6">
        <v>1965</v>
      </c>
      <c r="M4334" s="598">
        <f t="shared" si="261"/>
        <v>9</v>
      </c>
      <c r="P4334" s="607">
        <v>13660</v>
      </c>
      <c r="Q4334" s="28">
        <f>172.55/1059.9</f>
        <v>0.16279837720539672</v>
      </c>
      <c r="U4334" s="600">
        <v>0.1</v>
      </c>
      <c r="W4334" s="741">
        <f t="shared" si="263"/>
        <v>2446.2084158882913</v>
      </c>
    </row>
    <row r="4335" spans="1:23" ht="15" customHeight="1">
      <c r="A4335" s="916">
        <v>41929</v>
      </c>
      <c r="B4335" s="583">
        <f t="shared" si="259"/>
        <v>1425</v>
      </c>
      <c r="C4335" s="4">
        <v>80475</v>
      </c>
      <c r="D4335" s="5">
        <v>725</v>
      </c>
      <c r="E4335" s="5">
        <v>142425</v>
      </c>
      <c r="F4335" s="5">
        <v>225050</v>
      </c>
      <c r="G4335" s="5">
        <v>0</v>
      </c>
      <c r="H4335" s="5">
        <v>500</v>
      </c>
      <c r="I4335" s="5">
        <v>14650</v>
      </c>
      <c r="J4335" s="263">
        <f t="shared" si="260"/>
        <v>6.509664518995778E-2</v>
      </c>
      <c r="K4335" s="24">
        <v>1998</v>
      </c>
      <c r="L4335" s="6">
        <v>2010.5</v>
      </c>
      <c r="M4335" s="598">
        <f t="shared" si="261"/>
        <v>12.5</v>
      </c>
      <c r="P4335" s="607">
        <v>13620</v>
      </c>
      <c r="Q4335" s="28">
        <f>173.11/1063.2</f>
        <v>0.16281978931527466</v>
      </c>
      <c r="U4335" s="600">
        <v>0.1</v>
      </c>
      <c r="W4335" s="741">
        <f t="shared" si="263"/>
        <v>2439.366083521445</v>
      </c>
    </row>
    <row r="4336" spans="1:23" ht="15" customHeight="1">
      <c r="A4336" s="917">
        <v>41932</v>
      </c>
      <c r="B4336" s="583">
        <f t="shared" si="259"/>
        <v>1075</v>
      </c>
      <c r="C4336" s="4">
        <v>80475</v>
      </c>
      <c r="D4336" s="5">
        <v>725</v>
      </c>
      <c r="E4336" s="5">
        <v>142425</v>
      </c>
      <c r="F4336" s="5">
        <v>224700</v>
      </c>
      <c r="G4336" s="5">
        <v>0</v>
      </c>
      <c r="H4336" s="5">
        <v>350</v>
      </c>
      <c r="I4336" s="5">
        <v>14300</v>
      </c>
      <c r="J4336" s="263">
        <f t="shared" si="260"/>
        <v>6.3640409434801953E-2</v>
      </c>
      <c r="K4336" s="24">
        <v>2012</v>
      </c>
      <c r="L4336" s="6">
        <v>2021</v>
      </c>
      <c r="M4336" s="598">
        <f t="shared" si="261"/>
        <v>9</v>
      </c>
      <c r="P4336" s="607">
        <v>13670</v>
      </c>
      <c r="Q4336" s="28">
        <f>172.91/1060.4</f>
        <v>0.16306110901546583</v>
      </c>
      <c r="U4336" s="600">
        <v>0.1</v>
      </c>
      <c r="W4336" s="741">
        <f t="shared" si="263"/>
        <v>2451.9498962655598</v>
      </c>
    </row>
    <row r="4337" spans="1:23" ht="15" customHeight="1">
      <c r="A4337" s="918">
        <v>41933</v>
      </c>
      <c r="B4337" s="583">
        <f t="shared" si="259"/>
        <v>1075</v>
      </c>
      <c r="C4337" s="4">
        <v>80475</v>
      </c>
      <c r="D4337" s="5">
        <v>725</v>
      </c>
      <c r="E4337" s="5">
        <v>142425</v>
      </c>
      <c r="F4337" s="5">
        <v>224700</v>
      </c>
      <c r="G4337" s="5">
        <v>0</v>
      </c>
      <c r="H4337" s="5">
        <v>0</v>
      </c>
      <c r="I4337" s="5">
        <v>14300</v>
      </c>
      <c r="J4337" s="597">
        <f t="shared" si="260"/>
        <v>6.3640409434801953E-2</v>
      </c>
      <c r="K4337" s="24">
        <v>1999.5</v>
      </c>
      <c r="L4337" s="6">
        <v>2011</v>
      </c>
      <c r="M4337" s="598">
        <f t="shared" si="261"/>
        <v>11.5</v>
      </c>
      <c r="P4337" s="607">
        <v>13670</v>
      </c>
      <c r="Q4337" s="28">
        <f>172.1/1054.5</f>
        <v>0.16320531057373161</v>
      </c>
      <c r="U4337" s="600">
        <v>0.1</v>
      </c>
      <c r="W4337" s="741">
        <f t="shared" si="263"/>
        <v>2454.1182550972026</v>
      </c>
    </row>
    <row r="4338" spans="1:23" ht="15" customHeight="1">
      <c r="A4338" s="919">
        <v>41934</v>
      </c>
      <c r="B4338" s="583">
        <f t="shared" si="259"/>
        <v>1075</v>
      </c>
      <c r="C4338" s="4">
        <v>80475</v>
      </c>
      <c r="D4338" s="5">
        <v>725</v>
      </c>
      <c r="E4338" s="5">
        <v>142400</v>
      </c>
      <c r="F4338" s="5">
        <v>224675</v>
      </c>
      <c r="G4338" s="5">
        <v>0</v>
      </c>
      <c r="H4338" s="5">
        <v>25</v>
      </c>
      <c r="I4338" s="5">
        <v>14500</v>
      </c>
      <c r="J4338" s="263">
        <f t="shared" si="260"/>
        <v>6.453766551685769E-2</v>
      </c>
      <c r="K4338" s="24">
        <v>2037.5</v>
      </c>
      <c r="L4338" s="6">
        <v>2053</v>
      </c>
      <c r="M4338" s="598">
        <f t="shared" si="261"/>
        <v>15.5</v>
      </c>
      <c r="P4338" s="607">
        <v>13670</v>
      </c>
      <c r="Q4338" s="28">
        <f>172.04/1053.7</f>
        <v>0.16327227863718324</v>
      </c>
      <c r="U4338" s="600">
        <v>0.1</v>
      </c>
      <c r="W4338" s="741">
        <f t="shared" si="263"/>
        <v>2455.1252538673248</v>
      </c>
    </row>
    <row r="4339" spans="1:23" ht="15" customHeight="1">
      <c r="A4339" s="920">
        <v>41935</v>
      </c>
      <c r="B4339" s="583">
        <f t="shared" si="259"/>
        <v>1075</v>
      </c>
      <c r="C4339" s="4">
        <v>80475</v>
      </c>
      <c r="D4339" s="5">
        <v>725</v>
      </c>
      <c r="E4339" s="5">
        <v>142400</v>
      </c>
      <c r="F4339" s="5">
        <v>224675</v>
      </c>
      <c r="G4339" s="5">
        <v>0</v>
      </c>
      <c r="H4339" s="5">
        <v>0</v>
      </c>
      <c r="I4339" s="5">
        <v>14500</v>
      </c>
      <c r="J4339" s="597">
        <f t="shared" si="260"/>
        <v>6.453766551685769E-2</v>
      </c>
      <c r="K4339" s="24">
        <v>2006</v>
      </c>
      <c r="L4339" s="6">
        <v>2019</v>
      </c>
      <c r="M4339" s="598">
        <f t="shared" si="261"/>
        <v>13</v>
      </c>
      <c r="P4339" s="607">
        <v>13670</v>
      </c>
      <c r="Q4339" s="28">
        <f>172.26/1055.4</f>
        <v>0.16321773735076747</v>
      </c>
      <c r="U4339" s="600">
        <v>0.1</v>
      </c>
      <c r="W4339" s="741">
        <f t="shared" si="263"/>
        <v>2454.3051165434908</v>
      </c>
    </row>
    <row r="4340" spans="1:23" ht="15" customHeight="1">
      <c r="A4340" s="921">
        <v>41936</v>
      </c>
      <c r="B4340" s="583">
        <f t="shared" si="259"/>
        <v>1075</v>
      </c>
      <c r="C4340" s="4">
        <v>80475</v>
      </c>
      <c r="D4340" s="5">
        <v>725</v>
      </c>
      <c r="E4340" s="5">
        <v>142400</v>
      </c>
      <c r="F4340" s="5">
        <v>224675</v>
      </c>
      <c r="G4340" s="5">
        <v>0</v>
      </c>
      <c r="H4340" s="5">
        <v>0</v>
      </c>
      <c r="I4340" s="5">
        <v>14500</v>
      </c>
      <c r="J4340" s="597">
        <f>I4340/F4340</f>
        <v>6.453766551685769E-2</v>
      </c>
      <c r="K4340" s="24">
        <v>2011</v>
      </c>
      <c r="L4340" s="6">
        <v>2018</v>
      </c>
      <c r="M4340" s="598">
        <f t="shared" si="261"/>
        <v>7</v>
      </c>
      <c r="P4340" s="607">
        <v>13670</v>
      </c>
      <c r="Q4340" s="28">
        <f>172.95/1059.3</f>
        <v>0.16326819597847636</v>
      </c>
      <c r="U4340" s="600">
        <v>0.1</v>
      </c>
      <c r="W4340" s="741">
        <f t="shared" si="263"/>
        <v>2455.0638629283494</v>
      </c>
    </row>
    <row r="4341" spans="1:23" ht="15" customHeight="1">
      <c r="A4341" s="922">
        <v>41939</v>
      </c>
      <c r="B4341" s="583">
        <f t="shared" si="259"/>
        <v>775</v>
      </c>
      <c r="C4341" s="4">
        <v>80475</v>
      </c>
      <c r="D4341" s="5">
        <v>725</v>
      </c>
      <c r="E4341" s="5">
        <v>142425</v>
      </c>
      <c r="F4341" s="5">
        <v>224400</v>
      </c>
      <c r="G4341" s="5">
        <v>25</v>
      </c>
      <c r="H4341" s="5">
        <v>300</v>
      </c>
      <c r="I4341" s="5">
        <v>14200</v>
      </c>
      <c r="J4341" s="597">
        <f>I4341/F4341</f>
        <v>6.3279857397504455E-2</v>
      </c>
      <c r="K4341" s="24">
        <v>1987</v>
      </c>
      <c r="L4341" s="6">
        <v>2002</v>
      </c>
      <c r="M4341" s="598">
        <f t="shared" si="261"/>
        <v>15</v>
      </c>
      <c r="P4341" s="607">
        <v>13670</v>
      </c>
      <c r="Q4341" s="28">
        <f>171.99/1052.6</f>
        <v>0.16339540186205589</v>
      </c>
      <c r="U4341" s="600">
        <v>0.1</v>
      </c>
      <c r="W4341" s="741">
        <f t="shared" si="263"/>
        <v>2456.9766577997348</v>
      </c>
    </row>
    <row r="4342" spans="1:23" ht="15" customHeight="1">
      <c r="A4342" s="923">
        <v>41940</v>
      </c>
      <c r="B4342" s="583">
        <f t="shared" si="259"/>
        <v>925</v>
      </c>
      <c r="C4342" s="4">
        <v>80175</v>
      </c>
      <c r="D4342" s="5">
        <v>725</v>
      </c>
      <c r="E4342" s="5">
        <v>142725</v>
      </c>
      <c r="F4342" s="5">
        <v>224550</v>
      </c>
      <c r="G4342" s="5">
        <v>300</v>
      </c>
      <c r="H4342" s="5">
        <v>150</v>
      </c>
      <c r="I4342" s="5">
        <v>14050</v>
      </c>
      <c r="J4342" s="597">
        <f t="shared" ref="J4342:J4385" si="264">I4342/F4342</f>
        <v>6.2569583611667784E-2</v>
      </c>
      <c r="K4342" s="24">
        <v>2019</v>
      </c>
      <c r="L4342" s="6">
        <v>2030</v>
      </c>
      <c r="M4342" s="598">
        <f t="shared" si="261"/>
        <v>11</v>
      </c>
      <c r="P4342" s="607">
        <v>13670</v>
      </c>
      <c r="Q4342" s="28">
        <f>171.84/1050.6</f>
        <v>0.16356367789834383</v>
      </c>
      <c r="U4342" s="600">
        <v>0.1</v>
      </c>
      <c r="W4342" s="741">
        <f t="shared" si="263"/>
        <v>2459.5070245573966</v>
      </c>
    </row>
    <row r="4343" spans="1:23" ht="15" customHeight="1">
      <c r="A4343" s="924">
        <v>41941</v>
      </c>
      <c r="B4343" s="583">
        <f t="shared" si="259"/>
        <v>1000</v>
      </c>
      <c r="C4343" s="4">
        <v>80025</v>
      </c>
      <c r="D4343" s="5">
        <v>725</v>
      </c>
      <c r="E4343" s="5">
        <v>142725</v>
      </c>
      <c r="F4343" s="5">
        <v>224475</v>
      </c>
      <c r="G4343" s="5">
        <v>0</v>
      </c>
      <c r="H4343" s="5">
        <v>75</v>
      </c>
      <c r="I4343" s="5">
        <v>14000</v>
      </c>
      <c r="J4343" s="597">
        <f t="shared" si="264"/>
        <v>6.2367746965140886E-2</v>
      </c>
      <c r="K4343" s="24">
        <v>2020</v>
      </c>
      <c r="L4343" s="6">
        <v>2035</v>
      </c>
      <c r="M4343" s="598">
        <f t="shared" si="261"/>
        <v>15</v>
      </c>
      <c r="P4343" s="607">
        <v>13670</v>
      </c>
      <c r="Q4343" s="28">
        <f>171.15/1047</f>
        <v>0.16346704871060172</v>
      </c>
      <c r="U4343" s="600">
        <v>0.1</v>
      </c>
      <c r="W4343" s="741">
        <f>(P4343*Q4343)*(1+U4343)</f>
        <v>2458.0540114613182</v>
      </c>
    </row>
    <row r="4344" spans="1:23" ht="15" customHeight="1">
      <c r="A4344" s="925">
        <v>41942</v>
      </c>
      <c r="B4344" s="583">
        <f t="shared" si="259"/>
        <v>2375</v>
      </c>
      <c r="C4344" s="4">
        <v>79975</v>
      </c>
      <c r="D4344" s="5">
        <v>725</v>
      </c>
      <c r="E4344" s="5">
        <v>143450</v>
      </c>
      <c r="F4344" s="5">
        <v>226525</v>
      </c>
      <c r="G4344" s="5">
        <v>2050</v>
      </c>
      <c r="H4344" s="5">
        <v>0</v>
      </c>
      <c r="I4344" s="5">
        <v>14300</v>
      </c>
      <c r="J4344" s="597">
        <f t="shared" si="264"/>
        <v>6.3127690100430414E-2</v>
      </c>
      <c r="K4344" s="24">
        <v>2004</v>
      </c>
      <c r="L4344" s="6">
        <v>2017</v>
      </c>
      <c r="M4344" s="598">
        <f t="shared" si="261"/>
        <v>13</v>
      </c>
      <c r="P4344" s="607">
        <v>13670</v>
      </c>
      <c r="Q4344" s="28">
        <f>171.15/1047</f>
        <v>0.16346704871060172</v>
      </c>
      <c r="U4344" s="600">
        <v>0.1</v>
      </c>
      <c r="W4344" s="741">
        <f>(P4344*Q4344)*(1+U4344)</f>
        <v>2458.0540114613182</v>
      </c>
    </row>
    <row r="4345" spans="1:23" ht="15" customHeight="1">
      <c r="A4345" s="926">
        <v>41943</v>
      </c>
      <c r="B4345" s="583">
        <f t="shared" si="259"/>
        <v>2375</v>
      </c>
      <c r="C4345" s="4">
        <v>79975</v>
      </c>
      <c r="D4345" s="5">
        <v>725</v>
      </c>
      <c r="E4345" s="5">
        <v>143450</v>
      </c>
      <c r="F4345" s="5">
        <v>226525</v>
      </c>
      <c r="G4345" s="5">
        <v>0</v>
      </c>
      <c r="H4345" s="5">
        <v>0</v>
      </c>
      <c r="I4345" s="5">
        <v>14725</v>
      </c>
      <c r="J4345" s="597">
        <f t="shared" si="264"/>
        <v>6.5003862708310337E-2</v>
      </c>
      <c r="K4345" s="24">
        <v>2015</v>
      </c>
      <c r="L4345" s="6">
        <v>2024</v>
      </c>
      <c r="M4345" s="598">
        <f t="shared" si="261"/>
        <v>9</v>
      </c>
      <c r="N4345" s="420">
        <f>AVERAGE(K4323:K4345)</f>
        <v>2038.0869565217392</v>
      </c>
      <c r="O4345" s="410">
        <f>AVERAGE(K4120:K4345)</f>
        <v>2118.6297169811319</v>
      </c>
      <c r="P4345" s="607">
        <v>13640</v>
      </c>
      <c r="Q4345" s="28">
        <f>172.78/1058.8</f>
        <v>0.16318473743860976</v>
      </c>
      <c r="U4345" s="600">
        <v>0.1</v>
      </c>
      <c r="W4345" s="741">
        <f>(P4345*Q4345)*(1+U4345)</f>
        <v>2448.4238005289012</v>
      </c>
    </row>
    <row r="4346" spans="1:23" ht="15" customHeight="1" thickBot="1">
      <c r="A4346" s="392"/>
      <c r="B4346" s="995"/>
      <c r="C4346" s="995"/>
      <c r="D4346" s="995"/>
      <c r="E4346" s="995"/>
      <c r="F4346" s="392"/>
      <c r="G4346" s="332"/>
      <c r="H4346" s="332"/>
      <c r="I4346" s="332"/>
      <c r="J4346" s="334"/>
      <c r="K4346" s="334"/>
      <c r="L4346" s="335"/>
      <c r="M4346" s="336"/>
      <c r="N4346" s="337"/>
      <c r="O4346" s="353"/>
      <c r="P4346" s="350"/>
      <c r="Q4346" s="299"/>
      <c r="R4346" s="453"/>
      <c r="S4346" s="454"/>
      <c r="T4346" s="454"/>
      <c r="U4346" s="302"/>
      <c r="V4346" s="298">
        <f>AVERAGE(P4323:P4345)</f>
        <v>13691.176470588236</v>
      </c>
      <c r="W4346" s="751"/>
    </row>
    <row r="4347" spans="1:23" ht="15" customHeight="1">
      <c r="A4347" s="3">
        <v>41946</v>
      </c>
      <c r="B4347" s="583">
        <f t="shared" si="259"/>
        <v>2400</v>
      </c>
      <c r="C4347" s="4">
        <v>79975</v>
      </c>
      <c r="D4347" s="5">
        <v>725</v>
      </c>
      <c r="E4347" s="5">
        <v>143450</v>
      </c>
      <c r="F4347" s="5">
        <v>226550</v>
      </c>
      <c r="G4347" s="5">
        <v>25</v>
      </c>
      <c r="H4347" s="5">
        <v>0</v>
      </c>
      <c r="I4347" s="5">
        <v>18525</v>
      </c>
      <c r="J4347" s="597">
        <f t="shared" si="264"/>
        <v>8.1770028691238131E-2</v>
      </c>
      <c r="K4347" s="24">
        <v>2000</v>
      </c>
      <c r="L4347" s="6">
        <v>2009</v>
      </c>
      <c r="M4347" s="598">
        <f t="shared" si="261"/>
        <v>9</v>
      </c>
      <c r="P4347" s="607">
        <v>13590</v>
      </c>
      <c r="Q4347" s="587">
        <f>175.43/1075.1</f>
        <v>0.16317551855641338</v>
      </c>
      <c r="U4347" s="600">
        <v>0.1</v>
      </c>
      <c r="W4347" s="741">
        <f t="shared" ref="W4347:W4356" si="265">(P4347*Q4347)*(1+U4347)</f>
        <v>2439.310826899824</v>
      </c>
    </row>
    <row r="4348" spans="1:23" ht="15" customHeight="1">
      <c r="A4348" s="929">
        <v>41947</v>
      </c>
      <c r="B4348" s="583">
        <f t="shared" si="259"/>
        <v>2400</v>
      </c>
      <c r="C4348" s="4">
        <v>79975</v>
      </c>
      <c r="D4348" s="5">
        <v>725</v>
      </c>
      <c r="E4348" s="5">
        <v>143450</v>
      </c>
      <c r="F4348" s="5">
        <v>226550</v>
      </c>
      <c r="G4348" s="5">
        <v>0</v>
      </c>
      <c r="H4348" s="5">
        <v>0</v>
      </c>
      <c r="I4348" s="5">
        <v>18525</v>
      </c>
      <c r="J4348" s="597">
        <f t="shared" si="264"/>
        <v>8.1770028691238131E-2</v>
      </c>
      <c r="K4348" s="24">
        <v>2007</v>
      </c>
      <c r="L4348" s="6">
        <v>2013</v>
      </c>
      <c r="M4348" s="598">
        <f t="shared" si="261"/>
        <v>6</v>
      </c>
      <c r="P4348" s="607">
        <v>13590</v>
      </c>
      <c r="Q4348" s="28">
        <f>176.51/1079.9</f>
        <v>0.16345031947402536</v>
      </c>
      <c r="U4348" s="600">
        <v>0.1</v>
      </c>
      <c r="W4348" s="741">
        <f t="shared" si="265"/>
        <v>2443.4188258172053</v>
      </c>
    </row>
    <row r="4349" spans="1:23" ht="15" customHeight="1">
      <c r="A4349" s="930">
        <v>41948</v>
      </c>
      <c r="B4349" s="583">
        <f t="shared" si="259"/>
        <v>2400</v>
      </c>
      <c r="C4349" s="4">
        <v>79975</v>
      </c>
      <c r="D4349" s="5">
        <v>725</v>
      </c>
      <c r="E4349" s="5">
        <v>141575</v>
      </c>
      <c r="F4349" s="5">
        <v>224675</v>
      </c>
      <c r="G4349" s="5">
        <v>0</v>
      </c>
      <c r="H4349" s="5">
        <v>1875</v>
      </c>
      <c r="I4349" s="5">
        <v>16650</v>
      </c>
      <c r="J4349" s="597">
        <f t="shared" si="264"/>
        <v>7.4107043507288306E-2</v>
      </c>
      <c r="K4349" s="24">
        <v>1975</v>
      </c>
      <c r="L4349" s="6">
        <v>1980</v>
      </c>
      <c r="M4349" s="598">
        <f t="shared" si="261"/>
        <v>5</v>
      </c>
      <c r="P4349" s="607">
        <v>13540</v>
      </c>
      <c r="Q4349" s="28">
        <f>176.21/1078.7</f>
        <v>0.16335403726708075</v>
      </c>
      <c r="U4349" s="600">
        <v>0.1</v>
      </c>
      <c r="W4349" s="741">
        <f t="shared" si="265"/>
        <v>2432.9950310559011</v>
      </c>
    </row>
    <row r="4350" spans="1:23" ht="15" customHeight="1">
      <c r="A4350" s="931">
        <v>41949</v>
      </c>
      <c r="B4350" s="583">
        <f t="shared" si="259"/>
        <v>2400</v>
      </c>
      <c r="C4350" s="4">
        <v>79975</v>
      </c>
      <c r="D4350" s="5">
        <v>725</v>
      </c>
      <c r="E4350" s="5">
        <v>139400</v>
      </c>
      <c r="F4350" s="5">
        <v>222500</v>
      </c>
      <c r="G4350" s="5">
        <v>0</v>
      </c>
      <c r="H4350" s="5">
        <v>2175</v>
      </c>
      <c r="I4350" s="5">
        <v>15450</v>
      </c>
      <c r="J4350" s="263">
        <f t="shared" si="264"/>
        <v>6.9438202247191008E-2</v>
      </c>
      <c r="K4350" s="24">
        <v>1979.5</v>
      </c>
      <c r="L4350" s="6">
        <v>1988</v>
      </c>
      <c r="M4350" s="598">
        <f t="shared" si="261"/>
        <v>8.5</v>
      </c>
      <c r="P4350" s="607">
        <v>13540</v>
      </c>
      <c r="Q4350" s="28">
        <f>177.86/1089.1</f>
        <v>0.1633091543476265</v>
      </c>
      <c r="U4350" s="600">
        <v>0.1</v>
      </c>
      <c r="W4350" s="741">
        <f t="shared" si="265"/>
        <v>2432.3265448535494</v>
      </c>
    </row>
    <row r="4351" spans="1:23" ht="15" customHeight="1">
      <c r="A4351" s="932">
        <v>41950</v>
      </c>
      <c r="B4351" s="583">
        <f t="shared" si="259"/>
        <v>2400</v>
      </c>
      <c r="C4351" s="4">
        <v>79975</v>
      </c>
      <c r="D4351" s="5">
        <v>725</v>
      </c>
      <c r="E4351" s="5">
        <v>137450</v>
      </c>
      <c r="F4351" s="5">
        <v>220550</v>
      </c>
      <c r="G4351" s="5">
        <v>0</v>
      </c>
      <c r="H4351" s="5">
        <v>1950</v>
      </c>
      <c r="I4351" s="5">
        <v>13500</v>
      </c>
      <c r="J4351" s="597">
        <f t="shared" si="264"/>
        <v>6.1210609839038768E-2</v>
      </c>
      <c r="K4351" s="24">
        <v>1997</v>
      </c>
      <c r="L4351" s="6">
        <v>2006</v>
      </c>
      <c r="M4351" s="598">
        <f t="shared" si="261"/>
        <v>9</v>
      </c>
      <c r="P4351" s="607">
        <v>13540</v>
      </c>
      <c r="Q4351" s="28">
        <f>178.05/1092.5</f>
        <v>0.16297482837528604</v>
      </c>
      <c r="U4351" s="600">
        <v>0.1</v>
      </c>
      <c r="W4351" s="741">
        <f t="shared" si="265"/>
        <v>2427.3470938215105</v>
      </c>
    </row>
    <row r="4352" spans="1:23" ht="15" customHeight="1">
      <c r="A4352" s="933">
        <v>41953</v>
      </c>
      <c r="B4352" s="583">
        <f t="shared" si="259"/>
        <v>2400</v>
      </c>
      <c r="C4352" s="4">
        <v>79975</v>
      </c>
      <c r="D4352" s="5">
        <v>725</v>
      </c>
      <c r="E4352" s="5">
        <v>135475</v>
      </c>
      <c r="F4352" s="5">
        <v>218575</v>
      </c>
      <c r="G4352" s="5">
        <v>0</v>
      </c>
      <c r="H4352" s="5">
        <v>1975</v>
      </c>
      <c r="I4352" s="5">
        <v>11525</v>
      </c>
      <c r="J4352" s="597">
        <f t="shared" si="264"/>
        <v>5.2727896602996684E-2</v>
      </c>
      <c r="K4352" s="24">
        <v>2029</v>
      </c>
      <c r="L4352" s="6">
        <v>2038.5</v>
      </c>
      <c r="M4352" s="598">
        <f t="shared" si="261"/>
        <v>9.5</v>
      </c>
      <c r="P4352" s="607">
        <v>13560</v>
      </c>
      <c r="Q4352" s="28">
        <f>177.2/1085.2</f>
        <v>0.16328787320309618</v>
      </c>
      <c r="U4352" s="600">
        <v>0.1</v>
      </c>
      <c r="W4352" s="741">
        <f t="shared" si="265"/>
        <v>2435.6019166973829</v>
      </c>
    </row>
    <row r="4353" spans="1:23" ht="15" customHeight="1">
      <c r="A4353" s="934">
        <v>41954</v>
      </c>
      <c r="B4353" s="583">
        <f t="shared" si="259"/>
        <v>2400</v>
      </c>
      <c r="C4353" s="4">
        <v>79975</v>
      </c>
      <c r="D4353" s="5">
        <v>725</v>
      </c>
      <c r="E4353" s="5">
        <v>134500</v>
      </c>
      <c r="F4353" s="5">
        <v>217600</v>
      </c>
      <c r="G4353" s="5">
        <v>0</v>
      </c>
      <c r="H4353" s="5">
        <v>975</v>
      </c>
      <c r="I4353" s="5">
        <v>10550</v>
      </c>
      <c r="J4353" s="597">
        <f t="shared" si="264"/>
        <v>4.8483455882352942E-2</v>
      </c>
      <c r="K4353" s="24">
        <v>2018</v>
      </c>
      <c r="L4353" s="6">
        <v>2025</v>
      </c>
      <c r="M4353" s="598">
        <f t="shared" si="261"/>
        <v>7</v>
      </c>
      <c r="P4353" s="607">
        <v>13560</v>
      </c>
      <c r="Q4353" s="28">
        <f>177.83/1089.9</f>
        <v>0.16316175795944582</v>
      </c>
      <c r="U4353" s="600">
        <v>0.1</v>
      </c>
      <c r="W4353" s="741">
        <f t="shared" si="265"/>
        <v>2433.7207817230942</v>
      </c>
    </row>
    <row r="4354" spans="1:23" ht="15" customHeight="1">
      <c r="A4354" s="935">
        <v>41955</v>
      </c>
      <c r="B4354" s="583">
        <f t="shared" si="259"/>
        <v>2400</v>
      </c>
      <c r="C4354" s="4">
        <v>79975</v>
      </c>
      <c r="D4354" s="5">
        <v>725</v>
      </c>
      <c r="E4354" s="5">
        <v>133275</v>
      </c>
      <c r="F4354" s="5">
        <v>216375</v>
      </c>
      <c r="G4354" s="5">
        <v>0</v>
      </c>
      <c r="H4354" s="5">
        <v>1225</v>
      </c>
      <c r="I4354" s="5">
        <v>9400</v>
      </c>
      <c r="J4354" s="263">
        <f t="shared" si="264"/>
        <v>4.3443096476025421E-2</v>
      </c>
      <c r="K4354" s="24">
        <v>2034</v>
      </c>
      <c r="L4354" s="6">
        <v>2043</v>
      </c>
      <c r="M4354" s="598">
        <f t="shared" si="261"/>
        <v>9</v>
      </c>
      <c r="P4354" s="607">
        <v>13560</v>
      </c>
      <c r="Q4354" s="28">
        <f>179.16/1098.5</f>
        <v>0.16309512972234866</v>
      </c>
      <c r="U4354" s="600">
        <v>0.1</v>
      </c>
      <c r="W4354" s="741">
        <f t="shared" si="265"/>
        <v>2432.7269549385528</v>
      </c>
    </row>
    <row r="4355" spans="1:23" ht="15" customHeight="1">
      <c r="A4355" s="936">
        <v>41956</v>
      </c>
      <c r="B4355" s="583">
        <f t="shared" si="259"/>
        <v>2400</v>
      </c>
      <c r="C4355" s="4">
        <v>79975</v>
      </c>
      <c r="D4355" s="5">
        <v>725</v>
      </c>
      <c r="E4355" s="5">
        <v>133250</v>
      </c>
      <c r="F4355" s="5">
        <v>216350</v>
      </c>
      <c r="G4355" s="5">
        <v>0</v>
      </c>
      <c r="H4355" s="5">
        <v>25</v>
      </c>
      <c r="I4355" s="5">
        <v>10100</v>
      </c>
      <c r="J4355" s="597">
        <f t="shared" si="264"/>
        <v>4.668361451351976E-2</v>
      </c>
      <c r="K4355" s="24">
        <v>2022.5</v>
      </c>
      <c r="L4355" s="6">
        <v>2032</v>
      </c>
      <c r="M4355" s="598">
        <f t="shared" si="261"/>
        <v>9.5</v>
      </c>
      <c r="P4355" s="607">
        <v>13560</v>
      </c>
      <c r="Q4355" s="28">
        <f>179.03/1097.5</f>
        <v>0.163125284738041</v>
      </c>
      <c r="U4355" s="600">
        <v>0.1</v>
      </c>
      <c r="W4355" s="741">
        <f t="shared" si="265"/>
        <v>2433.1767471526196</v>
      </c>
    </row>
    <row r="4356" spans="1:23" ht="15" customHeight="1">
      <c r="A4356" s="937">
        <v>41957</v>
      </c>
      <c r="B4356" s="583">
        <f t="shared" si="259"/>
        <v>2825</v>
      </c>
      <c r="C4356" s="4">
        <v>79975</v>
      </c>
      <c r="D4356" s="5">
        <v>725</v>
      </c>
      <c r="E4356" s="5">
        <v>133225</v>
      </c>
      <c r="F4356" s="5">
        <v>216750</v>
      </c>
      <c r="G4356" s="5">
        <v>425</v>
      </c>
      <c r="H4356" s="5">
        <v>25</v>
      </c>
      <c r="I4356" s="5">
        <v>10075</v>
      </c>
      <c r="J4356" s="263">
        <f t="shared" si="264"/>
        <v>4.6482122260668973E-2</v>
      </c>
      <c r="K4356" s="24">
        <v>2025</v>
      </c>
      <c r="L4356" s="6">
        <v>2025</v>
      </c>
      <c r="M4356" s="598">
        <f t="shared" si="261"/>
        <v>0</v>
      </c>
      <c r="P4356" s="607">
        <v>13560</v>
      </c>
      <c r="Q4356" s="28">
        <f>179.97/1099.6</f>
        <v>0.16366860676609676</v>
      </c>
      <c r="U4356" s="600">
        <v>0.1</v>
      </c>
      <c r="W4356" s="741">
        <f t="shared" si="265"/>
        <v>2441.2809385230994</v>
      </c>
    </row>
    <row r="4357" spans="1:23" ht="15" customHeight="1">
      <c r="A4357" s="938">
        <v>41960</v>
      </c>
      <c r="B4357" s="583">
        <f t="shared" si="259"/>
        <v>2400</v>
      </c>
      <c r="C4357" s="4">
        <v>80400</v>
      </c>
      <c r="D4357" s="5">
        <v>725</v>
      </c>
      <c r="E4357" s="5">
        <v>133200</v>
      </c>
      <c r="F4357" s="5">
        <v>216725</v>
      </c>
      <c r="G4357" s="5">
        <v>0</v>
      </c>
      <c r="H4357" s="5">
        <v>25</v>
      </c>
      <c r="I4357" s="5">
        <v>10050</v>
      </c>
      <c r="J4357" s="263">
        <f t="shared" si="264"/>
        <v>4.6372130580228398E-2</v>
      </c>
      <c r="K4357" s="24">
        <v>2022.5</v>
      </c>
      <c r="L4357" s="6">
        <v>2033</v>
      </c>
      <c r="M4357" s="598">
        <f t="shared" si="261"/>
        <v>10.5</v>
      </c>
      <c r="P4357" s="607">
        <v>13560</v>
      </c>
      <c r="Q4357" s="28">
        <f>179.07/1097</f>
        <v>0.16323609845031906</v>
      </c>
      <c r="U4357" s="600">
        <v>0.1</v>
      </c>
      <c r="W4357" s="741">
        <f t="shared" ref="W4357:W4376" si="266">(P4357*Q4357)*(1+U4357)</f>
        <v>2434.8296444849589</v>
      </c>
    </row>
    <row r="4358" spans="1:23" ht="15" customHeight="1">
      <c r="A4358" s="939">
        <v>41961</v>
      </c>
      <c r="B4358" s="583">
        <f t="shared" si="259"/>
        <v>2400</v>
      </c>
      <c r="C4358" s="4">
        <v>80400</v>
      </c>
      <c r="D4358" s="5">
        <v>725</v>
      </c>
      <c r="E4358" s="5">
        <v>133175</v>
      </c>
      <c r="F4358" s="5">
        <v>216700</v>
      </c>
      <c r="G4358" s="5">
        <v>0</v>
      </c>
      <c r="H4358" s="5">
        <v>25</v>
      </c>
      <c r="I4358" s="5">
        <v>10025</v>
      </c>
      <c r="J4358" s="263">
        <f t="shared" si="264"/>
        <v>4.6262113520996767E-2</v>
      </c>
      <c r="K4358" s="24">
        <v>2017</v>
      </c>
      <c r="L4358" s="6">
        <v>2016</v>
      </c>
      <c r="M4358" s="598">
        <f t="shared" si="261"/>
        <v>-1</v>
      </c>
      <c r="P4358" s="607">
        <v>13540</v>
      </c>
      <c r="Q4358" s="28">
        <f>179.61/1098.9</f>
        <v>0.16344526344526344</v>
      </c>
      <c r="U4358" s="600">
        <v>0.1</v>
      </c>
      <c r="W4358" s="741">
        <f t="shared" si="266"/>
        <v>2434.3537537537541</v>
      </c>
    </row>
    <row r="4359" spans="1:23" ht="15" customHeight="1">
      <c r="A4359" s="940">
        <v>41962</v>
      </c>
      <c r="B4359" s="583">
        <f t="shared" si="259"/>
        <v>2100</v>
      </c>
      <c r="C4359" s="4">
        <v>80400</v>
      </c>
      <c r="D4359" s="5">
        <v>725</v>
      </c>
      <c r="E4359" s="5">
        <v>133900</v>
      </c>
      <c r="F4359" s="5">
        <v>217125</v>
      </c>
      <c r="G4359" s="5">
        <v>725</v>
      </c>
      <c r="H4359" s="5">
        <v>300</v>
      </c>
      <c r="I4359" s="5">
        <v>9750</v>
      </c>
      <c r="J4359" s="597">
        <f t="shared" si="264"/>
        <v>4.4905008635578586E-2</v>
      </c>
      <c r="K4359" s="24">
        <v>2026</v>
      </c>
      <c r="L4359" s="6">
        <v>2030</v>
      </c>
      <c r="M4359" s="598">
        <f t="shared" si="261"/>
        <v>4</v>
      </c>
      <c r="P4359" s="607">
        <v>13540</v>
      </c>
      <c r="Q4359" s="28">
        <f>180.27/1104.2</f>
        <v>0.16325846766890056</v>
      </c>
      <c r="U4359" s="600">
        <v>0.1</v>
      </c>
      <c r="W4359" s="741">
        <f t="shared" si="266"/>
        <v>2431.5716174606055</v>
      </c>
    </row>
    <row r="4360" spans="1:23" ht="15" customHeight="1">
      <c r="A4360" s="941">
        <v>41963</v>
      </c>
      <c r="B4360" s="583">
        <f t="shared" si="259"/>
        <v>2400</v>
      </c>
      <c r="C4360" s="4">
        <v>80100</v>
      </c>
      <c r="D4360" s="5">
        <v>725</v>
      </c>
      <c r="E4360" s="5">
        <v>133900</v>
      </c>
      <c r="F4360" s="5">
        <v>217125</v>
      </c>
      <c r="G4360" s="5">
        <v>0</v>
      </c>
      <c r="H4360" s="5">
        <v>0</v>
      </c>
      <c r="I4360" s="5">
        <v>9750</v>
      </c>
      <c r="J4360" s="597">
        <f t="shared" si="264"/>
        <v>4.4905008635578586E-2</v>
      </c>
      <c r="K4360" s="24">
        <v>2017</v>
      </c>
      <c r="L4360" s="6">
        <v>2022</v>
      </c>
      <c r="M4360" s="598">
        <f t="shared" si="261"/>
        <v>5</v>
      </c>
      <c r="P4360" s="607">
        <v>13540</v>
      </c>
      <c r="Q4360" s="28">
        <f>180.27/1104.2</f>
        <v>0.16325846766890056</v>
      </c>
      <c r="U4360" s="600">
        <v>0.1</v>
      </c>
      <c r="W4360" s="741">
        <f t="shared" si="266"/>
        <v>2431.5716174606055</v>
      </c>
    </row>
    <row r="4361" spans="1:23" ht="15" customHeight="1">
      <c r="A4361" s="943">
        <v>41964</v>
      </c>
      <c r="B4361" s="583">
        <f t="shared" si="259"/>
        <v>2400</v>
      </c>
      <c r="C4361" s="583">
        <v>80100</v>
      </c>
      <c r="D4361" s="942">
        <v>725</v>
      </c>
      <c r="E4361" s="942">
        <v>133800</v>
      </c>
      <c r="F4361" s="942">
        <v>217025</v>
      </c>
      <c r="G4361" s="5">
        <v>0</v>
      </c>
      <c r="H4361" s="5">
        <v>100</v>
      </c>
      <c r="I4361" s="942">
        <v>9675</v>
      </c>
      <c r="J4361" s="597">
        <f t="shared" si="264"/>
        <v>4.4580117497984101E-2</v>
      </c>
      <c r="K4361" s="586">
        <v>2060</v>
      </c>
      <c r="L4361" s="585">
        <v>2064</v>
      </c>
      <c r="M4361" s="598">
        <f t="shared" si="261"/>
        <v>4</v>
      </c>
      <c r="P4361" s="607">
        <v>13520</v>
      </c>
      <c r="Q4361" s="28">
        <f>181.07/1110.9</f>
        <v>0.16299396885408227</v>
      </c>
      <c r="U4361" s="600">
        <v>0.1</v>
      </c>
      <c r="W4361" s="741">
        <f t="shared" si="266"/>
        <v>2424.0463047979115</v>
      </c>
    </row>
    <row r="4362" spans="1:23" ht="15" customHeight="1">
      <c r="A4362" s="944">
        <v>41967</v>
      </c>
      <c r="B4362" s="583">
        <f t="shared" si="259"/>
        <v>2425</v>
      </c>
      <c r="C4362" s="583">
        <v>80100</v>
      </c>
      <c r="D4362" s="945">
        <v>725</v>
      </c>
      <c r="E4362" s="945">
        <v>133775</v>
      </c>
      <c r="F4362" s="945">
        <v>217025</v>
      </c>
      <c r="G4362" s="945">
        <v>0</v>
      </c>
      <c r="H4362" s="945">
        <v>50</v>
      </c>
      <c r="I4362" s="945">
        <v>9650</v>
      </c>
      <c r="J4362" s="597">
        <f t="shared" si="264"/>
        <v>4.4464923395922132E-2</v>
      </c>
      <c r="K4362" s="586">
        <v>2046</v>
      </c>
      <c r="L4362" s="585">
        <v>2051</v>
      </c>
      <c r="M4362" s="598">
        <f t="shared" si="261"/>
        <v>5</v>
      </c>
      <c r="P4362" s="607">
        <v>13540</v>
      </c>
      <c r="Q4362" s="28">
        <f>180.57/1112.2</f>
        <v>0.16235389318467899</v>
      </c>
      <c r="U4362" s="600">
        <v>0.1</v>
      </c>
      <c r="W4362" s="741">
        <f t="shared" si="266"/>
        <v>2418.0988850926092</v>
      </c>
    </row>
    <row r="4363" spans="1:23" ht="15" customHeight="1">
      <c r="A4363" s="946">
        <v>41968</v>
      </c>
      <c r="B4363" s="583">
        <f t="shared" si="259"/>
        <v>2400</v>
      </c>
      <c r="C4363" s="583">
        <v>80075</v>
      </c>
      <c r="D4363" s="945">
        <v>725</v>
      </c>
      <c r="E4363" s="945">
        <v>134725</v>
      </c>
      <c r="F4363" s="945">
        <v>217925</v>
      </c>
      <c r="G4363" s="945">
        <v>1000</v>
      </c>
      <c r="H4363" s="945">
        <v>50</v>
      </c>
      <c r="I4363" s="945">
        <v>18325</v>
      </c>
      <c r="J4363" s="597">
        <f t="shared" si="264"/>
        <v>8.4088562578868875E-2</v>
      </c>
      <c r="K4363" s="586">
        <v>2061</v>
      </c>
      <c r="L4363" s="585">
        <v>2066</v>
      </c>
      <c r="M4363" s="598">
        <f t="shared" si="261"/>
        <v>5</v>
      </c>
      <c r="P4363" s="607">
        <v>13540</v>
      </c>
      <c r="Q4363" s="28">
        <f>181.08/1112.8</f>
        <v>0.16272465851905107</v>
      </c>
      <c r="U4363" s="600">
        <v>0.1</v>
      </c>
      <c r="W4363" s="741">
        <f t="shared" si="266"/>
        <v>2423.6210639827468</v>
      </c>
    </row>
    <row r="4364" spans="1:23" ht="15" customHeight="1">
      <c r="A4364" s="947">
        <v>41969</v>
      </c>
      <c r="B4364" s="583">
        <f t="shared" si="259"/>
        <v>2400</v>
      </c>
      <c r="C4364" s="4">
        <v>80075</v>
      </c>
      <c r="D4364" s="5">
        <v>725</v>
      </c>
      <c r="E4364" s="5">
        <v>134725</v>
      </c>
      <c r="F4364" s="5">
        <v>217925</v>
      </c>
      <c r="G4364" s="5">
        <v>0</v>
      </c>
      <c r="H4364" s="5">
        <v>0</v>
      </c>
      <c r="I4364" s="5">
        <v>18325</v>
      </c>
      <c r="J4364" s="263">
        <f t="shared" si="264"/>
        <v>8.4088562578868875E-2</v>
      </c>
      <c r="K4364" s="24">
        <v>2046</v>
      </c>
      <c r="L4364" s="6">
        <v>2051.5</v>
      </c>
      <c r="M4364" s="598">
        <f t="shared" si="261"/>
        <v>5.5</v>
      </c>
      <c r="P4364" s="607">
        <v>13540</v>
      </c>
      <c r="Q4364" s="28">
        <f>180.05/1107</f>
        <v>0.16264679313459801</v>
      </c>
      <c r="U4364" s="600">
        <v>0.1</v>
      </c>
      <c r="W4364" s="741">
        <f t="shared" si="266"/>
        <v>2422.4613369467029</v>
      </c>
    </row>
    <row r="4365" spans="1:23" ht="15" customHeight="1">
      <c r="A4365" s="948">
        <v>41970</v>
      </c>
      <c r="B4365" s="583">
        <f t="shared" si="259"/>
        <v>2400</v>
      </c>
      <c r="C4365" s="4">
        <v>80075</v>
      </c>
      <c r="D4365" s="5">
        <v>725</v>
      </c>
      <c r="E4365" s="5">
        <v>134700</v>
      </c>
      <c r="F4365" s="5">
        <v>217900</v>
      </c>
      <c r="G4365" s="5">
        <v>0</v>
      </c>
      <c r="H4365" s="5">
        <v>25</v>
      </c>
      <c r="I4365" s="5">
        <v>18300</v>
      </c>
      <c r="J4365" s="263">
        <f t="shared" si="264"/>
        <v>8.3983478659935745E-2</v>
      </c>
      <c r="K4365" s="24">
        <v>2065</v>
      </c>
      <c r="L4365" s="6">
        <v>2070</v>
      </c>
      <c r="M4365" s="598">
        <f t="shared" si="261"/>
        <v>5</v>
      </c>
      <c r="P4365" s="607">
        <v>13540</v>
      </c>
      <c r="Q4365" s="28">
        <f>179.13/1101.1</f>
        <v>0.16268277177368087</v>
      </c>
      <c r="U4365" s="600">
        <v>0.1</v>
      </c>
      <c r="W4365" s="741">
        <f t="shared" si="266"/>
        <v>2422.997202797203</v>
      </c>
    </row>
    <row r="4366" spans="1:23" ht="15" customHeight="1">
      <c r="A4366" s="949">
        <v>41971</v>
      </c>
      <c r="B4366" s="583">
        <f t="shared" si="259"/>
        <v>2400</v>
      </c>
      <c r="C4366" s="4">
        <v>80075</v>
      </c>
      <c r="D4366" s="5">
        <v>725</v>
      </c>
      <c r="E4366" s="5">
        <v>134575</v>
      </c>
      <c r="F4366" s="5">
        <v>217775</v>
      </c>
      <c r="G4366" s="5">
        <v>0</v>
      </c>
      <c r="H4366" s="5">
        <v>125</v>
      </c>
      <c r="I4366" s="5">
        <v>18175</v>
      </c>
      <c r="J4366" s="263">
        <f t="shared" si="264"/>
        <v>8.3457697164504643E-2</v>
      </c>
      <c r="K4366" s="24">
        <v>2027</v>
      </c>
      <c r="L4366" s="6">
        <v>2032</v>
      </c>
      <c r="M4366" s="598">
        <f t="shared" si="261"/>
        <v>5</v>
      </c>
      <c r="N4366" s="420">
        <f>AVERAGE(K4347:K4366)</f>
        <v>2023.7249999999999</v>
      </c>
      <c r="O4366" s="410">
        <f>AVERAGE(K4120:K4366)</f>
        <v>2110.4482758620688</v>
      </c>
      <c r="P4366" s="607">
        <v>13540</v>
      </c>
      <c r="Q4366" s="28">
        <f>179.34/1105</f>
        <v>0.16229864253393667</v>
      </c>
      <c r="U4366" s="600">
        <v>0.1</v>
      </c>
      <c r="W4366" s="741">
        <f t="shared" si="266"/>
        <v>2417.2759819004527</v>
      </c>
    </row>
    <row r="4367" spans="1:23" ht="15" customHeight="1" thickBot="1">
      <c r="A4367" s="392"/>
      <c r="B4367" s="995"/>
      <c r="C4367" s="995"/>
      <c r="D4367" s="995"/>
      <c r="E4367" s="995"/>
      <c r="F4367" s="392"/>
      <c r="G4367" s="332"/>
      <c r="H4367" s="332"/>
      <c r="I4367" s="332"/>
      <c r="J4367" s="334"/>
      <c r="K4367" s="334"/>
      <c r="L4367" s="335"/>
      <c r="M4367" s="336"/>
      <c r="N4367" s="337"/>
      <c r="O4367" s="353"/>
      <c r="P4367" s="350"/>
      <c r="Q4367" s="299"/>
      <c r="R4367" s="453"/>
      <c r="S4367" s="454"/>
      <c r="T4367" s="454"/>
      <c r="U4367" s="302"/>
      <c r="V4367" s="298">
        <f>AVERAGE(P4347:P4366)</f>
        <v>13550</v>
      </c>
      <c r="W4367" s="751"/>
    </row>
    <row r="4368" spans="1:23" ht="15" customHeight="1">
      <c r="A4368" s="3">
        <v>41974</v>
      </c>
      <c r="B4368" s="583">
        <f t="shared" si="259"/>
        <v>2375</v>
      </c>
      <c r="C4368" s="4">
        <v>80075</v>
      </c>
      <c r="D4368" s="5">
        <v>725</v>
      </c>
      <c r="E4368" s="5">
        <v>134375</v>
      </c>
      <c r="F4368" s="5">
        <v>217550</v>
      </c>
      <c r="G4368" s="5">
        <v>0</v>
      </c>
      <c r="H4368" s="5">
        <v>225</v>
      </c>
      <c r="I4368" s="5">
        <v>17950</v>
      </c>
      <c r="J4368" s="597">
        <f t="shared" si="264"/>
        <v>8.2509767869455297E-2</v>
      </c>
      <c r="K4368" s="24">
        <v>2025</v>
      </c>
      <c r="L4368" s="6">
        <v>2029</v>
      </c>
      <c r="M4368" s="598">
        <f t="shared" si="261"/>
        <v>4</v>
      </c>
      <c r="P4368" s="607">
        <v>13470</v>
      </c>
      <c r="Q4368" s="28">
        <f>179.34/1105</f>
        <v>0.16229864253393667</v>
      </c>
      <c r="U4368" s="600">
        <v>0.1</v>
      </c>
      <c r="W4368" s="741">
        <f t="shared" si="266"/>
        <v>2404.77898642534</v>
      </c>
    </row>
    <row r="4369" spans="1:23" ht="15" customHeight="1">
      <c r="A4369" s="952">
        <v>41975</v>
      </c>
      <c r="B4369" s="583">
        <f t="shared" ref="B4369:B4385" si="267">F4369-E4369-D4369-C658-C4369</f>
        <v>13800</v>
      </c>
      <c r="C4369" s="4">
        <v>80050</v>
      </c>
      <c r="D4369" s="5">
        <v>725</v>
      </c>
      <c r="E4369" s="5">
        <v>134250</v>
      </c>
      <c r="F4369" s="5">
        <v>228825</v>
      </c>
      <c r="G4369" s="5">
        <v>11425</v>
      </c>
      <c r="H4369" s="5">
        <v>150</v>
      </c>
      <c r="I4369" s="5">
        <v>17800</v>
      </c>
      <c r="J4369" s="263">
        <f t="shared" si="264"/>
        <v>7.7788703157434719E-2</v>
      </c>
      <c r="K4369" s="24">
        <v>2018</v>
      </c>
      <c r="L4369" s="6">
        <v>2022</v>
      </c>
      <c r="M4369" s="598">
        <f t="shared" si="261"/>
        <v>4</v>
      </c>
      <c r="P4369" s="607">
        <v>13470</v>
      </c>
      <c r="Q4369" s="28">
        <f>179.78/1106.8</f>
        <v>0.1624322370798699</v>
      </c>
      <c r="U4369" s="600">
        <v>0.1</v>
      </c>
      <c r="W4369" s="741">
        <f t="shared" si="266"/>
        <v>2406.7584568124325</v>
      </c>
    </row>
    <row r="4370" spans="1:23" ht="15" customHeight="1">
      <c r="A4370" s="956">
        <v>41976</v>
      </c>
      <c r="B4370" s="583">
        <f t="shared" si="267"/>
        <v>2400</v>
      </c>
      <c r="C4370" s="4">
        <v>91450</v>
      </c>
      <c r="D4370" s="5">
        <v>725</v>
      </c>
      <c r="E4370" s="5">
        <v>134500</v>
      </c>
      <c r="F4370" s="5">
        <v>229075</v>
      </c>
      <c r="G4370" s="5">
        <v>300</v>
      </c>
      <c r="H4370" s="5">
        <v>50</v>
      </c>
      <c r="I4370" s="5">
        <v>17850</v>
      </c>
      <c r="J4370" s="263">
        <f t="shared" si="264"/>
        <v>7.792207792207792E-2</v>
      </c>
      <c r="K4370" s="24">
        <v>2017</v>
      </c>
      <c r="L4370" s="6">
        <v>2020.5</v>
      </c>
      <c r="M4370" s="598">
        <f t="shared" si="261"/>
        <v>3.5</v>
      </c>
      <c r="P4370" s="607">
        <v>13470</v>
      </c>
      <c r="Q4370" s="28">
        <f>181.24/1114.4</f>
        <v>0.16263460157932519</v>
      </c>
      <c r="U4370" s="600">
        <v>0.1</v>
      </c>
      <c r="W4370" s="741">
        <f t="shared" si="266"/>
        <v>2409.7568916008613</v>
      </c>
    </row>
    <row r="4371" spans="1:23" ht="15" customHeight="1">
      <c r="A4371" s="957">
        <v>41977</v>
      </c>
      <c r="B4371" s="583">
        <f t="shared" si="267"/>
        <v>2400</v>
      </c>
      <c r="C4371" s="583">
        <v>91450</v>
      </c>
      <c r="D4371" s="5">
        <v>725</v>
      </c>
      <c r="E4371" s="5">
        <v>134500</v>
      </c>
      <c r="F4371" s="5">
        <v>229075</v>
      </c>
      <c r="G4371" s="5">
        <v>0</v>
      </c>
      <c r="H4371" s="5">
        <v>0</v>
      </c>
      <c r="I4371" s="5">
        <v>17950</v>
      </c>
      <c r="J4371" s="263">
        <f t="shared" si="264"/>
        <v>7.8358616173742221E-2</v>
      </c>
      <c r="K4371" s="24">
        <v>2030</v>
      </c>
      <c r="L4371" s="6">
        <v>2031</v>
      </c>
      <c r="M4371" s="598">
        <f t="shared" si="261"/>
        <v>1</v>
      </c>
      <c r="P4371" s="607">
        <v>13470</v>
      </c>
      <c r="Q4371" s="28">
        <f>181.37/1115.8</f>
        <v>0.16254705144291093</v>
      </c>
      <c r="U4371" s="600">
        <v>0.1</v>
      </c>
      <c r="W4371" s="741">
        <f t="shared" si="266"/>
        <v>2408.4596612296114</v>
      </c>
    </row>
    <row r="4372" spans="1:23" ht="15" customHeight="1">
      <c r="A4372" s="958">
        <v>41978</v>
      </c>
      <c r="B4372" s="583">
        <f t="shared" si="267"/>
        <v>2400</v>
      </c>
      <c r="C4372" s="4">
        <v>91450</v>
      </c>
      <c r="D4372" s="5">
        <v>725</v>
      </c>
      <c r="E4372" s="5">
        <v>132200</v>
      </c>
      <c r="F4372" s="5">
        <v>226775</v>
      </c>
      <c r="G4372" s="5">
        <v>0</v>
      </c>
      <c r="H4372" s="5">
        <v>2300</v>
      </c>
      <c r="I4372" s="5">
        <v>15700</v>
      </c>
      <c r="J4372" s="263">
        <f t="shared" si="264"/>
        <v>6.9231617241759455E-2</v>
      </c>
      <c r="K4372" s="24">
        <v>2026.5</v>
      </c>
      <c r="L4372" s="6">
        <v>2030.5</v>
      </c>
      <c r="M4372" s="598">
        <f t="shared" si="261"/>
        <v>4</v>
      </c>
      <c r="P4372" s="607">
        <v>13450</v>
      </c>
      <c r="Q4372" s="28">
        <f>180.73/1113.2</f>
        <v>0.16235177865612646</v>
      </c>
      <c r="U4372" s="600">
        <v>0.1</v>
      </c>
      <c r="W4372" s="741">
        <f t="shared" si="266"/>
        <v>2401.9945652173915</v>
      </c>
    </row>
    <row r="4373" spans="1:23" ht="15" customHeight="1">
      <c r="A4373" s="959">
        <v>41981</v>
      </c>
      <c r="B4373" s="583">
        <f t="shared" si="267"/>
        <v>2400</v>
      </c>
      <c r="C4373" s="4">
        <v>91450</v>
      </c>
      <c r="D4373" s="5">
        <v>725</v>
      </c>
      <c r="E4373" s="5">
        <v>129900</v>
      </c>
      <c r="F4373" s="5">
        <v>224475</v>
      </c>
      <c r="G4373" s="5">
        <v>0</v>
      </c>
      <c r="H4373" s="5">
        <v>2300</v>
      </c>
      <c r="I4373" s="5">
        <v>13700</v>
      </c>
      <c r="J4373" s="263">
        <f t="shared" si="264"/>
        <v>6.1031295244459292E-2</v>
      </c>
      <c r="K4373" s="24">
        <v>2020</v>
      </c>
      <c r="L4373" s="6">
        <v>2026</v>
      </c>
      <c r="M4373" s="598">
        <f t="shared" si="261"/>
        <v>6</v>
      </c>
      <c r="P4373" s="607">
        <v>13450</v>
      </c>
      <c r="Q4373" s="28">
        <f>181.15/1118.3</f>
        <v>0.16198694446928374</v>
      </c>
      <c r="U4373" s="600">
        <v>0.1</v>
      </c>
      <c r="W4373" s="741">
        <f t="shared" si="266"/>
        <v>2396.5968434230531</v>
      </c>
    </row>
    <row r="4374" spans="1:23" ht="15" customHeight="1">
      <c r="A4374" s="960">
        <v>41982</v>
      </c>
      <c r="B4374" s="583">
        <f t="shared" si="267"/>
        <v>2400</v>
      </c>
      <c r="C4374" s="4">
        <v>91450</v>
      </c>
      <c r="D4374" s="5">
        <v>725</v>
      </c>
      <c r="E4374" s="5">
        <v>127700</v>
      </c>
      <c r="F4374" s="5">
        <v>222275</v>
      </c>
      <c r="G4374" s="5">
        <v>0</v>
      </c>
      <c r="H4374" s="5">
        <v>2200</v>
      </c>
      <c r="I4374" s="5">
        <v>11500</v>
      </c>
      <c r="J4374" s="263">
        <f t="shared" si="264"/>
        <v>5.1737712293330337E-2</v>
      </c>
      <c r="K4374" s="24">
        <v>2009</v>
      </c>
      <c r="L4374" s="6">
        <v>2013</v>
      </c>
      <c r="M4374" s="598">
        <f t="shared" si="261"/>
        <v>4</v>
      </c>
      <c r="P4374" s="607">
        <v>13420</v>
      </c>
      <c r="Q4374" s="28">
        <f>179.71/1112</f>
        <v>0.16160971223021584</v>
      </c>
      <c r="U4374" s="600">
        <v>0.1</v>
      </c>
      <c r="W4374" s="741">
        <f t="shared" si="266"/>
        <v>2385.6825719424464</v>
      </c>
    </row>
    <row r="4375" spans="1:23" ht="15" customHeight="1">
      <c r="A4375" s="961">
        <v>41983</v>
      </c>
      <c r="B4375" s="583">
        <f t="shared" si="267"/>
        <v>2400</v>
      </c>
      <c r="C4375" s="4">
        <v>91450</v>
      </c>
      <c r="D4375" s="5">
        <v>725</v>
      </c>
      <c r="E4375" s="5">
        <v>125775</v>
      </c>
      <c r="F4375" s="5">
        <v>220350</v>
      </c>
      <c r="G4375" s="5">
        <v>0</v>
      </c>
      <c r="H4375" s="5">
        <v>1925</v>
      </c>
      <c r="I4375" s="5">
        <v>9575</v>
      </c>
      <c r="J4375" s="263">
        <f t="shared" si="264"/>
        <v>4.3453596550941685E-2</v>
      </c>
      <c r="K4375" s="24">
        <v>2004</v>
      </c>
      <c r="L4375" s="6">
        <v>2013</v>
      </c>
      <c r="M4375" s="598">
        <f t="shared" si="261"/>
        <v>9</v>
      </c>
      <c r="P4375" s="607">
        <v>13420</v>
      </c>
      <c r="Q4375" s="28">
        <f>178.73/1104.5</f>
        <v>0.16181982797645994</v>
      </c>
      <c r="U4375" s="600">
        <v>0.1</v>
      </c>
      <c r="W4375" s="741">
        <f t="shared" si="266"/>
        <v>2388.784300588502</v>
      </c>
    </row>
    <row r="4376" spans="1:23" ht="15" customHeight="1">
      <c r="A4376" s="962">
        <v>41984</v>
      </c>
      <c r="B4376" s="583">
        <f t="shared" si="267"/>
        <v>2300</v>
      </c>
      <c r="C4376" s="4">
        <v>91450</v>
      </c>
      <c r="D4376" s="5">
        <v>725</v>
      </c>
      <c r="E4376" s="5">
        <v>125725</v>
      </c>
      <c r="F4376" s="5">
        <v>220200</v>
      </c>
      <c r="G4376" s="5">
        <v>0</v>
      </c>
      <c r="H4376" s="5">
        <v>150</v>
      </c>
      <c r="I4376" s="5">
        <v>9425</v>
      </c>
      <c r="J4376" s="263">
        <f t="shared" si="264"/>
        <v>4.2801998183469574E-2</v>
      </c>
      <c r="K4376" s="24">
        <v>1982.5</v>
      </c>
      <c r="L4376" s="6">
        <v>1994</v>
      </c>
      <c r="M4376" s="598">
        <f t="shared" si="261"/>
        <v>11.5</v>
      </c>
      <c r="P4376" s="607">
        <v>13390</v>
      </c>
      <c r="Q4376" s="28">
        <f>177.22/1098.1</f>
        <v>0.16138785174392134</v>
      </c>
      <c r="U4376" s="600">
        <v>0.1</v>
      </c>
      <c r="W4376" s="741">
        <f t="shared" si="266"/>
        <v>2377.0816683362173</v>
      </c>
    </row>
    <row r="4377" spans="1:23" ht="15" customHeight="1">
      <c r="A4377" s="963">
        <v>41985</v>
      </c>
      <c r="B4377" s="583">
        <f t="shared" si="267"/>
        <v>2400</v>
      </c>
      <c r="C4377" s="4">
        <v>91350</v>
      </c>
      <c r="D4377" s="5">
        <v>725</v>
      </c>
      <c r="E4377" s="5">
        <v>125725</v>
      </c>
      <c r="F4377" s="5">
        <v>220200</v>
      </c>
      <c r="G4377" s="5">
        <v>0</v>
      </c>
      <c r="H4377" s="5">
        <v>0</v>
      </c>
      <c r="I4377" s="5">
        <v>9425</v>
      </c>
      <c r="J4377" s="263">
        <f t="shared" si="264"/>
        <v>4.2801998183469574E-2</v>
      </c>
      <c r="K4377" s="24">
        <v>1972</v>
      </c>
      <c r="L4377" s="6">
        <v>1986</v>
      </c>
      <c r="M4377" s="598">
        <f t="shared" si="261"/>
        <v>14</v>
      </c>
      <c r="P4377" s="607">
        <v>13340</v>
      </c>
      <c r="Q4377" s="28">
        <f>178.15/1103.9</f>
        <v>0.16138237159162966</v>
      </c>
      <c r="U4377" s="600">
        <v>0.1</v>
      </c>
      <c r="W4377" s="741">
        <f t="shared" ref="W4377:W4387" si="268">(P4377*Q4377)*(1+U4377)</f>
        <v>2368.1249207355736</v>
      </c>
    </row>
    <row r="4378" spans="1:23" ht="15" customHeight="1">
      <c r="A4378" s="964">
        <v>41988</v>
      </c>
      <c r="B4378" s="583">
        <f t="shared" si="267"/>
        <v>2400</v>
      </c>
      <c r="C4378" s="4">
        <v>91350</v>
      </c>
      <c r="D4378" s="5">
        <v>725</v>
      </c>
      <c r="E4378" s="5">
        <v>125700</v>
      </c>
      <c r="F4378" s="5">
        <v>220175</v>
      </c>
      <c r="G4378" s="5">
        <v>0</v>
      </c>
      <c r="H4378" s="5">
        <v>25</v>
      </c>
      <c r="I4378" s="5">
        <v>9450</v>
      </c>
      <c r="J4378" s="263">
        <f t="shared" si="264"/>
        <v>4.2920404223912793E-2</v>
      </c>
      <c r="K4378" s="24">
        <v>1963.5</v>
      </c>
      <c r="L4378" s="6">
        <v>1978</v>
      </c>
      <c r="M4378" s="598">
        <f t="shared" si="261"/>
        <v>14.5</v>
      </c>
      <c r="P4378" s="607">
        <v>13290</v>
      </c>
      <c r="Q4378" s="28">
        <f>177.92/1103</f>
        <v>0.1613055303717135</v>
      </c>
      <c r="U4378" s="600">
        <v>0.1</v>
      </c>
      <c r="W4378" s="741">
        <f t="shared" si="268"/>
        <v>2358.1255485040797</v>
      </c>
    </row>
    <row r="4379" spans="1:23" ht="15" customHeight="1">
      <c r="A4379" s="965">
        <v>41989</v>
      </c>
      <c r="B4379" s="583">
        <f t="shared" si="267"/>
        <v>2100</v>
      </c>
      <c r="C4379" s="4">
        <v>91350</v>
      </c>
      <c r="D4379" s="5">
        <v>725</v>
      </c>
      <c r="E4379" s="5">
        <v>125650</v>
      </c>
      <c r="F4379" s="5">
        <v>219825</v>
      </c>
      <c r="G4379" s="5">
        <v>0</v>
      </c>
      <c r="H4379" s="5">
        <v>350</v>
      </c>
      <c r="I4379" s="5">
        <v>9100</v>
      </c>
      <c r="J4379" s="263">
        <f t="shared" si="264"/>
        <v>4.1396565449789605E-2</v>
      </c>
      <c r="K4379" s="24">
        <v>1936.5</v>
      </c>
      <c r="L4379" s="6">
        <v>1952</v>
      </c>
      <c r="M4379" s="598">
        <f t="shared" si="261"/>
        <v>15.5</v>
      </c>
      <c r="P4379" s="607">
        <v>13240</v>
      </c>
      <c r="Q4379" s="28">
        <f>176.39/1092.4</f>
        <v>0.16147015745148294</v>
      </c>
      <c r="U4379" s="600">
        <v>0.1</v>
      </c>
      <c r="W4379" s="741">
        <f t="shared" si="268"/>
        <v>2351.6513731233977</v>
      </c>
    </row>
    <row r="4380" spans="1:23" ht="15" customHeight="1">
      <c r="A4380" s="966">
        <v>41990</v>
      </c>
      <c r="B4380" s="583">
        <f t="shared" si="267"/>
        <v>2400</v>
      </c>
      <c r="C4380" s="4">
        <v>91050</v>
      </c>
      <c r="D4380" s="5">
        <v>725</v>
      </c>
      <c r="E4380" s="5">
        <v>125650</v>
      </c>
      <c r="F4380" s="5">
        <v>219825</v>
      </c>
      <c r="G4380" s="5">
        <v>0</v>
      </c>
      <c r="H4380" s="5">
        <v>0</v>
      </c>
      <c r="I4380" s="5">
        <v>9200</v>
      </c>
      <c r="J4380" s="263">
        <f t="shared" si="264"/>
        <v>4.1851472762424659E-2</v>
      </c>
      <c r="K4380" s="24">
        <v>1867</v>
      </c>
      <c r="L4380" s="6">
        <v>1880</v>
      </c>
      <c r="M4380" s="598">
        <f t="shared" si="261"/>
        <v>13</v>
      </c>
      <c r="P4380" s="607">
        <v>13040</v>
      </c>
      <c r="Q4380" s="28">
        <f>175.41/1088.1</f>
        <v>0.16120760959470637</v>
      </c>
      <c r="U4380" s="600">
        <v>0.1</v>
      </c>
      <c r="W4380" s="741">
        <f t="shared" si="268"/>
        <v>2312.3619520264683</v>
      </c>
    </row>
    <row r="4381" spans="1:23" ht="15" customHeight="1">
      <c r="A4381" s="967">
        <v>41991</v>
      </c>
      <c r="B4381" s="583">
        <f t="shared" si="267"/>
        <v>2400</v>
      </c>
      <c r="C4381" s="4">
        <v>91050</v>
      </c>
      <c r="D4381" s="5">
        <v>725</v>
      </c>
      <c r="E4381" s="5">
        <v>126625</v>
      </c>
      <c r="F4381" s="5">
        <v>220800</v>
      </c>
      <c r="G4381" s="5">
        <v>1000</v>
      </c>
      <c r="H4381" s="5">
        <v>25</v>
      </c>
      <c r="I4381" s="5">
        <v>9175</v>
      </c>
      <c r="J4381" s="263">
        <f t="shared" si="264"/>
        <v>4.1553442028985504E-2</v>
      </c>
      <c r="K4381" s="24">
        <v>1854</v>
      </c>
      <c r="L4381" s="6">
        <v>1868</v>
      </c>
      <c r="M4381" s="598">
        <f t="shared" si="261"/>
        <v>14</v>
      </c>
      <c r="P4381" s="607">
        <v>12690</v>
      </c>
      <c r="Q4381" s="28">
        <f>177.34/1103.2</f>
        <v>0.16075054387237128</v>
      </c>
      <c r="U4381" s="600">
        <v>0.1</v>
      </c>
      <c r="W4381" s="741">
        <f t="shared" si="268"/>
        <v>2243.9168419144312</v>
      </c>
    </row>
    <row r="4382" spans="1:23" ht="15" customHeight="1">
      <c r="A4382" s="968">
        <v>41992</v>
      </c>
      <c r="B4382" s="583">
        <f t="shared" si="267"/>
        <v>2100</v>
      </c>
      <c r="C4382" s="4">
        <v>91050</v>
      </c>
      <c r="D4382" s="5">
        <v>725</v>
      </c>
      <c r="E4382" s="5">
        <v>126625</v>
      </c>
      <c r="F4382" s="5">
        <v>220500</v>
      </c>
      <c r="G4382" s="5">
        <v>0</v>
      </c>
      <c r="H4382" s="5">
        <v>300</v>
      </c>
      <c r="I4382" s="5">
        <v>8875</v>
      </c>
      <c r="J4382" s="263">
        <f t="shared" si="264"/>
        <v>4.0249433106575964E-2</v>
      </c>
      <c r="K4382" s="24">
        <v>1870</v>
      </c>
      <c r="L4382" s="6">
        <v>1886</v>
      </c>
      <c r="M4382" s="598">
        <f t="shared" si="261"/>
        <v>16</v>
      </c>
      <c r="P4382" s="607">
        <v>12540</v>
      </c>
      <c r="Q4382" s="28">
        <f>176.97/1101.3</f>
        <v>0.1606919095614274</v>
      </c>
      <c r="U4382" s="600">
        <v>0.1</v>
      </c>
      <c r="W4382" s="741">
        <f t="shared" si="268"/>
        <v>2216.5842004903297</v>
      </c>
    </row>
    <row r="4383" spans="1:23" ht="15" customHeight="1">
      <c r="A4383" s="969">
        <v>41995</v>
      </c>
      <c r="B4383" s="583">
        <f t="shared" si="267"/>
        <v>2350</v>
      </c>
      <c r="C4383" s="4">
        <v>90750</v>
      </c>
      <c r="D4383" s="5">
        <v>725</v>
      </c>
      <c r="E4383" s="5">
        <v>126925</v>
      </c>
      <c r="F4383" s="5">
        <v>220750</v>
      </c>
      <c r="G4383" s="5">
        <v>300</v>
      </c>
      <c r="H4383" s="5">
        <v>50</v>
      </c>
      <c r="I4383" s="5">
        <v>8825</v>
      </c>
      <c r="J4383" s="263">
        <f t="shared" si="264"/>
        <v>3.997734994337486E-2</v>
      </c>
      <c r="K4383" s="24">
        <v>1864</v>
      </c>
      <c r="L4383" s="6">
        <v>1877</v>
      </c>
      <c r="M4383" s="598">
        <f t="shared" si="261"/>
        <v>13</v>
      </c>
      <c r="P4383" s="607">
        <v>12640</v>
      </c>
      <c r="Q4383" s="28">
        <f>176.38/1097.3</f>
        <v>0.16073999817734438</v>
      </c>
      <c r="U4383" s="600">
        <v>0.1</v>
      </c>
      <c r="W4383" s="741">
        <f t="shared" si="268"/>
        <v>2234.9289346577962</v>
      </c>
    </row>
    <row r="4384" spans="1:23" ht="15" customHeight="1">
      <c r="A4384" s="970">
        <v>41996</v>
      </c>
      <c r="B4384" s="583">
        <f t="shared" si="267"/>
        <v>2375</v>
      </c>
      <c r="C4384" s="4">
        <v>90700</v>
      </c>
      <c r="D4384" s="5">
        <v>725</v>
      </c>
      <c r="E4384" s="5">
        <v>126925</v>
      </c>
      <c r="F4384" s="5">
        <v>220725</v>
      </c>
      <c r="G4384" s="5">
        <v>0</v>
      </c>
      <c r="H4384" s="5">
        <v>25</v>
      </c>
      <c r="I4384" s="5">
        <v>8800</v>
      </c>
      <c r="J4384" s="263">
        <f t="shared" si="264"/>
        <v>3.9868614792162194E-2</v>
      </c>
      <c r="K4384" s="24">
        <v>1862.5</v>
      </c>
      <c r="L4384" s="6">
        <v>1875</v>
      </c>
      <c r="M4384" s="598">
        <f t="shared" si="261"/>
        <v>12.5</v>
      </c>
      <c r="P4384" s="607">
        <v>12610</v>
      </c>
      <c r="Q4384" s="28">
        <f>176.61/1100.5</f>
        <v>0.16048159927305772</v>
      </c>
      <c r="U4384" s="600">
        <v>0.1</v>
      </c>
      <c r="W4384" s="741">
        <f t="shared" si="268"/>
        <v>2226.0402635165838</v>
      </c>
    </row>
    <row r="4385" spans="1:23" ht="15" customHeight="1">
      <c r="A4385" s="971">
        <v>41997</v>
      </c>
      <c r="B4385" s="583">
        <f t="shared" si="267"/>
        <v>2400</v>
      </c>
      <c r="C4385" s="4">
        <v>90675</v>
      </c>
      <c r="D4385" s="5">
        <v>725</v>
      </c>
      <c r="E4385" s="5">
        <v>127225</v>
      </c>
      <c r="F4385" s="5">
        <v>221025</v>
      </c>
      <c r="I4385" s="5">
        <v>8825</v>
      </c>
      <c r="J4385" s="263">
        <f t="shared" si="264"/>
        <v>3.9927609998868907E-2</v>
      </c>
      <c r="K4385" s="24">
        <v>1847.5</v>
      </c>
      <c r="L4385" s="6">
        <v>1850</v>
      </c>
      <c r="M4385" s="598">
        <f t="shared" si="261"/>
        <v>2.5</v>
      </c>
      <c r="P4385" s="607">
        <v>12590</v>
      </c>
      <c r="Q4385" s="28">
        <f>177.91/1104.3</f>
        <v>0.16110658335597211</v>
      </c>
      <c r="U4385" s="600">
        <v>0.1</v>
      </c>
      <c r="W4385" s="741">
        <f t="shared" si="268"/>
        <v>2231.165072896858</v>
      </c>
    </row>
    <row r="4386" spans="1:23" ht="15" customHeight="1">
      <c r="A4386" s="972">
        <v>41998</v>
      </c>
      <c r="G4386" s="1003" t="s">
        <v>192</v>
      </c>
      <c r="H4386" s="1003"/>
      <c r="I4386" s="1003"/>
      <c r="J4386" s="1003"/>
      <c r="P4386" s="607">
        <v>12590</v>
      </c>
      <c r="Q4386" s="587">
        <f>177.91/1104.3</f>
        <v>0.16110658335597211</v>
      </c>
      <c r="U4386" s="600">
        <v>0.1</v>
      </c>
      <c r="W4386" s="741">
        <f t="shared" si="268"/>
        <v>2231.165072896858</v>
      </c>
    </row>
    <row r="4387" spans="1:23" ht="15" customHeight="1">
      <c r="A4387" s="972">
        <v>41999</v>
      </c>
      <c r="G4387" s="1003"/>
      <c r="H4387" s="1003"/>
      <c r="I4387" s="1003"/>
      <c r="J4387" s="1003"/>
      <c r="P4387" s="607">
        <v>12590</v>
      </c>
      <c r="Q4387" s="28">
        <f>176.81/1099.5</f>
        <v>0.1608094588449295</v>
      </c>
      <c r="U4387" s="600">
        <v>0.1</v>
      </c>
      <c r="W4387" s="741">
        <f t="shared" si="268"/>
        <v>2227.0501955434288</v>
      </c>
    </row>
    <row r="4388" spans="1:23" ht="15" customHeight="1">
      <c r="A4388" s="973">
        <v>42002</v>
      </c>
      <c r="B4388" s="583">
        <f t="shared" ref="B4388:B4392" si="269">F4388-E4388-D4388-C677-C4388</f>
        <v>2400</v>
      </c>
      <c r="C4388" s="4">
        <v>90675</v>
      </c>
      <c r="D4388" s="5">
        <v>725</v>
      </c>
      <c r="E4388" s="5">
        <v>128225</v>
      </c>
      <c r="F4388" s="5">
        <v>222025</v>
      </c>
      <c r="G4388" s="5">
        <v>1000</v>
      </c>
      <c r="H4388" s="5">
        <v>0</v>
      </c>
      <c r="I4388" s="5">
        <v>8850</v>
      </c>
      <c r="J4388" s="597">
        <f t="shared" ref="J4388:J4395" si="270">I4388/F4388</f>
        <v>3.9860376083774351E-2</v>
      </c>
      <c r="K4388" s="24">
        <v>1822</v>
      </c>
      <c r="L4388" s="6">
        <v>1840</v>
      </c>
      <c r="M4388" s="598">
        <f t="shared" ref="M4388:M4395" si="271">L4388-K4388</f>
        <v>18</v>
      </c>
      <c r="P4388" s="607">
        <v>12590</v>
      </c>
      <c r="Q4388" s="28">
        <f>176.1/1098.2</f>
        <v>0.16035330540885084</v>
      </c>
      <c r="U4388" s="600">
        <v>0.1</v>
      </c>
      <c r="W4388" s="741">
        <f>(P4388*Q4388)*(1+U4388)</f>
        <v>2220.7329266071756</v>
      </c>
    </row>
    <row r="4389" spans="1:23" ht="15" customHeight="1">
      <c r="A4389" s="974">
        <v>42003</v>
      </c>
      <c r="B4389" s="583">
        <f t="shared" si="269"/>
        <v>2600</v>
      </c>
      <c r="C4389" s="4">
        <v>90675</v>
      </c>
      <c r="D4389" s="5">
        <v>725</v>
      </c>
      <c r="E4389" s="5">
        <v>128000</v>
      </c>
      <c r="F4389" s="5">
        <v>222000</v>
      </c>
      <c r="G4389" s="5">
        <v>0</v>
      </c>
      <c r="H4389" s="5">
        <v>25</v>
      </c>
      <c r="I4389" s="5">
        <v>9825</v>
      </c>
      <c r="J4389" s="263">
        <f t="shared" si="270"/>
        <v>4.4256756756756756E-2</v>
      </c>
      <c r="K4389" s="24">
        <v>1814</v>
      </c>
      <c r="L4389" s="6">
        <v>1824</v>
      </c>
      <c r="M4389" s="598">
        <f t="shared" si="271"/>
        <v>10</v>
      </c>
      <c r="P4389" s="607">
        <v>12590</v>
      </c>
      <c r="Q4389" s="28">
        <f>176.81/1099.2</f>
        <v>0.16085334788937408</v>
      </c>
      <c r="U4389" s="600">
        <v>0.1</v>
      </c>
      <c r="W4389" s="741">
        <f>(P4389*Q4389)*(1+U4389)</f>
        <v>2227.6580149199417</v>
      </c>
    </row>
    <row r="4390" spans="1:23" ht="15" customHeight="1">
      <c r="A4390" s="975">
        <v>42004</v>
      </c>
      <c r="B4390" s="583">
        <f t="shared" si="269"/>
        <v>2375</v>
      </c>
      <c r="C4390" s="4">
        <v>90675</v>
      </c>
      <c r="D4390" s="5">
        <v>725</v>
      </c>
      <c r="E4390" s="5">
        <v>128200</v>
      </c>
      <c r="F4390" s="5">
        <v>221975</v>
      </c>
      <c r="G4390" s="5">
        <v>0</v>
      </c>
      <c r="H4390" s="5">
        <v>25</v>
      </c>
      <c r="I4390" s="5">
        <v>9800</v>
      </c>
      <c r="J4390" s="263">
        <f t="shared" si="270"/>
        <v>4.4149115891429218E-2</v>
      </c>
      <c r="K4390" s="24">
        <v>1853</v>
      </c>
      <c r="L4390" s="6">
        <v>1866</v>
      </c>
      <c r="M4390" s="598">
        <f t="shared" si="271"/>
        <v>13</v>
      </c>
      <c r="N4390" s="420">
        <f>AVERAGE(K4368:K4390)</f>
        <v>1936.0952380952381</v>
      </c>
      <c r="O4390" s="410">
        <f>AVERAGE(K4120:K4390)</f>
        <v>2095.97628458498</v>
      </c>
      <c r="P4390" s="607">
        <v>12590</v>
      </c>
      <c r="Q4390" s="28">
        <f>176.78/1099.2</f>
        <v>0.16082605531295488</v>
      </c>
      <c r="U4390" s="600">
        <v>0.1</v>
      </c>
      <c r="W4390" s="741">
        <f>(P4390*Q4390)*(1+U4390)</f>
        <v>2227.2800400291121</v>
      </c>
    </row>
    <row r="4391" spans="1:23" ht="15" customHeight="1" thickBot="1">
      <c r="A4391" s="392"/>
      <c r="B4391" s="995"/>
      <c r="C4391" s="995"/>
      <c r="D4391" s="995"/>
      <c r="E4391" s="995"/>
      <c r="F4391" s="392"/>
      <c r="G4391" s="332"/>
      <c r="H4391" s="332"/>
      <c r="I4391" s="332"/>
      <c r="J4391" s="334"/>
      <c r="K4391" s="334"/>
      <c r="L4391" s="335"/>
      <c r="M4391" s="336"/>
      <c r="N4391" s="337"/>
      <c r="O4391" s="353"/>
      <c r="P4391" s="350"/>
      <c r="Q4391" s="299"/>
      <c r="R4391" s="453"/>
      <c r="S4391" s="454"/>
      <c r="T4391" s="454"/>
      <c r="U4391" s="302"/>
      <c r="V4391" s="298">
        <f>AVERAGE(P4371:P4390)</f>
        <v>12976.5</v>
      </c>
      <c r="W4391" s="751"/>
    </row>
    <row r="4392" spans="1:23" ht="15" customHeight="1">
      <c r="A4392" s="975">
        <v>42006</v>
      </c>
      <c r="B4392" s="583">
        <f t="shared" si="269"/>
        <v>2400</v>
      </c>
      <c r="C4392" s="4">
        <v>90650</v>
      </c>
      <c r="D4392" s="5">
        <v>725</v>
      </c>
      <c r="E4392" s="5">
        <v>128200</v>
      </c>
      <c r="F4392" s="5">
        <v>221975</v>
      </c>
      <c r="G4392" s="5">
        <v>0</v>
      </c>
      <c r="H4392" s="5">
        <v>0</v>
      </c>
      <c r="I4392" s="5">
        <v>10275</v>
      </c>
      <c r="J4392" s="597">
        <f t="shared" si="270"/>
        <v>4.6288996508615836E-2</v>
      </c>
      <c r="K4392" s="24">
        <v>1845</v>
      </c>
      <c r="L4392" s="6">
        <v>1860</v>
      </c>
      <c r="M4392" s="598">
        <f t="shared" si="271"/>
        <v>15</v>
      </c>
      <c r="P4392" s="607">
        <v>12590</v>
      </c>
      <c r="Q4392" s="28">
        <f>177.02/1102.6</f>
        <v>0.16054779611826595</v>
      </c>
      <c r="U4392" s="600">
        <v>0.1</v>
      </c>
      <c r="W4392" s="741">
        <f>(P4392*Q4392)*(1+U4392)</f>
        <v>2223.426428441865</v>
      </c>
    </row>
    <row r="4393" spans="1:23" ht="15" customHeight="1">
      <c r="A4393" s="977">
        <v>42009</v>
      </c>
      <c r="B4393" s="4">
        <v>2400</v>
      </c>
      <c r="C4393" s="4">
        <v>90650</v>
      </c>
      <c r="D4393" s="5">
        <v>725</v>
      </c>
      <c r="E4393" s="5">
        <v>128200</v>
      </c>
      <c r="F4393" s="5">
        <v>221975</v>
      </c>
      <c r="G4393" s="5">
        <v>0</v>
      </c>
      <c r="H4393" s="5">
        <v>0</v>
      </c>
      <c r="I4393" s="5">
        <v>10325</v>
      </c>
      <c r="J4393" s="263">
        <f t="shared" si="270"/>
        <v>4.651424709989864E-2</v>
      </c>
      <c r="K4393" s="24">
        <v>1833</v>
      </c>
      <c r="L4393" s="6">
        <v>1846.5</v>
      </c>
      <c r="M4393" s="598">
        <f t="shared" si="271"/>
        <v>13.5</v>
      </c>
      <c r="P4393" s="607">
        <v>12590</v>
      </c>
      <c r="Q4393" s="28">
        <f>178.02/1108.7</f>
        <v>0.16056642915125824</v>
      </c>
      <c r="U4393" s="600">
        <v>0.1</v>
      </c>
      <c r="W4393" s="741">
        <f>(P4393*Q4393)*(1+U4393)</f>
        <v>2223.6844773157754</v>
      </c>
    </row>
    <row r="4394" spans="1:23" ht="15" customHeight="1">
      <c r="A4394" s="978">
        <v>42010</v>
      </c>
      <c r="B4394" s="583">
        <v>2400</v>
      </c>
      <c r="C4394" s="4">
        <v>90650</v>
      </c>
      <c r="D4394" s="5">
        <v>725</v>
      </c>
      <c r="E4394" s="5">
        <v>128200</v>
      </c>
      <c r="F4394" s="5">
        <v>221975</v>
      </c>
      <c r="G4394" s="5">
        <v>0</v>
      </c>
      <c r="H4394" s="5">
        <v>0</v>
      </c>
      <c r="I4394" s="5">
        <v>10425</v>
      </c>
      <c r="J4394" s="263">
        <f t="shared" si="270"/>
        <v>4.696474828246424E-2</v>
      </c>
      <c r="K4394" s="24">
        <v>1831</v>
      </c>
      <c r="L4394" s="6">
        <v>1846</v>
      </c>
      <c r="M4394" s="598">
        <f t="shared" si="271"/>
        <v>15</v>
      </c>
      <c r="P4394" s="607">
        <v>12540</v>
      </c>
      <c r="Q4394" s="28">
        <f>177.69/1103.9</f>
        <v>0.16096566717999816</v>
      </c>
      <c r="U4394" s="600">
        <v>0.1</v>
      </c>
      <c r="W4394" s="741">
        <f>(P4394*Q4394)*(1+U4394)</f>
        <v>2220.3604130808949</v>
      </c>
    </row>
    <row r="4395" spans="1:23" ht="15" customHeight="1">
      <c r="A4395" s="979">
        <v>42011</v>
      </c>
      <c r="B4395" s="583">
        <v>2400</v>
      </c>
      <c r="C4395" s="4">
        <v>90650</v>
      </c>
      <c r="D4395" s="5">
        <v>725</v>
      </c>
      <c r="E4395" s="5">
        <v>128200</v>
      </c>
      <c r="F4395" s="5">
        <v>221975</v>
      </c>
      <c r="G4395" s="5">
        <v>0</v>
      </c>
      <c r="H4395" s="5">
        <v>0</v>
      </c>
      <c r="I4395" s="5">
        <v>11425</v>
      </c>
      <c r="J4395" s="263">
        <f t="shared" si="270"/>
        <v>5.1469760108120287E-2</v>
      </c>
      <c r="K4395" s="24">
        <v>1820</v>
      </c>
      <c r="L4395" s="6">
        <v>1840</v>
      </c>
      <c r="M4395" s="598">
        <f t="shared" si="271"/>
        <v>20</v>
      </c>
      <c r="N4395" s="420">
        <f>AVERAGE(K4392:K4395)</f>
        <v>1832.25</v>
      </c>
      <c r="O4395" s="410">
        <f>AVERAGE(K4392:K4395)</f>
        <v>1832.25</v>
      </c>
      <c r="P4395" s="607">
        <v>12570</v>
      </c>
      <c r="Q4395" s="28">
        <f>176.86/1099.7</f>
        <v>0.1608256797308357</v>
      </c>
      <c r="U4395" s="600">
        <v>0.1</v>
      </c>
      <c r="W4395" s="741">
        <f>(P4395*Q4395)*(1+U4395)</f>
        <v>2223.7366736382655</v>
      </c>
    </row>
  </sheetData>
  <mergeCells count="137">
    <mergeCell ref="G3841:J3842"/>
    <mergeCell ref="G3751:J3751"/>
    <mergeCell ref="G3847:J3847"/>
    <mergeCell ref="G4386:J4387"/>
    <mergeCell ref="B4367:E4367"/>
    <mergeCell ref="B4346:E4346"/>
    <mergeCell ref="Z4042:AF4043"/>
    <mergeCell ref="AA4051:AI4055"/>
    <mergeCell ref="B4119:E4119"/>
    <mergeCell ref="Q4232:U4232"/>
    <mergeCell ref="P4324:Q4324"/>
    <mergeCell ref="B4322:E4322"/>
    <mergeCell ref="B4231:E4231"/>
    <mergeCell ref="Q4209:U4209"/>
    <mergeCell ref="Q4210:U4210"/>
    <mergeCell ref="B4208:E4208"/>
    <mergeCell ref="P4305:Q4305"/>
    <mergeCell ref="P4325:P4328"/>
    <mergeCell ref="B4299:E4299"/>
    <mergeCell ref="G4294:J4294"/>
    <mergeCell ref="B4277:E4277"/>
    <mergeCell ref="B4253:E4253"/>
    <mergeCell ref="B4074:E4074"/>
    <mergeCell ref="Q3963:U3963"/>
    <mergeCell ref="Q3917:U3918"/>
    <mergeCell ref="B3846:E3846"/>
    <mergeCell ref="Q3847:U3849"/>
    <mergeCell ref="B3936:E3936"/>
    <mergeCell ref="Q3877:U3881"/>
    <mergeCell ref="W1:W2"/>
    <mergeCell ref="V1:V2"/>
    <mergeCell ref="P1:U1"/>
    <mergeCell ref="Q3170:U3172"/>
    <mergeCell ref="Q2469:U2473"/>
    <mergeCell ref="Q2534:U2534"/>
    <mergeCell ref="Q2900:U2901"/>
    <mergeCell ref="Q2989:U2994"/>
    <mergeCell ref="Q3085:U3089"/>
    <mergeCell ref="Q2881:U2881"/>
    <mergeCell ref="Q2310:U2315"/>
    <mergeCell ref="Q3140:U3140"/>
    <mergeCell ref="Q2812:U2816"/>
    <mergeCell ref="Q3162:U3162"/>
    <mergeCell ref="Q2718:U2718"/>
    <mergeCell ref="Q2728:U2732"/>
    <mergeCell ref="Q2796:U2796"/>
    <mergeCell ref="G2866:J2867"/>
    <mergeCell ref="Q2559:U2564"/>
    <mergeCell ref="Q3120:U3120"/>
    <mergeCell ref="Q2362:U2365"/>
    <mergeCell ref="Q2648:U2648"/>
    <mergeCell ref="Q2602:U2602"/>
    <mergeCell ref="Q2621:U2622"/>
    <mergeCell ref="Q2862:U2862"/>
    <mergeCell ref="G3574:J3574"/>
    <mergeCell ref="Q3778:U3782"/>
    <mergeCell ref="G3140:J3140"/>
    <mergeCell ref="G2897:J2897"/>
    <mergeCell ref="G3050:J3051"/>
    <mergeCell ref="G3119:J3120"/>
    <mergeCell ref="G3419:J3419"/>
    <mergeCell ref="G3399:J3399"/>
    <mergeCell ref="G3398:J3398"/>
    <mergeCell ref="G3310:J3311"/>
    <mergeCell ref="G3160:J3160"/>
    <mergeCell ref="A1:A2"/>
    <mergeCell ref="G2380:J2380"/>
    <mergeCell ref="G2623:J2623"/>
    <mergeCell ref="G2638:J2638"/>
    <mergeCell ref="N1:N2"/>
    <mergeCell ref="B1:F1"/>
    <mergeCell ref="I1:J1"/>
    <mergeCell ref="G2529:J2531"/>
    <mergeCell ref="G2592:J2593"/>
    <mergeCell ref="G1:H1"/>
    <mergeCell ref="K1:K2"/>
    <mergeCell ref="O1:O2"/>
    <mergeCell ref="G2345:J2346"/>
    <mergeCell ref="L1:L2"/>
    <mergeCell ref="M1:M2"/>
    <mergeCell ref="B3596:E3596"/>
    <mergeCell ref="G3569:J3570"/>
    <mergeCell ref="G3393:J3394"/>
    <mergeCell ref="G3484:J3484"/>
    <mergeCell ref="B3641:E3641"/>
    <mergeCell ref="G3225:J3225"/>
    <mergeCell ref="G2791:J2792"/>
    <mergeCell ref="G2703:J2703"/>
    <mergeCell ref="B3618:E3618"/>
    <mergeCell ref="P4141:W4141"/>
    <mergeCell ref="G2882:J2882"/>
    <mergeCell ref="Q3310:U3311"/>
    <mergeCell ref="G4199:H4200"/>
    <mergeCell ref="B4185:E4185"/>
    <mergeCell ref="B4163:E4163"/>
    <mergeCell ref="Q3589:U3593"/>
    <mergeCell ref="Q3664:U3664"/>
    <mergeCell ref="Q3249:U3253"/>
    <mergeCell ref="Q3241:U3244"/>
    <mergeCell ref="G3646:J3647"/>
    <mergeCell ref="Q3574:U3575"/>
    <mergeCell ref="Q3393:U3394"/>
    <mergeCell ref="Q3399:U3399"/>
    <mergeCell ref="Q3509:U3513"/>
    <mergeCell ref="Q3569:U3570"/>
    <mergeCell ref="Q3336:U3340"/>
    <mergeCell ref="Q3642:U3644"/>
    <mergeCell ref="G4114:J4115"/>
    <mergeCell ref="B4096:E4096"/>
    <mergeCell ref="B4050:E4050"/>
    <mergeCell ref="B3960:E3960"/>
    <mergeCell ref="Q3937:U3937"/>
    <mergeCell ref="B3981:E3981"/>
    <mergeCell ref="B4391:E4391"/>
    <mergeCell ref="Q3424:U3424"/>
    <mergeCell ref="Q3379:U3380"/>
    <mergeCell ref="P4143:W4146"/>
    <mergeCell ref="B3913:E3913"/>
    <mergeCell ref="Q3966:U3968"/>
    <mergeCell ref="Q3948:U3948"/>
    <mergeCell ref="B3870:E3870"/>
    <mergeCell ref="B3891:E3891"/>
    <mergeCell ref="B4005:E4005"/>
    <mergeCell ref="B3709:E3709"/>
    <mergeCell ref="G3689:J3690"/>
    <mergeCell ref="G3668:J3668"/>
    <mergeCell ref="B3663:E3663"/>
    <mergeCell ref="B3687:E3687"/>
    <mergeCell ref="Q3662:U3662"/>
    <mergeCell ref="B4028:E4028"/>
    <mergeCell ref="Q3934:U3935"/>
    <mergeCell ref="Q3703:U3703"/>
    <mergeCell ref="B4142:E4142"/>
    <mergeCell ref="B3801:E3801"/>
    <mergeCell ref="B3824:E3824"/>
    <mergeCell ref="B3732:E3732"/>
    <mergeCell ref="B3777:E3777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398" customWidth="1"/>
    <col min="2" max="2" width="10.77734375" style="242" customWidth="1"/>
    <col min="3" max="3" width="11.6640625" style="394" customWidth="1"/>
    <col min="4" max="4" width="12.6640625" style="397" customWidth="1"/>
    <col min="5" max="5" width="11" customWidth="1"/>
  </cols>
  <sheetData>
    <row r="1" spans="1:5">
      <c r="A1" s="401" t="s">
        <v>124</v>
      </c>
      <c r="B1" s="401" t="s">
        <v>125</v>
      </c>
      <c r="C1" s="402" t="s">
        <v>126</v>
      </c>
      <c r="D1" s="403" t="s">
        <v>127</v>
      </c>
      <c r="E1" s="401" t="s">
        <v>123</v>
      </c>
    </row>
    <row r="2" spans="1:5">
      <c r="A2" s="399">
        <v>39084</v>
      </c>
      <c r="B2" s="393">
        <v>41050</v>
      </c>
      <c r="C2" s="394">
        <v>1725</v>
      </c>
      <c r="D2" s="397">
        <v>14550</v>
      </c>
      <c r="E2" s="400">
        <f>D2/10</f>
        <v>1455</v>
      </c>
    </row>
    <row r="3" spans="1:5">
      <c r="A3" s="399">
        <v>39085</v>
      </c>
      <c r="B3" s="393">
        <v>41050</v>
      </c>
      <c r="C3" s="394">
        <v>1660</v>
      </c>
      <c r="D3" s="397">
        <v>14550</v>
      </c>
      <c r="E3" s="400">
        <f t="shared" ref="E3:E66" si="0">D3/10</f>
        <v>1455</v>
      </c>
    </row>
    <row r="4" spans="1:5">
      <c r="A4" s="399">
        <v>39086</v>
      </c>
      <c r="B4" s="393">
        <v>43125</v>
      </c>
      <c r="C4" s="394">
        <v>1722</v>
      </c>
      <c r="D4" s="397">
        <v>14650</v>
      </c>
      <c r="E4" s="400">
        <f t="shared" si="0"/>
        <v>1465</v>
      </c>
    </row>
    <row r="5" spans="1:5">
      <c r="A5" s="399">
        <v>39087</v>
      </c>
      <c r="B5" s="393">
        <v>42850</v>
      </c>
      <c r="C5" s="394">
        <v>1695</v>
      </c>
      <c r="D5" s="397">
        <v>14575</v>
      </c>
      <c r="E5" s="400">
        <f t="shared" si="0"/>
        <v>1457.5</v>
      </c>
    </row>
    <row r="6" spans="1:5">
      <c r="A6" s="399">
        <v>39090</v>
      </c>
      <c r="B6" s="393">
        <v>43550</v>
      </c>
      <c r="C6" s="394">
        <v>1600</v>
      </c>
      <c r="D6" s="397">
        <v>14525</v>
      </c>
      <c r="E6" s="400">
        <f t="shared" si="0"/>
        <v>1452.5</v>
      </c>
    </row>
    <row r="7" spans="1:5">
      <c r="A7" s="399">
        <v>39091</v>
      </c>
      <c r="B7" s="393">
        <v>43300</v>
      </c>
      <c r="C7" s="394">
        <v>1596</v>
      </c>
      <c r="D7" s="397">
        <v>14525</v>
      </c>
      <c r="E7" s="400">
        <f t="shared" si="0"/>
        <v>1452.5</v>
      </c>
    </row>
    <row r="8" spans="1:5">
      <c r="A8" s="399">
        <v>39092</v>
      </c>
      <c r="B8" s="393">
        <v>42400</v>
      </c>
      <c r="C8" s="394">
        <v>1625</v>
      </c>
      <c r="D8" s="397">
        <v>14500</v>
      </c>
      <c r="E8" s="400">
        <f t="shared" si="0"/>
        <v>1450</v>
      </c>
    </row>
    <row r="9" spans="1:5">
      <c r="A9" s="399">
        <v>39093</v>
      </c>
      <c r="B9" s="393">
        <v>41500</v>
      </c>
      <c r="C9" s="394">
        <v>1634.5</v>
      </c>
      <c r="D9" s="397">
        <v>14550</v>
      </c>
      <c r="E9" s="400">
        <f t="shared" si="0"/>
        <v>1455</v>
      </c>
    </row>
    <row r="10" spans="1:5">
      <c r="A10" s="399">
        <v>39094</v>
      </c>
      <c r="B10" s="393">
        <v>41050</v>
      </c>
      <c r="C10" s="394">
        <v>1665</v>
      </c>
      <c r="D10" s="397">
        <v>14550</v>
      </c>
      <c r="E10" s="400">
        <f t="shared" si="0"/>
        <v>1455</v>
      </c>
    </row>
    <row r="11" spans="1:5">
      <c r="A11" s="399">
        <v>39097</v>
      </c>
      <c r="B11" s="393">
        <v>40475</v>
      </c>
      <c r="C11" s="394">
        <v>1650</v>
      </c>
      <c r="D11" s="397">
        <v>14500</v>
      </c>
      <c r="E11" s="400">
        <f t="shared" si="0"/>
        <v>1450</v>
      </c>
    </row>
    <row r="12" spans="1:5">
      <c r="A12" s="399">
        <v>39098</v>
      </c>
      <c r="B12" s="393">
        <v>39950</v>
      </c>
      <c r="C12" s="394">
        <v>1632</v>
      </c>
      <c r="D12" s="397">
        <v>14500</v>
      </c>
      <c r="E12" s="400">
        <f t="shared" si="0"/>
        <v>1450</v>
      </c>
    </row>
    <row r="13" spans="1:5">
      <c r="A13" s="399">
        <v>39099</v>
      </c>
      <c r="B13" s="393">
        <v>40300</v>
      </c>
      <c r="C13" s="394">
        <v>1575</v>
      </c>
      <c r="D13" s="397">
        <v>14425</v>
      </c>
      <c r="E13" s="400">
        <f t="shared" si="0"/>
        <v>1442.5</v>
      </c>
    </row>
    <row r="14" spans="1:5">
      <c r="A14" s="399">
        <v>39100</v>
      </c>
      <c r="B14" s="393">
        <v>40125</v>
      </c>
      <c r="C14" s="394">
        <v>1600.5</v>
      </c>
      <c r="D14" s="397">
        <v>14325</v>
      </c>
      <c r="E14" s="400">
        <f t="shared" si="0"/>
        <v>1432.5</v>
      </c>
    </row>
    <row r="15" spans="1:5">
      <c r="A15" s="399">
        <v>39101</v>
      </c>
      <c r="B15" s="393">
        <v>40900</v>
      </c>
      <c r="C15" s="394">
        <v>1601</v>
      </c>
      <c r="D15" s="397">
        <v>14325</v>
      </c>
      <c r="E15" s="400">
        <f t="shared" si="0"/>
        <v>1432.5</v>
      </c>
    </row>
    <row r="16" spans="1:5">
      <c r="A16" s="399">
        <v>39104</v>
      </c>
      <c r="B16" s="393">
        <v>40200</v>
      </c>
      <c r="C16" s="394">
        <v>1659</v>
      </c>
      <c r="D16" s="397">
        <v>14325</v>
      </c>
      <c r="E16" s="400">
        <f t="shared" si="0"/>
        <v>1432.5</v>
      </c>
    </row>
    <row r="17" spans="1:5">
      <c r="A17" s="399">
        <v>39105</v>
      </c>
      <c r="B17" s="393">
        <v>40150</v>
      </c>
      <c r="C17" s="394">
        <v>1695</v>
      </c>
      <c r="D17" s="397">
        <v>14325</v>
      </c>
      <c r="E17" s="400">
        <f t="shared" si="0"/>
        <v>1432.5</v>
      </c>
    </row>
    <row r="18" spans="1:5">
      <c r="A18" s="399">
        <v>39106</v>
      </c>
      <c r="B18" s="393">
        <v>40200</v>
      </c>
      <c r="C18" s="394">
        <v>1736.5</v>
      </c>
      <c r="D18" s="397">
        <v>14325</v>
      </c>
      <c r="E18" s="400">
        <f t="shared" si="0"/>
        <v>1432.5</v>
      </c>
    </row>
    <row r="19" spans="1:5">
      <c r="A19" s="399">
        <v>39107</v>
      </c>
      <c r="B19" s="393">
        <v>39850</v>
      </c>
      <c r="C19" s="394">
        <v>1749</v>
      </c>
      <c r="D19" s="397">
        <v>14325</v>
      </c>
      <c r="E19" s="400">
        <f t="shared" si="0"/>
        <v>1432.5</v>
      </c>
    </row>
    <row r="20" spans="1:5">
      <c r="A20" s="399">
        <v>39108</v>
      </c>
      <c r="B20" s="393">
        <v>39725</v>
      </c>
      <c r="C20" s="394">
        <v>1718</v>
      </c>
      <c r="D20" s="397">
        <v>14350</v>
      </c>
      <c r="E20" s="400">
        <f t="shared" si="0"/>
        <v>1435</v>
      </c>
    </row>
    <row r="21" spans="1:5">
      <c r="A21" s="399">
        <v>39111</v>
      </c>
      <c r="B21" s="393">
        <v>39100</v>
      </c>
      <c r="C21" s="394">
        <v>1675</v>
      </c>
      <c r="D21" s="397">
        <v>14350</v>
      </c>
      <c r="E21" s="400">
        <f t="shared" si="0"/>
        <v>1435</v>
      </c>
    </row>
    <row r="22" spans="1:5">
      <c r="A22" s="399">
        <v>39112</v>
      </c>
      <c r="B22" s="393">
        <v>38600</v>
      </c>
      <c r="C22" s="394">
        <v>1711</v>
      </c>
      <c r="D22" s="397">
        <v>14325</v>
      </c>
      <c r="E22" s="400">
        <f t="shared" si="0"/>
        <v>1432.5</v>
      </c>
    </row>
    <row r="23" spans="1:5">
      <c r="A23" s="399">
        <v>39113</v>
      </c>
      <c r="B23" s="393">
        <v>39050</v>
      </c>
      <c r="C23" s="394">
        <v>1729.5</v>
      </c>
      <c r="D23" s="397">
        <v>14325</v>
      </c>
      <c r="E23" s="400">
        <f t="shared" si="0"/>
        <v>1432.5</v>
      </c>
    </row>
    <row r="24" spans="1:5">
      <c r="A24" s="399">
        <v>39114</v>
      </c>
      <c r="B24" s="393">
        <v>39250</v>
      </c>
      <c r="C24" s="394">
        <v>1736</v>
      </c>
      <c r="D24" s="397">
        <v>14350</v>
      </c>
      <c r="E24" s="400">
        <f t="shared" si="0"/>
        <v>1435</v>
      </c>
    </row>
    <row r="25" spans="1:5">
      <c r="A25" s="399">
        <v>39115</v>
      </c>
      <c r="B25" s="393">
        <v>39075</v>
      </c>
      <c r="C25" s="394">
        <v>1697</v>
      </c>
      <c r="D25" s="397">
        <v>14325</v>
      </c>
      <c r="E25" s="400">
        <f t="shared" si="0"/>
        <v>1432.5</v>
      </c>
    </row>
    <row r="26" spans="1:5">
      <c r="A26" s="399">
        <v>39118</v>
      </c>
      <c r="B26" s="393">
        <v>38975</v>
      </c>
      <c r="C26" s="394">
        <v>1674</v>
      </c>
      <c r="D26" s="397">
        <v>14300</v>
      </c>
      <c r="E26" s="400">
        <f t="shared" si="0"/>
        <v>1430</v>
      </c>
    </row>
    <row r="27" spans="1:5">
      <c r="A27" s="399">
        <v>39119</v>
      </c>
      <c r="B27" s="393">
        <v>37950</v>
      </c>
      <c r="C27" s="394">
        <v>1615</v>
      </c>
      <c r="D27" s="397">
        <v>14300</v>
      </c>
      <c r="E27" s="400">
        <f t="shared" si="0"/>
        <v>1430</v>
      </c>
    </row>
    <row r="28" spans="1:5">
      <c r="A28" s="399">
        <v>39120</v>
      </c>
      <c r="B28" s="393">
        <v>37950</v>
      </c>
      <c r="C28" s="394">
        <v>1585</v>
      </c>
      <c r="D28" s="397">
        <v>14300</v>
      </c>
      <c r="E28" s="400">
        <f t="shared" si="0"/>
        <v>1430</v>
      </c>
    </row>
    <row r="29" spans="1:5">
      <c r="A29" s="399">
        <v>39121</v>
      </c>
      <c r="B29" s="393">
        <v>37625</v>
      </c>
      <c r="C29" s="394">
        <v>1580</v>
      </c>
      <c r="D29" s="397">
        <v>14325</v>
      </c>
      <c r="E29" s="400">
        <f t="shared" si="0"/>
        <v>1432.5</v>
      </c>
    </row>
    <row r="30" spans="1:5">
      <c r="A30" s="399">
        <v>39122</v>
      </c>
      <c r="B30" s="393">
        <v>36625</v>
      </c>
      <c r="C30" s="394">
        <v>1645</v>
      </c>
      <c r="D30" s="397">
        <v>14325</v>
      </c>
      <c r="E30" s="400">
        <f t="shared" si="0"/>
        <v>1432.5</v>
      </c>
    </row>
    <row r="31" spans="1:5">
      <c r="A31" s="399">
        <v>39125</v>
      </c>
      <c r="B31" s="393">
        <v>36725</v>
      </c>
      <c r="C31" s="394">
        <v>1710</v>
      </c>
      <c r="D31" s="397">
        <v>14350</v>
      </c>
      <c r="E31" s="400">
        <f t="shared" si="0"/>
        <v>1435</v>
      </c>
    </row>
    <row r="32" spans="1:5">
      <c r="A32" s="399">
        <v>39126</v>
      </c>
      <c r="B32" s="393">
        <v>35875</v>
      </c>
      <c r="C32" s="394">
        <v>1745</v>
      </c>
      <c r="D32" s="397">
        <v>14350</v>
      </c>
      <c r="E32" s="400">
        <f t="shared" si="0"/>
        <v>1435</v>
      </c>
    </row>
    <row r="33" spans="1:5">
      <c r="A33" s="399">
        <v>39127</v>
      </c>
      <c r="B33" s="393">
        <v>35000</v>
      </c>
      <c r="C33" s="394">
        <v>1730</v>
      </c>
      <c r="D33" s="397">
        <v>14350</v>
      </c>
      <c r="E33" s="400">
        <f t="shared" si="0"/>
        <v>1435</v>
      </c>
    </row>
    <row r="34" spans="1:5">
      <c r="A34" s="399">
        <v>39128</v>
      </c>
      <c r="B34" s="393">
        <v>34200</v>
      </c>
      <c r="C34" s="394">
        <v>1780</v>
      </c>
      <c r="D34" s="397">
        <v>14350</v>
      </c>
      <c r="E34" s="400">
        <f t="shared" si="0"/>
        <v>1435</v>
      </c>
    </row>
    <row r="35" spans="1:5">
      <c r="A35" s="399">
        <v>39129</v>
      </c>
      <c r="B35" s="393">
        <v>33300</v>
      </c>
      <c r="C35" s="394">
        <v>1807.5</v>
      </c>
      <c r="D35" s="397">
        <v>14350</v>
      </c>
      <c r="E35" s="400">
        <f t="shared" ref="E35:E40" si="1">D35/10</f>
        <v>1435</v>
      </c>
    </row>
    <row r="36" spans="1:5">
      <c r="A36" s="399">
        <v>39132</v>
      </c>
      <c r="B36" s="393">
        <v>32475</v>
      </c>
      <c r="C36" s="394">
        <v>1861</v>
      </c>
      <c r="D36" s="397">
        <v>14350</v>
      </c>
      <c r="E36" s="400">
        <f t="shared" si="1"/>
        <v>1435</v>
      </c>
    </row>
    <row r="37" spans="1:5">
      <c r="A37" s="399">
        <v>39133</v>
      </c>
      <c r="B37" s="393">
        <v>32525</v>
      </c>
      <c r="C37" s="394">
        <v>1844.5</v>
      </c>
      <c r="D37" s="397">
        <v>14350</v>
      </c>
      <c r="E37" s="400">
        <f t="shared" si="1"/>
        <v>1435</v>
      </c>
    </row>
    <row r="38" spans="1:5">
      <c r="A38" s="399">
        <v>39134</v>
      </c>
      <c r="B38" s="393">
        <v>32525</v>
      </c>
      <c r="C38" s="394">
        <v>1870</v>
      </c>
      <c r="D38" s="397">
        <v>14350</v>
      </c>
      <c r="E38" s="400">
        <f t="shared" si="1"/>
        <v>1435</v>
      </c>
    </row>
    <row r="39" spans="1:5">
      <c r="A39" s="399">
        <v>39135</v>
      </c>
      <c r="B39" s="393">
        <v>32375</v>
      </c>
      <c r="C39" s="394">
        <v>1899</v>
      </c>
      <c r="D39" s="397">
        <v>14350</v>
      </c>
      <c r="E39" s="400">
        <f t="shared" si="1"/>
        <v>1435</v>
      </c>
    </row>
    <row r="40" spans="1:5">
      <c r="A40" s="399">
        <v>39136</v>
      </c>
      <c r="B40" s="393">
        <v>32000</v>
      </c>
      <c r="C40" s="394">
        <v>1960</v>
      </c>
      <c r="D40" s="397">
        <v>14350</v>
      </c>
      <c r="E40" s="400">
        <f t="shared" si="1"/>
        <v>1435</v>
      </c>
    </row>
    <row r="41" spans="1:5">
      <c r="A41" s="399">
        <v>39139</v>
      </c>
      <c r="B41" s="393">
        <v>31900</v>
      </c>
      <c r="C41" s="394">
        <v>2000</v>
      </c>
      <c r="D41" s="397">
        <v>14900</v>
      </c>
      <c r="E41" s="400">
        <f t="shared" si="0"/>
        <v>1490</v>
      </c>
    </row>
    <row r="42" spans="1:5">
      <c r="A42" s="399">
        <v>39140</v>
      </c>
      <c r="B42" s="393">
        <v>32075</v>
      </c>
      <c r="C42" s="394">
        <v>1943</v>
      </c>
      <c r="D42" s="397">
        <v>14950</v>
      </c>
      <c r="E42" s="400">
        <f t="shared" si="0"/>
        <v>1495</v>
      </c>
    </row>
    <row r="43" spans="1:5">
      <c r="A43" s="399">
        <v>39141</v>
      </c>
      <c r="B43" s="393">
        <v>32100</v>
      </c>
      <c r="C43" s="394">
        <v>1910</v>
      </c>
      <c r="D43" s="397">
        <v>14950</v>
      </c>
      <c r="E43" s="400">
        <f t="shared" si="0"/>
        <v>1495</v>
      </c>
    </row>
    <row r="44" spans="1:5">
      <c r="A44" s="399">
        <v>39142</v>
      </c>
      <c r="B44" s="393">
        <v>31625</v>
      </c>
      <c r="C44" s="394">
        <v>1980</v>
      </c>
      <c r="D44" s="397">
        <v>14950</v>
      </c>
      <c r="E44" s="400">
        <f t="shared" si="0"/>
        <v>1495</v>
      </c>
    </row>
    <row r="45" spans="1:5">
      <c r="A45" s="399">
        <v>39143</v>
      </c>
      <c r="B45" s="393">
        <v>32300</v>
      </c>
      <c r="C45" s="394">
        <v>1909</v>
      </c>
      <c r="D45" s="397">
        <v>15050</v>
      </c>
      <c r="E45" s="400">
        <f t="shared" si="0"/>
        <v>1505</v>
      </c>
    </row>
    <row r="46" spans="1:5">
      <c r="A46" s="399">
        <v>39146</v>
      </c>
      <c r="B46" s="393">
        <v>32300</v>
      </c>
      <c r="C46" s="394">
        <v>1840</v>
      </c>
      <c r="D46" s="397">
        <v>15025</v>
      </c>
      <c r="E46" s="400">
        <f t="shared" si="0"/>
        <v>1502.5</v>
      </c>
    </row>
    <row r="47" spans="1:5">
      <c r="A47" s="399">
        <v>39147</v>
      </c>
      <c r="B47" s="393">
        <v>31975</v>
      </c>
      <c r="C47" s="394">
        <v>1900</v>
      </c>
      <c r="D47" s="397">
        <v>14975</v>
      </c>
      <c r="E47" s="400">
        <f t="shared" si="0"/>
        <v>1497.5</v>
      </c>
    </row>
    <row r="48" spans="1:5">
      <c r="A48" s="399">
        <v>39148</v>
      </c>
      <c r="B48" s="393">
        <v>31725</v>
      </c>
      <c r="C48" s="394">
        <v>1884</v>
      </c>
      <c r="D48" s="397">
        <v>14975</v>
      </c>
      <c r="E48" s="400">
        <f t="shared" si="0"/>
        <v>1497.5</v>
      </c>
    </row>
    <row r="49" spans="1:5">
      <c r="A49" s="399">
        <v>39149</v>
      </c>
      <c r="B49" s="393">
        <v>31825</v>
      </c>
      <c r="C49" s="394">
        <v>1871</v>
      </c>
      <c r="D49" s="397">
        <v>14975</v>
      </c>
      <c r="E49" s="400">
        <f t="shared" si="0"/>
        <v>1497.5</v>
      </c>
    </row>
    <row r="50" spans="1:5">
      <c r="A50" s="399">
        <v>39150</v>
      </c>
      <c r="B50" s="393">
        <v>31600</v>
      </c>
      <c r="C50" s="394">
        <v>1833</v>
      </c>
      <c r="D50" s="397">
        <v>14800</v>
      </c>
      <c r="E50" s="400">
        <f t="shared" si="0"/>
        <v>1480</v>
      </c>
    </row>
    <row r="51" spans="1:5">
      <c r="A51" s="399">
        <v>39153</v>
      </c>
      <c r="B51" s="393">
        <v>31550</v>
      </c>
      <c r="C51" s="394">
        <v>1880.5</v>
      </c>
      <c r="D51" s="397">
        <v>14700</v>
      </c>
      <c r="E51" s="400">
        <f t="shared" si="0"/>
        <v>1470</v>
      </c>
    </row>
    <row r="52" spans="1:5">
      <c r="A52" s="399">
        <v>39154</v>
      </c>
      <c r="B52" s="393">
        <v>30900</v>
      </c>
      <c r="C52" s="394">
        <v>1916</v>
      </c>
      <c r="D52" s="397">
        <v>14800</v>
      </c>
      <c r="E52" s="400">
        <f t="shared" si="0"/>
        <v>1480</v>
      </c>
    </row>
    <row r="53" spans="1:5">
      <c r="A53" s="399">
        <v>39155</v>
      </c>
      <c r="B53" s="393">
        <v>31250</v>
      </c>
      <c r="C53" s="394">
        <v>1900</v>
      </c>
      <c r="D53" s="397">
        <v>14775</v>
      </c>
      <c r="E53" s="400">
        <f t="shared" si="0"/>
        <v>1477.5</v>
      </c>
    </row>
    <row r="54" spans="1:5">
      <c r="A54" s="399">
        <v>39156</v>
      </c>
      <c r="B54" s="393">
        <v>31075</v>
      </c>
      <c r="C54" s="394">
        <v>1945</v>
      </c>
      <c r="D54" s="397">
        <v>14775</v>
      </c>
      <c r="E54" s="400">
        <f t="shared" si="0"/>
        <v>1477.5</v>
      </c>
    </row>
    <row r="55" spans="1:5">
      <c r="A55" s="399">
        <v>39157</v>
      </c>
      <c r="B55" s="393">
        <v>30950</v>
      </c>
      <c r="C55" s="394">
        <v>1912</v>
      </c>
      <c r="D55" s="397">
        <v>14900</v>
      </c>
      <c r="E55" s="400">
        <f t="shared" si="0"/>
        <v>1490</v>
      </c>
    </row>
    <row r="56" spans="1:5">
      <c r="A56" s="399">
        <v>39160</v>
      </c>
      <c r="B56" s="393">
        <v>31225</v>
      </c>
      <c r="C56" s="394">
        <v>1963</v>
      </c>
      <c r="D56" s="397">
        <v>14900</v>
      </c>
      <c r="E56" s="400">
        <f t="shared" si="0"/>
        <v>1490</v>
      </c>
    </row>
    <row r="57" spans="1:5">
      <c r="A57" s="399">
        <v>39161</v>
      </c>
      <c r="B57" s="393">
        <v>31075</v>
      </c>
      <c r="C57" s="394">
        <v>1950</v>
      </c>
      <c r="D57" s="397">
        <v>14900</v>
      </c>
      <c r="E57" s="400">
        <f t="shared" si="0"/>
        <v>1490</v>
      </c>
    </row>
    <row r="58" spans="1:5">
      <c r="A58" s="399">
        <v>39162</v>
      </c>
      <c r="B58" s="393">
        <v>31125</v>
      </c>
      <c r="C58" s="394">
        <v>1941</v>
      </c>
      <c r="D58" s="397">
        <v>14900</v>
      </c>
      <c r="E58" s="400">
        <f t="shared" si="0"/>
        <v>1490</v>
      </c>
    </row>
    <row r="59" spans="1:5">
      <c r="A59" s="399">
        <v>39163</v>
      </c>
      <c r="B59" s="393">
        <v>31200</v>
      </c>
      <c r="C59" s="394">
        <v>1939.5</v>
      </c>
      <c r="D59" s="397">
        <v>14900</v>
      </c>
      <c r="E59" s="400">
        <f t="shared" si="0"/>
        <v>1490</v>
      </c>
    </row>
    <row r="60" spans="1:5">
      <c r="A60" s="399">
        <v>39164</v>
      </c>
      <c r="B60" s="393">
        <v>31275</v>
      </c>
      <c r="C60" s="394">
        <v>1945</v>
      </c>
      <c r="D60" s="397">
        <v>14900</v>
      </c>
      <c r="E60" s="400">
        <f t="shared" si="0"/>
        <v>1490</v>
      </c>
    </row>
    <row r="61" spans="1:5">
      <c r="A61" s="399">
        <v>39167</v>
      </c>
      <c r="B61" s="393">
        <v>31925</v>
      </c>
      <c r="C61" s="394">
        <v>1910</v>
      </c>
      <c r="D61" s="397">
        <v>14900</v>
      </c>
      <c r="E61" s="400">
        <f t="shared" si="0"/>
        <v>1490</v>
      </c>
    </row>
    <row r="62" spans="1:5">
      <c r="A62" s="399">
        <v>39168</v>
      </c>
      <c r="B62" s="393">
        <v>33050</v>
      </c>
      <c r="C62" s="394">
        <v>1904</v>
      </c>
      <c r="D62" s="397">
        <v>14900</v>
      </c>
      <c r="E62" s="400">
        <f t="shared" si="0"/>
        <v>1490</v>
      </c>
    </row>
    <row r="63" spans="1:5">
      <c r="A63" s="399">
        <v>39169</v>
      </c>
      <c r="B63" s="393">
        <v>33225</v>
      </c>
      <c r="C63" s="394">
        <v>1938</v>
      </c>
      <c r="D63" s="397">
        <v>14900</v>
      </c>
      <c r="E63" s="400">
        <f t="shared" si="0"/>
        <v>1490</v>
      </c>
    </row>
    <row r="64" spans="1:5">
      <c r="A64" s="399">
        <v>39170</v>
      </c>
      <c r="B64" s="393">
        <v>33125</v>
      </c>
      <c r="C64" s="394">
        <v>1912</v>
      </c>
      <c r="D64" s="397">
        <v>14950</v>
      </c>
      <c r="E64" s="400">
        <f t="shared" si="0"/>
        <v>1495</v>
      </c>
    </row>
    <row r="65" spans="1:5">
      <c r="A65" s="399">
        <v>39171</v>
      </c>
      <c r="B65" s="393">
        <v>33250</v>
      </c>
      <c r="C65" s="394">
        <v>1936</v>
      </c>
      <c r="D65" s="397">
        <v>14950</v>
      </c>
      <c r="E65" s="400">
        <f t="shared" si="0"/>
        <v>1495</v>
      </c>
    </row>
    <row r="66" spans="1:5">
      <c r="A66" s="399">
        <v>39174</v>
      </c>
      <c r="B66" s="393">
        <v>33675</v>
      </c>
      <c r="C66" s="394">
        <v>1945</v>
      </c>
      <c r="D66" s="397">
        <v>14950</v>
      </c>
      <c r="E66" s="400">
        <f t="shared" si="0"/>
        <v>1495</v>
      </c>
    </row>
    <row r="67" spans="1:5">
      <c r="A67" s="399">
        <v>39175</v>
      </c>
      <c r="B67" s="393">
        <v>34625</v>
      </c>
      <c r="C67" s="394">
        <v>1979</v>
      </c>
      <c r="D67" s="397">
        <v>14950</v>
      </c>
      <c r="E67" s="400">
        <f t="shared" ref="E67:E130" si="2">D67/10</f>
        <v>1495</v>
      </c>
    </row>
    <row r="68" spans="1:5">
      <c r="A68" s="399">
        <v>39176</v>
      </c>
      <c r="B68" s="393">
        <v>34950</v>
      </c>
      <c r="C68" s="394">
        <v>2018</v>
      </c>
      <c r="D68" s="397">
        <v>15000</v>
      </c>
      <c r="E68" s="400">
        <f t="shared" si="2"/>
        <v>1500</v>
      </c>
    </row>
    <row r="69" spans="1:5">
      <c r="A69" s="399">
        <v>39177</v>
      </c>
      <c r="B69" s="393">
        <v>34975</v>
      </c>
      <c r="C69" s="394">
        <v>2021</v>
      </c>
      <c r="D69" s="397">
        <v>15075</v>
      </c>
      <c r="E69" s="400">
        <f t="shared" si="2"/>
        <v>1507.5</v>
      </c>
    </row>
    <row r="70" spans="1:5">
      <c r="A70" s="399">
        <v>39178</v>
      </c>
      <c r="B70" s="393">
        <v>34975</v>
      </c>
      <c r="C70" s="394">
        <v>2021</v>
      </c>
      <c r="D70" s="397">
        <v>15075</v>
      </c>
      <c r="E70" s="400">
        <f t="shared" si="2"/>
        <v>1507.5</v>
      </c>
    </row>
    <row r="71" spans="1:5">
      <c r="A71" s="399">
        <v>39181</v>
      </c>
      <c r="B71" s="393">
        <v>34975</v>
      </c>
      <c r="C71" s="394">
        <v>2021</v>
      </c>
      <c r="D71" s="397">
        <v>15225</v>
      </c>
      <c r="E71" s="400">
        <f t="shared" si="2"/>
        <v>1522.5</v>
      </c>
    </row>
    <row r="72" spans="1:5">
      <c r="A72" s="399">
        <v>39182</v>
      </c>
      <c r="B72" s="393">
        <v>34025</v>
      </c>
      <c r="C72" s="394">
        <v>2041</v>
      </c>
      <c r="D72" s="397">
        <v>15300</v>
      </c>
      <c r="E72" s="400">
        <f t="shared" si="2"/>
        <v>1530</v>
      </c>
    </row>
    <row r="73" spans="1:5">
      <c r="A73" s="399">
        <v>39183</v>
      </c>
      <c r="B73" s="393">
        <v>35350</v>
      </c>
      <c r="C73" s="394">
        <v>2047</v>
      </c>
      <c r="D73" s="397">
        <v>15425</v>
      </c>
      <c r="E73" s="400">
        <f t="shared" si="2"/>
        <v>1542.5</v>
      </c>
    </row>
    <row r="74" spans="1:5">
      <c r="A74" s="399">
        <v>39184</v>
      </c>
      <c r="B74" s="393">
        <v>35600</v>
      </c>
      <c r="C74" s="394">
        <v>2030</v>
      </c>
      <c r="D74" s="397">
        <v>15425</v>
      </c>
      <c r="E74" s="400">
        <f t="shared" si="2"/>
        <v>1542.5</v>
      </c>
    </row>
    <row r="75" spans="1:5">
      <c r="A75" s="399">
        <v>39185</v>
      </c>
      <c r="B75" s="393">
        <v>35450</v>
      </c>
      <c r="C75" s="394">
        <v>2025</v>
      </c>
      <c r="D75" s="397">
        <v>15425</v>
      </c>
      <c r="E75" s="400">
        <f t="shared" si="2"/>
        <v>1542.5</v>
      </c>
    </row>
    <row r="76" spans="1:5">
      <c r="A76" s="399">
        <v>39188</v>
      </c>
      <c r="B76" s="393">
        <v>36200</v>
      </c>
      <c r="C76" s="394">
        <v>2050</v>
      </c>
      <c r="D76" s="397">
        <v>15425</v>
      </c>
      <c r="E76" s="400">
        <f t="shared" si="2"/>
        <v>1542.5</v>
      </c>
    </row>
    <row r="77" spans="1:5">
      <c r="A77" s="399">
        <v>39189</v>
      </c>
      <c r="B77" s="393">
        <v>37800</v>
      </c>
      <c r="C77" s="394">
        <v>2001</v>
      </c>
      <c r="D77" s="397">
        <v>15550</v>
      </c>
      <c r="E77" s="400">
        <f t="shared" si="2"/>
        <v>1555</v>
      </c>
    </row>
    <row r="78" spans="1:5">
      <c r="A78" s="399">
        <v>39190</v>
      </c>
      <c r="B78" s="393">
        <v>37950</v>
      </c>
      <c r="C78" s="394">
        <v>2000</v>
      </c>
      <c r="D78" s="397">
        <v>15700</v>
      </c>
      <c r="E78" s="400">
        <f t="shared" si="2"/>
        <v>1570</v>
      </c>
    </row>
    <row r="79" spans="1:5">
      <c r="A79" s="399">
        <v>39191</v>
      </c>
      <c r="B79" s="393">
        <v>38525</v>
      </c>
      <c r="C79" s="394">
        <v>1975</v>
      </c>
      <c r="D79" s="397">
        <v>15800</v>
      </c>
      <c r="E79" s="400">
        <f t="shared" si="2"/>
        <v>1580</v>
      </c>
    </row>
    <row r="80" spans="1:5">
      <c r="A80" s="399">
        <v>39192</v>
      </c>
      <c r="B80" s="393">
        <v>40025</v>
      </c>
      <c r="C80" s="394">
        <v>1980</v>
      </c>
      <c r="D80" s="397">
        <v>15800</v>
      </c>
      <c r="E80" s="400">
        <f t="shared" si="2"/>
        <v>1580</v>
      </c>
    </row>
    <row r="81" spans="1:5">
      <c r="A81" s="399">
        <v>39195</v>
      </c>
      <c r="B81" s="393">
        <v>40350</v>
      </c>
      <c r="C81" s="394">
        <v>1960</v>
      </c>
      <c r="D81" s="397">
        <v>15825</v>
      </c>
      <c r="E81" s="400">
        <f t="shared" si="2"/>
        <v>1582.5</v>
      </c>
    </row>
    <row r="82" spans="1:5">
      <c r="A82" s="399">
        <v>39196</v>
      </c>
      <c r="B82" s="393">
        <v>40925</v>
      </c>
      <c r="C82" s="394">
        <v>2015</v>
      </c>
      <c r="D82" s="397">
        <v>15900</v>
      </c>
      <c r="E82" s="400">
        <f t="shared" si="2"/>
        <v>1590</v>
      </c>
    </row>
    <row r="83" spans="1:5">
      <c r="A83" s="399">
        <v>39197</v>
      </c>
      <c r="B83" s="393">
        <v>41350</v>
      </c>
      <c r="C83" s="394">
        <v>1980</v>
      </c>
      <c r="D83" s="397">
        <v>15950</v>
      </c>
      <c r="E83" s="400">
        <f t="shared" si="2"/>
        <v>1595</v>
      </c>
    </row>
    <row r="84" spans="1:5">
      <c r="A84" s="399">
        <v>39198</v>
      </c>
      <c r="B84" s="393">
        <v>41450</v>
      </c>
      <c r="C84" s="394">
        <v>1951</v>
      </c>
      <c r="D84" s="397">
        <v>16050</v>
      </c>
      <c r="E84" s="400">
        <f t="shared" si="2"/>
        <v>1605</v>
      </c>
    </row>
    <row r="85" spans="1:5">
      <c r="A85" s="399">
        <v>39199</v>
      </c>
      <c r="B85" s="393">
        <v>41350</v>
      </c>
      <c r="C85" s="394">
        <v>2000</v>
      </c>
      <c r="D85" s="397">
        <v>16150</v>
      </c>
      <c r="E85" s="400">
        <f t="shared" si="2"/>
        <v>1615</v>
      </c>
    </row>
    <row r="86" spans="1:5">
      <c r="A86" s="399">
        <v>39202</v>
      </c>
      <c r="B86" s="393">
        <v>41575</v>
      </c>
      <c r="C86" s="394">
        <v>2000</v>
      </c>
      <c r="D86" s="397">
        <v>16250</v>
      </c>
      <c r="E86" s="400">
        <f t="shared" si="2"/>
        <v>1625</v>
      </c>
    </row>
    <row r="87" spans="1:5">
      <c r="A87" s="399">
        <v>39203</v>
      </c>
      <c r="B87" s="393">
        <v>42475</v>
      </c>
      <c r="C87" s="394">
        <v>1995</v>
      </c>
      <c r="D87" s="397">
        <v>16250</v>
      </c>
      <c r="E87" s="400">
        <f>D87/10</f>
        <v>1625</v>
      </c>
    </row>
    <row r="88" spans="1:5">
      <c r="A88" s="399">
        <v>39204</v>
      </c>
      <c r="B88" s="393">
        <v>42750</v>
      </c>
      <c r="C88" s="394">
        <v>2025</v>
      </c>
      <c r="D88" s="397">
        <v>16250</v>
      </c>
      <c r="E88" s="400">
        <f>D88/10</f>
        <v>1625</v>
      </c>
    </row>
    <row r="89" spans="1:5">
      <c r="A89" s="399">
        <v>39205</v>
      </c>
      <c r="B89" s="393">
        <v>43025</v>
      </c>
      <c r="C89" s="394">
        <v>2063</v>
      </c>
      <c r="D89" s="397">
        <v>16250</v>
      </c>
      <c r="E89" s="400">
        <f>D89/10</f>
        <v>1625</v>
      </c>
    </row>
    <row r="90" spans="1:5">
      <c r="A90" s="399">
        <v>39206</v>
      </c>
      <c r="B90" s="393">
        <v>43825</v>
      </c>
      <c r="C90" s="394">
        <v>2080</v>
      </c>
      <c r="D90" s="397">
        <v>16250</v>
      </c>
      <c r="E90" s="400">
        <f>D90/10</f>
        <v>1625</v>
      </c>
    </row>
    <row r="91" spans="1:5">
      <c r="A91" s="399">
        <v>39210</v>
      </c>
      <c r="B91" s="393">
        <v>43800</v>
      </c>
      <c r="C91" s="394">
        <v>2065.5</v>
      </c>
      <c r="D91" s="397">
        <v>16900</v>
      </c>
      <c r="E91" s="400">
        <f t="shared" si="2"/>
        <v>1690</v>
      </c>
    </row>
    <row r="92" spans="1:5">
      <c r="A92" s="399">
        <v>39211</v>
      </c>
      <c r="B92" s="393">
        <v>44650</v>
      </c>
      <c r="C92" s="394">
        <v>2070</v>
      </c>
      <c r="D92" s="397">
        <v>17000</v>
      </c>
      <c r="E92" s="400">
        <f t="shared" si="2"/>
        <v>1700</v>
      </c>
    </row>
    <row r="93" spans="1:5">
      <c r="A93" s="399">
        <v>39212</v>
      </c>
      <c r="B93" s="393">
        <v>44450</v>
      </c>
      <c r="C93" s="394">
        <v>2060.5</v>
      </c>
      <c r="D93" s="397">
        <v>17100</v>
      </c>
      <c r="E93" s="400">
        <f t="shared" si="2"/>
        <v>1710</v>
      </c>
    </row>
    <row r="94" spans="1:5">
      <c r="A94" s="399">
        <v>39213</v>
      </c>
      <c r="B94" s="393">
        <v>44700</v>
      </c>
      <c r="C94" s="394">
        <v>2068</v>
      </c>
      <c r="D94" s="397">
        <v>17100</v>
      </c>
      <c r="E94" s="400">
        <f t="shared" si="2"/>
        <v>1710</v>
      </c>
    </row>
    <row r="95" spans="1:5">
      <c r="A95" s="399">
        <v>39216</v>
      </c>
      <c r="B95" s="393">
        <v>44525</v>
      </c>
      <c r="C95" s="394">
        <v>2060</v>
      </c>
      <c r="D95" s="397">
        <v>17100</v>
      </c>
      <c r="E95" s="400">
        <f t="shared" si="2"/>
        <v>1710</v>
      </c>
    </row>
    <row r="96" spans="1:5">
      <c r="A96" s="399">
        <v>39217</v>
      </c>
      <c r="B96" s="393">
        <v>44950</v>
      </c>
      <c r="C96" s="394">
        <v>2085.5</v>
      </c>
      <c r="D96" s="397">
        <v>16950</v>
      </c>
      <c r="E96" s="400">
        <f t="shared" si="2"/>
        <v>1695</v>
      </c>
    </row>
    <row r="97" spans="1:5">
      <c r="A97" s="399">
        <v>39218</v>
      </c>
      <c r="B97" s="393">
        <v>45000</v>
      </c>
      <c r="C97" s="394">
        <v>2075</v>
      </c>
      <c r="D97" s="397">
        <v>16900</v>
      </c>
      <c r="E97" s="400">
        <f t="shared" si="2"/>
        <v>1690</v>
      </c>
    </row>
    <row r="98" spans="1:5">
      <c r="A98" s="399">
        <v>39219</v>
      </c>
      <c r="B98" s="393">
        <v>47875</v>
      </c>
      <c r="C98" s="394">
        <v>2005</v>
      </c>
      <c r="D98" s="397">
        <v>16900</v>
      </c>
      <c r="E98" s="400">
        <f t="shared" si="2"/>
        <v>1690</v>
      </c>
    </row>
    <row r="99" spans="1:5">
      <c r="A99" s="399">
        <v>39220</v>
      </c>
      <c r="B99" s="393">
        <v>48725</v>
      </c>
      <c r="C99" s="394">
        <v>1995</v>
      </c>
      <c r="D99" s="397">
        <v>16750</v>
      </c>
      <c r="E99" s="400">
        <f t="shared" si="2"/>
        <v>1675</v>
      </c>
    </row>
    <row r="100" spans="1:5">
      <c r="A100" s="399">
        <v>39223</v>
      </c>
      <c r="B100" s="393">
        <v>48625</v>
      </c>
      <c r="C100" s="394">
        <v>2060.5</v>
      </c>
      <c r="D100" s="397">
        <v>16750</v>
      </c>
      <c r="E100" s="400">
        <f t="shared" si="2"/>
        <v>1675</v>
      </c>
    </row>
    <row r="101" spans="1:5">
      <c r="A101" s="399">
        <v>39224</v>
      </c>
      <c r="B101" s="393">
        <v>48200</v>
      </c>
      <c r="C101" s="394">
        <v>2155.5</v>
      </c>
      <c r="D101" s="397">
        <v>16700</v>
      </c>
      <c r="E101" s="400">
        <f t="shared" si="2"/>
        <v>1670</v>
      </c>
    </row>
    <row r="102" spans="1:5">
      <c r="A102" s="399">
        <v>39225</v>
      </c>
      <c r="B102" s="393">
        <v>48400</v>
      </c>
      <c r="C102" s="394">
        <v>2095</v>
      </c>
      <c r="D102" s="397">
        <v>16650</v>
      </c>
      <c r="E102" s="400">
        <f t="shared" si="2"/>
        <v>1665</v>
      </c>
    </row>
    <row r="103" spans="1:5">
      <c r="A103" s="399">
        <v>39226</v>
      </c>
      <c r="B103" s="393">
        <v>47925</v>
      </c>
      <c r="C103" s="394">
        <v>2165</v>
      </c>
      <c r="D103" s="397">
        <v>16600</v>
      </c>
      <c r="E103" s="400">
        <f t="shared" si="2"/>
        <v>1660</v>
      </c>
    </row>
    <row r="104" spans="1:5">
      <c r="A104" s="399">
        <v>39227</v>
      </c>
      <c r="B104" s="393">
        <v>46900</v>
      </c>
      <c r="C104" s="394">
        <v>2156</v>
      </c>
      <c r="D104" s="397">
        <v>16525</v>
      </c>
      <c r="E104" s="400">
        <f t="shared" si="2"/>
        <v>1652.5</v>
      </c>
    </row>
    <row r="105" spans="1:5">
      <c r="A105" s="399"/>
      <c r="B105" s="393">
        <v>46900</v>
      </c>
      <c r="C105" s="394">
        <v>2156</v>
      </c>
      <c r="D105" s="397">
        <v>16575</v>
      </c>
      <c r="E105" s="400">
        <f t="shared" si="2"/>
        <v>1657.5</v>
      </c>
    </row>
    <row r="106" spans="1:5">
      <c r="A106" s="399">
        <v>39231</v>
      </c>
      <c r="B106" s="393">
        <v>46700</v>
      </c>
      <c r="C106" s="394">
        <v>2205</v>
      </c>
      <c r="D106" s="397">
        <v>16650</v>
      </c>
      <c r="E106" s="400">
        <f t="shared" si="2"/>
        <v>1665</v>
      </c>
    </row>
    <row r="107" spans="1:5">
      <c r="A107" s="399">
        <v>39232</v>
      </c>
      <c r="B107" s="393">
        <v>46800</v>
      </c>
      <c r="C107" s="394">
        <v>2280</v>
      </c>
      <c r="D107" s="397">
        <v>16700</v>
      </c>
      <c r="E107" s="400">
        <f t="shared" si="2"/>
        <v>1670</v>
      </c>
    </row>
    <row r="108" spans="1:5">
      <c r="A108" s="399">
        <v>39233</v>
      </c>
      <c r="B108" s="393">
        <v>47625</v>
      </c>
      <c r="C108" s="394">
        <v>2349</v>
      </c>
      <c r="D108" s="397">
        <v>16750</v>
      </c>
      <c r="E108" s="400">
        <f t="shared" si="2"/>
        <v>1675</v>
      </c>
    </row>
    <row r="109" spans="1:5">
      <c r="A109" s="399">
        <v>39234</v>
      </c>
      <c r="B109" s="393">
        <v>47600</v>
      </c>
      <c r="C109" s="394">
        <v>2351</v>
      </c>
      <c r="D109" s="397">
        <v>16850</v>
      </c>
      <c r="E109" s="400">
        <f t="shared" si="2"/>
        <v>1685</v>
      </c>
    </row>
    <row r="110" spans="1:5">
      <c r="A110" s="399">
        <v>39237</v>
      </c>
      <c r="B110" s="393">
        <v>47650</v>
      </c>
      <c r="C110" s="394">
        <v>2336</v>
      </c>
      <c r="D110" s="397">
        <v>16825</v>
      </c>
      <c r="E110" s="400">
        <f t="shared" si="2"/>
        <v>1682.5</v>
      </c>
    </row>
    <row r="111" spans="1:5">
      <c r="A111" s="399">
        <v>39238</v>
      </c>
      <c r="B111" s="393">
        <v>48250</v>
      </c>
      <c r="C111" s="394">
        <v>2325.5</v>
      </c>
      <c r="D111" s="397">
        <v>16825</v>
      </c>
      <c r="E111" s="400">
        <f t="shared" si="2"/>
        <v>1682.5</v>
      </c>
    </row>
    <row r="112" spans="1:5">
      <c r="A112" s="399">
        <v>39239</v>
      </c>
      <c r="B112" s="393">
        <v>47775</v>
      </c>
      <c r="C112" s="394">
        <v>2315.5</v>
      </c>
      <c r="D112" s="397">
        <v>16800</v>
      </c>
      <c r="E112" s="400">
        <f t="shared" si="2"/>
        <v>1680</v>
      </c>
    </row>
    <row r="113" spans="1:5">
      <c r="A113" s="399">
        <v>39240</v>
      </c>
      <c r="B113" s="393">
        <v>47075</v>
      </c>
      <c r="C113" s="394">
        <v>2305</v>
      </c>
      <c r="D113" s="397">
        <v>16775</v>
      </c>
      <c r="E113" s="400">
        <f t="shared" si="2"/>
        <v>1677.5</v>
      </c>
    </row>
    <row r="114" spans="1:5">
      <c r="A114" s="399">
        <v>39241</v>
      </c>
      <c r="B114" s="393">
        <v>46275</v>
      </c>
      <c r="C114" s="394">
        <v>2255</v>
      </c>
      <c r="D114" s="397">
        <v>16725</v>
      </c>
      <c r="E114" s="400">
        <f t="shared" si="2"/>
        <v>1672.5</v>
      </c>
    </row>
    <row r="115" spans="1:5">
      <c r="A115" s="399">
        <v>39244</v>
      </c>
      <c r="B115" s="393">
        <v>45275</v>
      </c>
      <c r="C115" s="394">
        <v>2315</v>
      </c>
      <c r="D115" s="397">
        <v>16725</v>
      </c>
      <c r="E115" s="400">
        <f t="shared" si="2"/>
        <v>1672.5</v>
      </c>
    </row>
    <row r="116" spans="1:5">
      <c r="A116" s="399">
        <v>39245</v>
      </c>
      <c r="B116" s="393">
        <v>44175</v>
      </c>
      <c r="C116" s="394">
        <v>2315</v>
      </c>
      <c r="D116" s="397">
        <v>16825</v>
      </c>
      <c r="E116" s="400">
        <f t="shared" si="2"/>
        <v>1682.5</v>
      </c>
    </row>
    <row r="117" spans="1:5">
      <c r="A117" s="399">
        <v>39246</v>
      </c>
      <c r="B117" s="393">
        <v>43300</v>
      </c>
      <c r="C117" s="394">
        <v>2288.5</v>
      </c>
      <c r="D117" s="397">
        <v>16875</v>
      </c>
      <c r="E117" s="400">
        <f t="shared" si="2"/>
        <v>1687.5</v>
      </c>
    </row>
    <row r="118" spans="1:5">
      <c r="A118" s="399">
        <v>39247</v>
      </c>
      <c r="B118" s="393">
        <v>42975</v>
      </c>
      <c r="C118" s="394">
        <v>2335.5</v>
      </c>
      <c r="D118" s="397">
        <v>17000</v>
      </c>
      <c r="E118" s="400">
        <f t="shared" si="2"/>
        <v>1700</v>
      </c>
    </row>
    <row r="119" spans="1:5">
      <c r="A119" s="399">
        <v>39248</v>
      </c>
      <c r="B119" s="393">
        <v>42725</v>
      </c>
      <c r="C119" s="394">
        <v>2360</v>
      </c>
      <c r="D119" s="397">
        <v>17150</v>
      </c>
      <c r="E119" s="400">
        <f t="shared" si="2"/>
        <v>1715</v>
      </c>
    </row>
    <row r="120" spans="1:5">
      <c r="A120" s="399">
        <v>39251</v>
      </c>
      <c r="B120" s="393">
        <v>42725</v>
      </c>
      <c r="C120" s="394">
        <v>2410.5</v>
      </c>
      <c r="D120" s="397">
        <v>17150</v>
      </c>
      <c r="E120" s="400">
        <f t="shared" si="2"/>
        <v>1715</v>
      </c>
    </row>
    <row r="121" spans="1:5">
      <c r="A121" s="399">
        <v>39252</v>
      </c>
      <c r="B121" s="393">
        <v>41725</v>
      </c>
      <c r="C121" s="394">
        <v>2400</v>
      </c>
      <c r="D121" s="397">
        <v>17275</v>
      </c>
      <c r="E121" s="400">
        <f t="shared" si="2"/>
        <v>1727.5</v>
      </c>
    </row>
    <row r="122" spans="1:5">
      <c r="A122" s="399">
        <v>39253</v>
      </c>
      <c r="B122" s="393">
        <v>43175</v>
      </c>
      <c r="C122" s="394">
        <v>2477</v>
      </c>
      <c r="D122" s="397">
        <v>17425</v>
      </c>
      <c r="E122" s="400">
        <f t="shared" si="2"/>
        <v>1742.5</v>
      </c>
    </row>
    <row r="123" spans="1:5">
      <c r="A123" s="399">
        <v>39254</v>
      </c>
      <c r="B123" s="393">
        <v>42900</v>
      </c>
      <c r="C123" s="394">
        <v>2523</v>
      </c>
      <c r="D123" s="397">
        <v>17600</v>
      </c>
      <c r="E123" s="400">
        <f t="shared" si="2"/>
        <v>1760</v>
      </c>
    </row>
    <row r="124" spans="1:5">
      <c r="A124" s="399">
        <v>39255</v>
      </c>
      <c r="B124" s="393">
        <v>44825</v>
      </c>
      <c r="C124" s="394">
        <v>2530</v>
      </c>
      <c r="D124" s="397">
        <v>17800</v>
      </c>
      <c r="E124" s="400">
        <f t="shared" si="2"/>
        <v>1780</v>
      </c>
    </row>
    <row r="125" spans="1:5">
      <c r="A125" s="399">
        <v>39258</v>
      </c>
      <c r="B125" s="393">
        <v>46025</v>
      </c>
      <c r="C125" s="394">
        <v>2600</v>
      </c>
      <c r="D125" s="397">
        <v>18100</v>
      </c>
      <c r="E125" s="400">
        <f t="shared" si="2"/>
        <v>1810</v>
      </c>
    </row>
    <row r="126" spans="1:5">
      <c r="A126" s="399">
        <v>39259</v>
      </c>
      <c r="B126" s="393">
        <v>46400</v>
      </c>
      <c r="C126" s="394">
        <v>2677</v>
      </c>
      <c r="D126" s="397">
        <v>18650</v>
      </c>
      <c r="E126" s="400">
        <f t="shared" si="2"/>
        <v>1865</v>
      </c>
    </row>
    <row r="127" spans="1:5">
      <c r="A127" s="399">
        <v>39260</v>
      </c>
      <c r="B127" s="393">
        <v>45750</v>
      </c>
      <c r="C127" s="394">
        <v>2519</v>
      </c>
      <c r="D127" s="397">
        <v>19000</v>
      </c>
      <c r="E127" s="400">
        <f t="shared" si="2"/>
        <v>1900</v>
      </c>
    </row>
    <row r="128" spans="1:5">
      <c r="A128" s="399">
        <v>39261</v>
      </c>
      <c r="B128" s="393">
        <v>45100</v>
      </c>
      <c r="C128" s="394">
        <v>2660</v>
      </c>
      <c r="D128" s="397">
        <v>19100</v>
      </c>
      <c r="E128" s="400">
        <f t="shared" si="2"/>
        <v>1910</v>
      </c>
    </row>
    <row r="129" spans="1:5">
      <c r="A129" s="399">
        <v>39262</v>
      </c>
      <c r="B129" s="393">
        <v>45075</v>
      </c>
      <c r="C129" s="394">
        <v>2647</v>
      </c>
      <c r="D129" s="397">
        <v>19200</v>
      </c>
      <c r="E129" s="400">
        <f t="shared" si="2"/>
        <v>1920</v>
      </c>
    </row>
    <row r="130" spans="1:5">
      <c r="A130" s="399">
        <v>39265</v>
      </c>
      <c r="B130" s="393">
        <v>45125</v>
      </c>
      <c r="C130" s="394">
        <v>2730</v>
      </c>
      <c r="D130" s="397">
        <v>19200</v>
      </c>
      <c r="E130" s="400">
        <f t="shared" si="2"/>
        <v>1920</v>
      </c>
    </row>
    <row r="131" spans="1:5">
      <c r="A131" s="399">
        <v>39266</v>
      </c>
      <c r="B131" s="393">
        <v>44850</v>
      </c>
      <c r="C131" s="394">
        <v>2780</v>
      </c>
      <c r="D131" s="397">
        <v>19900</v>
      </c>
      <c r="E131" s="400">
        <f t="shared" ref="E131:E193" si="3">D131/10</f>
        <v>1990</v>
      </c>
    </row>
    <row r="132" spans="1:5">
      <c r="A132" s="399">
        <v>39267</v>
      </c>
      <c r="B132" s="393">
        <v>45050</v>
      </c>
      <c r="C132" s="394">
        <v>2857</v>
      </c>
      <c r="D132" s="397">
        <v>20400</v>
      </c>
      <c r="E132" s="400">
        <f t="shared" si="3"/>
        <v>2040</v>
      </c>
    </row>
    <row r="133" spans="1:5">
      <c r="A133" s="399">
        <v>39268</v>
      </c>
      <c r="B133" s="393">
        <v>44800</v>
      </c>
      <c r="C133" s="394">
        <v>2858</v>
      </c>
      <c r="D133" s="397">
        <v>21250</v>
      </c>
      <c r="E133" s="400">
        <f t="shared" si="3"/>
        <v>2125</v>
      </c>
    </row>
    <row r="134" spans="1:5">
      <c r="A134" s="399">
        <v>39269</v>
      </c>
      <c r="B134" s="393">
        <v>44150</v>
      </c>
      <c r="C134" s="394">
        <v>2846</v>
      </c>
      <c r="D134" s="397">
        <v>22550</v>
      </c>
      <c r="E134" s="400">
        <f t="shared" si="3"/>
        <v>2255</v>
      </c>
    </row>
    <row r="135" spans="1:5">
      <c r="A135" s="399">
        <v>39272</v>
      </c>
      <c r="B135" s="393">
        <v>43400</v>
      </c>
      <c r="C135" s="394">
        <v>2945</v>
      </c>
      <c r="D135" s="397">
        <v>23250</v>
      </c>
      <c r="E135" s="400">
        <f t="shared" si="3"/>
        <v>2325</v>
      </c>
    </row>
    <row r="136" spans="1:5">
      <c r="A136" s="399">
        <v>39273</v>
      </c>
      <c r="B136" s="393">
        <v>43050</v>
      </c>
      <c r="C136" s="394">
        <v>2934</v>
      </c>
      <c r="D136" s="397">
        <v>23750</v>
      </c>
      <c r="E136" s="400">
        <f t="shared" si="3"/>
        <v>2375</v>
      </c>
    </row>
    <row r="137" spans="1:5">
      <c r="A137" s="399">
        <v>39274</v>
      </c>
      <c r="B137" s="393">
        <v>42925</v>
      </c>
      <c r="C137" s="394">
        <v>3016</v>
      </c>
      <c r="D137" s="397">
        <v>23600</v>
      </c>
      <c r="E137" s="400">
        <f t="shared" si="3"/>
        <v>2360</v>
      </c>
    </row>
    <row r="138" spans="1:5">
      <c r="A138" s="399">
        <v>39275</v>
      </c>
      <c r="B138" s="393">
        <v>41950</v>
      </c>
      <c r="C138" s="394">
        <v>3036</v>
      </c>
      <c r="D138" s="397">
        <v>23300</v>
      </c>
      <c r="E138" s="400">
        <f t="shared" si="3"/>
        <v>2330</v>
      </c>
    </row>
    <row r="139" spans="1:5">
      <c r="A139" s="399">
        <v>39276</v>
      </c>
      <c r="B139" s="393">
        <v>42025</v>
      </c>
      <c r="C139" s="394">
        <v>3018.5</v>
      </c>
      <c r="D139" s="397">
        <v>23000</v>
      </c>
      <c r="E139" s="400">
        <f t="shared" si="3"/>
        <v>2300</v>
      </c>
    </row>
    <row r="140" spans="1:5">
      <c r="A140" s="399">
        <v>39279</v>
      </c>
      <c r="B140" s="393">
        <v>41575</v>
      </c>
      <c r="C140" s="394">
        <v>3125</v>
      </c>
      <c r="D140" s="397">
        <v>23050</v>
      </c>
      <c r="E140" s="400">
        <f t="shared" si="3"/>
        <v>2305</v>
      </c>
    </row>
    <row r="141" spans="1:5">
      <c r="A141" s="399">
        <v>39280</v>
      </c>
      <c r="B141" s="393">
        <v>41950</v>
      </c>
      <c r="C141" s="394">
        <v>3170</v>
      </c>
      <c r="D141" s="397">
        <v>23300</v>
      </c>
      <c r="E141" s="400">
        <f t="shared" si="3"/>
        <v>2330</v>
      </c>
    </row>
    <row r="142" spans="1:5">
      <c r="A142" s="399">
        <v>39281</v>
      </c>
      <c r="B142" s="393">
        <v>41225</v>
      </c>
      <c r="C142" s="394">
        <v>3224</v>
      </c>
      <c r="D142" s="397">
        <v>23700</v>
      </c>
      <c r="E142" s="400">
        <f t="shared" si="3"/>
        <v>2370</v>
      </c>
    </row>
    <row r="143" spans="1:5">
      <c r="A143" s="399">
        <v>39282</v>
      </c>
      <c r="B143" s="393">
        <v>40775</v>
      </c>
      <c r="C143" s="394">
        <v>3314.5</v>
      </c>
      <c r="D143" s="397">
        <v>24050</v>
      </c>
      <c r="E143" s="400">
        <f t="shared" si="3"/>
        <v>2405</v>
      </c>
    </row>
    <row r="144" spans="1:5">
      <c r="A144" s="399">
        <v>39283</v>
      </c>
      <c r="B144" s="393">
        <v>40575</v>
      </c>
      <c r="C144" s="394">
        <v>3465</v>
      </c>
      <c r="D144" s="397">
        <v>24700</v>
      </c>
      <c r="E144" s="400">
        <f t="shared" si="3"/>
        <v>2470</v>
      </c>
    </row>
    <row r="145" spans="1:5">
      <c r="A145" s="399">
        <v>39286</v>
      </c>
      <c r="B145" s="393">
        <v>40325</v>
      </c>
      <c r="C145" s="394">
        <v>3480</v>
      </c>
      <c r="D145" s="397">
        <v>25650</v>
      </c>
      <c r="E145" s="400">
        <f t="shared" si="3"/>
        <v>2565</v>
      </c>
    </row>
    <row r="146" spans="1:5">
      <c r="A146" s="399">
        <v>39287</v>
      </c>
      <c r="B146" s="393">
        <v>40100</v>
      </c>
      <c r="C146" s="394">
        <v>3455</v>
      </c>
      <c r="D146" s="397">
        <v>25650</v>
      </c>
      <c r="E146" s="400">
        <f t="shared" si="3"/>
        <v>2565</v>
      </c>
    </row>
    <row r="147" spans="1:5">
      <c r="A147" s="399">
        <v>39288</v>
      </c>
      <c r="B147" s="393">
        <v>39450</v>
      </c>
      <c r="C147" s="394">
        <v>3300</v>
      </c>
      <c r="D147" s="397">
        <v>25550</v>
      </c>
      <c r="E147" s="400">
        <f t="shared" si="3"/>
        <v>2555</v>
      </c>
    </row>
    <row r="148" spans="1:5">
      <c r="A148" s="399">
        <v>39289</v>
      </c>
      <c r="B148" s="393">
        <v>39450</v>
      </c>
      <c r="C148" s="394">
        <v>3169</v>
      </c>
      <c r="D148" s="397">
        <v>25100</v>
      </c>
      <c r="E148" s="400">
        <f t="shared" si="3"/>
        <v>2510</v>
      </c>
    </row>
    <row r="149" spans="1:5">
      <c r="A149" s="399">
        <v>39290</v>
      </c>
      <c r="B149" s="393">
        <v>39000</v>
      </c>
      <c r="C149" s="394">
        <v>3045</v>
      </c>
      <c r="D149" s="397">
        <v>24650</v>
      </c>
      <c r="E149" s="400">
        <f t="shared" si="3"/>
        <v>2465</v>
      </c>
    </row>
    <row r="150" spans="1:5">
      <c r="A150" s="399">
        <v>39293</v>
      </c>
      <c r="B150" s="393">
        <v>39000</v>
      </c>
      <c r="C150" s="394">
        <v>2951</v>
      </c>
      <c r="D150" s="397">
        <v>24300</v>
      </c>
      <c r="E150" s="400">
        <f t="shared" si="3"/>
        <v>2430</v>
      </c>
    </row>
    <row r="151" spans="1:5">
      <c r="A151" s="399">
        <v>39294</v>
      </c>
      <c r="B151" s="393">
        <v>37575</v>
      </c>
      <c r="C151" s="394">
        <v>3119</v>
      </c>
      <c r="D151" s="397">
        <v>23650</v>
      </c>
      <c r="E151" s="400">
        <f t="shared" si="3"/>
        <v>2365</v>
      </c>
    </row>
    <row r="152" spans="1:5">
      <c r="A152" s="399">
        <v>39295</v>
      </c>
      <c r="B152" s="393">
        <v>37050</v>
      </c>
      <c r="C152" s="394">
        <v>3075</v>
      </c>
      <c r="D152" s="397">
        <v>24600</v>
      </c>
      <c r="E152" s="400">
        <f t="shared" si="3"/>
        <v>2460</v>
      </c>
    </row>
    <row r="153" spans="1:5">
      <c r="A153" s="399">
        <v>39296</v>
      </c>
      <c r="B153" s="393">
        <v>36750</v>
      </c>
      <c r="C153" s="394">
        <v>3266</v>
      </c>
      <c r="D153" s="397">
        <v>25050</v>
      </c>
      <c r="E153" s="400">
        <f t="shared" si="3"/>
        <v>2505</v>
      </c>
    </row>
    <row r="154" spans="1:5">
      <c r="A154" s="399">
        <v>39297</v>
      </c>
      <c r="B154" s="393">
        <v>35550</v>
      </c>
      <c r="C154" s="394">
        <v>3390</v>
      </c>
      <c r="D154" s="397">
        <v>25500</v>
      </c>
      <c r="E154" s="400">
        <f t="shared" si="3"/>
        <v>2550</v>
      </c>
    </row>
    <row r="155" spans="1:5">
      <c r="A155" s="399">
        <v>39300</v>
      </c>
      <c r="B155" s="393">
        <v>35325</v>
      </c>
      <c r="C155" s="394">
        <v>3251</v>
      </c>
      <c r="D155" s="397">
        <v>25700</v>
      </c>
      <c r="E155" s="400">
        <f t="shared" si="3"/>
        <v>2570</v>
      </c>
    </row>
    <row r="156" spans="1:5">
      <c r="A156" s="399">
        <v>39301</v>
      </c>
      <c r="B156" s="393">
        <v>35300</v>
      </c>
      <c r="C156" s="394">
        <v>3174</v>
      </c>
      <c r="D156" s="397">
        <v>25050</v>
      </c>
      <c r="E156" s="400">
        <f t="shared" si="3"/>
        <v>2505</v>
      </c>
    </row>
    <row r="157" spans="1:5">
      <c r="A157" s="399">
        <v>39302</v>
      </c>
      <c r="B157" s="393">
        <v>33975</v>
      </c>
      <c r="C157" s="394">
        <v>3179</v>
      </c>
      <c r="D157" s="397">
        <v>25050</v>
      </c>
      <c r="E157" s="400">
        <f t="shared" si="3"/>
        <v>2505</v>
      </c>
    </row>
    <row r="158" spans="1:5">
      <c r="A158" s="399">
        <v>39303</v>
      </c>
      <c r="B158" s="393">
        <v>32750</v>
      </c>
      <c r="C158" s="394">
        <v>3045</v>
      </c>
      <c r="D158" s="397">
        <v>24800</v>
      </c>
      <c r="E158" s="400">
        <f t="shared" si="3"/>
        <v>2480</v>
      </c>
    </row>
    <row r="159" spans="1:5">
      <c r="A159" s="399">
        <v>39304</v>
      </c>
      <c r="B159" s="393">
        <v>32575</v>
      </c>
      <c r="C159" s="394">
        <v>2873</v>
      </c>
      <c r="D159" s="397">
        <v>24200</v>
      </c>
      <c r="E159" s="400">
        <f t="shared" si="3"/>
        <v>2420</v>
      </c>
    </row>
    <row r="160" spans="1:5">
      <c r="A160" s="399">
        <v>39307</v>
      </c>
      <c r="B160" s="393">
        <v>31550</v>
      </c>
      <c r="C160" s="394">
        <v>3048</v>
      </c>
      <c r="D160" s="397">
        <v>24200</v>
      </c>
      <c r="E160" s="400">
        <f t="shared" si="3"/>
        <v>2420</v>
      </c>
    </row>
    <row r="161" spans="1:5">
      <c r="A161" s="399">
        <v>39308</v>
      </c>
      <c r="B161" s="393">
        <v>30850</v>
      </c>
      <c r="C161" s="394">
        <v>3121</v>
      </c>
      <c r="D161" s="397">
        <v>24600</v>
      </c>
      <c r="E161" s="400">
        <f t="shared" si="3"/>
        <v>2460</v>
      </c>
    </row>
    <row r="162" spans="1:5">
      <c r="A162" s="399">
        <v>39309</v>
      </c>
      <c r="B162" s="393">
        <v>29350</v>
      </c>
      <c r="C162" s="394">
        <v>2940</v>
      </c>
      <c r="D162" s="397">
        <v>24800</v>
      </c>
      <c r="E162" s="400">
        <f t="shared" si="3"/>
        <v>2480</v>
      </c>
    </row>
    <row r="163" spans="1:5">
      <c r="A163" s="399">
        <v>39310</v>
      </c>
      <c r="B163" s="393">
        <v>28950</v>
      </c>
      <c r="C163" s="394">
        <v>2925</v>
      </c>
      <c r="D163" s="397">
        <v>24600</v>
      </c>
      <c r="E163" s="400">
        <f t="shared" si="3"/>
        <v>2460</v>
      </c>
    </row>
    <row r="164" spans="1:5">
      <c r="A164" s="399">
        <v>39311</v>
      </c>
      <c r="B164" s="393">
        <v>28250</v>
      </c>
      <c r="C164" s="394">
        <v>2895</v>
      </c>
      <c r="D164" s="397">
        <v>23900</v>
      </c>
      <c r="E164" s="400">
        <f t="shared" si="3"/>
        <v>2390</v>
      </c>
    </row>
    <row r="165" spans="1:5">
      <c r="A165" s="399">
        <v>39314</v>
      </c>
      <c r="B165" s="393">
        <v>27750</v>
      </c>
      <c r="C165" s="394">
        <v>3015</v>
      </c>
      <c r="D165" s="397">
        <v>24200</v>
      </c>
      <c r="E165" s="400">
        <f t="shared" si="3"/>
        <v>2420</v>
      </c>
    </row>
    <row r="166" spans="1:5">
      <c r="A166" s="399">
        <v>39315</v>
      </c>
      <c r="B166" s="393">
        <v>27200</v>
      </c>
      <c r="C166" s="394">
        <v>2940</v>
      </c>
      <c r="D166" s="397">
        <v>24600</v>
      </c>
      <c r="E166" s="400">
        <f t="shared" si="3"/>
        <v>2460</v>
      </c>
    </row>
    <row r="167" spans="1:5">
      <c r="A167" s="399">
        <v>39316</v>
      </c>
      <c r="B167" s="393">
        <v>26675</v>
      </c>
      <c r="C167" s="394">
        <v>3055</v>
      </c>
      <c r="D167" s="397">
        <v>24450</v>
      </c>
      <c r="E167" s="400">
        <f t="shared" si="3"/>
        <v>2445</v>
      </c>
    </row>
    <row r="168" spans="1:5">
      <c r="A168" s="399">
        <v>39317</v>
      </c>
      <c r="B168" s="393">
        <v>26400</v>
      </c>
      <c r="C168" s="394">
        <v>3200</v>
      </c>
      <c r="D168" s="397">
        <v>24600</v>
      </c>
      <c r="E168" s="400">
        <f t="shared" si="3"/>
        <v>2460</v>
      </c>
    </row>
    <row r="169" spans="1:5">
      <c r="A169" s="399">
        <v>39318</v>
      </c>
      <c r="B169" s="393">
        <v>26025</v>
      </c>
      <c r="C169" s="394">
        <v>3265</v>
      </c>
      <c r="D169" s="397">
        <v>24850</v>
      </c>
      <c r="E169" s="400">
        <f t="shared" si="3"/>
        <v>2485</v>
      </c>
    </row>
    <row r="170" spans="1:5">
      <c r="A170" s="399">
        <v>39322</v>
      </c>
      <c r="B170" s="393">
        <v>25750</v>
      </c>
      <c r="C170" s="394">
        <v>3308</v>
      </c>
      <c r="D170" s="397">
        <v>24800</v>
      </c>
      <c r="E170" s="400">
        <f t="shared" si="3"/>
        <v>2480</v>
      </c>
    </row>
    <row r="171" spans="1:5">
      <c r="A171" s="399">
        <v>39323</v>
      </c>
      <c r="B171" s="393">
        <v>25525</v>
      </c>
      <c r="C171" s="394">
        <v>3188</v>
      </c>
      <c r="D171" s="397">
        <v>24500</v>
      </c>
      <c r="E171" s="400">
        <f t="shared" si="3"/>
        <v>2450</v>
      </c>
    </row>
    <row r="172" spans="1:5">
      <c r="A172" s="399">
        <v>39324</v>
      </c>
      <c r="B172" s="393">
        <v>25525</v>
      </c>
      <c r="C172" s="394">
        <v>3190</v>
      </c>
      <c r="D172" s="397">
        <v>24200</v>
      </c>
      <c r="E172" s="400">
        <f t="shared" si="3"/>
        <v>2420</v>
      </c>
    </row>
    <row r="173" spans="1:5">
      <c r="A173" s="399">
        <v>39325</v>
      </c>
      <c r="B173" s="393">
        <v>25375</v>
      </c>
      <c r="C173" s="394">
        <v>3285</v>
      </c>
      <c r="D173" s="397">
        <v>24050</v>
      </c>
      <c r="E173" s="400">
        <f t="shared" si="3"/>
        <v>2405</v>
      </c>
    </row>
    <row r="174" spans="1:5">
      <c r="A174" s="399">
        <v>39328</v>
      </c>
      <c r="B174" s="393">
        <v>25200</v>
      </c>
      <c r="C174" s="394">
        <v>3091</v>
      </c>
      <c r="D174" s="397">
        <v>23600</v>
      </c>
      <c r="E174" s="400">
        <f t="shared" si="3"/>
        <v>2360</v>
      </c>
    </row>
    <row r="175" spans="1:5">
      <c r="A175" s="399">
        <v>39329</v>
      </c>
      <c r="B175" s="393">
        <v>25200</v>
      </c>
      <c r="C175" s="394">
        <v>2991</v>
      </c>
      <c r="D175" s="397">
        <v>23550</v>
      </c>
      <c r="E175" s="400">
        <f t="shared" si="3"/>
        <v>2355</v>
      </c>
    </row>
    <row r="176" spans="1:5">
      <c r="A176" s="399">
        <v>39330</v>
      </c>
      <c r="B176" s="393">
        <v>24750</v>
      </c>
      <c r="C176" s="394">
        <v>3090</v>
      </c>
      <c r="D176" s="397">
        <v>23400</v>
      </c>
      <c r="E176" s="400">
        <f t="shared" si="3"/>
        <v>2340</v>
      </c>
    </row>
    <row r="177" spans="1:5">
      <c r="A177" s="399">
        <v>39331</v>
      </c>
      <c r="B177" s="393">
        <v>24675</v>
      </c>
      <c r="C177" s="394">
        <v>2940</v>
      </c>
      <c r="D177" s="397">
        <v>23050</v>
      </c>
      <c r="E177" s="400">
        <f t="shared" si="3"/>
        <v>2305</v>
      </c>
    </row>
    <row r="178" spans="1:5">
      <c r="A178" s="399">
        <v>39332</v>
      </c>
      <c r="B178" s="393">
        <v>24475</v>
      </c>
      <c r="C178" s="394">
        <v>3010.5</v>
      </c>
      <c r="D178" s="397">
        <v>22850</v>
      </c>
      <c r="E178" s="400">
        <f t="shared" si="3"/>
        <v>2285</v>
      </c>
    </row>
    <row r="179" spans="1:5">
      <c r="A179" s="399">
        <v>39335</v>
      </c>
      <c r="B179" s="393">
        <v>24175</v>
      </c>
      <c r="C179" s="394">
        <v>2915</v>
      </c>
      <c r="D179" s="397">
        <v>22750</v>
      </c>
      <c r="E179" s="400">
        <f t="shared" si="3"/>
        <v>2275</v>
      </c>
    </row>
    <row r="180" spans="1:5">
      <c r="A180" s="399">
        <v>39336</v>
      </c>
      <c r="B180" s="393">
        <v>23900</v>
      </c>
      <c r="C180" s="394">
        <v>3020</v>
      </c>
      <c r="D180" s="397">
        <v>22650</v>
      </c>
      <c r="E180" s="400">
        <f t="shared" si="3"/>
        <v>2265</v>
      </c>
    </row>
    <row r="181" spans="1:5">
      <c r="A181" s="399">
        <v>39337</v>
      </c>
      <c r="B181" s="393">
        <v>23775</v>
      </c>
      <c r="C181" s="394">
        <v>3065.5</v>
      </c>
      <c r="D181" s="397">
        <v>22750</v>
      </c>
      <c r="E181" s="400">
        <f t="shared" si="3"/>
        <v>2275</v>
      </c>
    </row>
    <row r="182" spans="1:5">
      <c r="A182" s="399">
        <v>39338</v>
      </c>
      <c r="B182" s="393">
        <v>23875</v>
      </c>
      <c r="C182" s="394">
        <v>3101</v>
      </c>
      <c r="D182" s="397">
        <v>22750</v>
      </c>
      <c r="E182" s="400">
        <f t="shared" si="3"/>
        <v>2275</v>
      </c>
    </row>
    <row r="183" spans="1:5">
      <c r="A183" s="399">
        <v>39339</v>
      </c>
      <c r="B183" s="393">
        <v>23425</v>
      </c>
      <c r="C183" s="394">
        <v>3200.5</v>
      </c>
      <c r="D183" s="397">
        <v>22850</v>
      </c>
      <c r="E183" s="400">
        <f t="shared" si="3"/>
        <v>2285</v>
      </c>
    </row>
    <row r="184" spans="1:5">
      <c r="A184" s="399">
        <v>39342</v>
      </c>
      <c r="B184" s="393">
        <v>22750</v>
      </c>
      <c r="C184" s="394">
        <v>3253</v>
      </c>
      <c r="D184" s="397">
        <v>22900</v>
      </c>
      <c r="E184" s="400">
        <f t="shared" si="3"/>
        <v>2290</v>
      </c>
    </row>
    <row r="185" spans="1:5">
      <c r="A185" s="399">
        <v>39343</v>
      </c>
      <c r="B185" s="393">
        <v>22175</v>
      </c>
      <c r="C185" s="394">
        <v>3181</v>
      </c>
      <c r="D185" s="397">
        <v>22750</v>
      </c>
      <c r="E185" s="400">
        <f t="shared" si="3"/>
        <v>2275</v>
      </c>
    </row>
    <row r="186" spans="1:5">
      <c r="A186" s="399">
        <v>39344</v>
      </c>
      <c r="B186" s="393">
        <v>21675</v>
      </c>
      <c r="C186" s="394">
        <v>3290</v>
      </c>
      <c r="D186" s="397">
        <v>22800</v>
      </c>
      <c r="E186" s="400">
        <f t="shared" si="3"/>
        <v>2280</v>
      </c>
    </row>
    <row r="187" spans="1:5">
      <c r="A187" s="399">
        <v>39345</v>
      </c>
      <c r="B187" s="393">
        <v>21425</v>
      </c>
      <c r="C187" s="394">
        <v>3314.5</v>
      </c>
      <c r="D187" s="397">
        <v>23100</v>
      </c>
      <c r="E187" s="400">
        <f t="shared" si="3"/>
        <v>2310</v>
      </c>
    </row>
    <row r="188" spans="1:5">
      <c r="A188" s="399">
        <v>39346</v>
      </c>
      <c r="B188" s="393">
        <v>21200</v>
      </c>
      <c r="C188" s="394">
        <v>3450</v>
      </c>
      <c r="D188" s="397">
        <v>23250</v>
      </c>
      <c r="E188" s="400">
        <f t="shared" si="3"/>
        <v>2325</v>
      </c>
    </row>
    <row r="189" spans="1:5">
      <c r="A189" s="399">
        <v>39349</v>
      </c>
      <c r="B189" s="393">
        <v>21050</v>
      </c>
      <c r="C189" s="394">
        <v>3542</v>
      </c>
      <c r="D189" s="397">
        <v>23450</v>
      </c>
      <c r="E189" s="400">
        <f t="shared" si="3"/>
        <v>2345</v>
      </c>
    </row>
    <row r="190" spans="1:5">
      <c r="A190" s="399">
        <v>39350</v>
      </c>
      <c r="B190" s="393">
        <v>20850</v>
      </c>
      <c r="C190" s="394">
        <v>3460</v>
      </c>
      <c r="D190" s="397">
        <v>23900</v>
      </c>
      <c r="E190" s="400">
        <f t="shared" si="3"/>
        <v>2390</v>
      </c>
    </row>
    <row r="191" spans="1:5">
      <c r="A191" s="399">
        <v>39351</v>
      </c>
      <c r="B191" s="393">
        <v>20850</v>
      </c>
      <c r="C191" s="394">
        <v>3565</v>
      </c>
      <c r="D191" s="397">
        <v>24400</v>
      </c>
      <c r="E191" s="400">
        <f t="shared" si="3"/>
        <v>2440</v>
      </c>
    </row>
    <row r="192" spans="1:5">
      <c r="A192" s="399">
        <v>39352</v>
      </c>
      <c r="B192" s="393">
        <v>22000</v>
      </c>
      <c r="C192" s="394">
        <v>3600</v>
      </c>
      <c r="D192" s="397">
        <v>24625</v>
      </c>
      <c r="E192" s="400">
        <f t="shared" si="3"/>
        <v>2462.5</v>
      </c>
    </row>
    <row r="193" spans="1:5">
      <c r="A193" s="399">
        <v>39353</v>
      </c>
      <c r="B193" s="393">
        <v>22150</v>
      </c>
      <c r="C193" s="394">
        <v>3451</v>
      </c>
      <c r="D193" s="397">
        <v>24525</v>
      </c>
      <c r="E193" s="400">
        <f t="shared" si="3"/>
        <v>2452.5</v>
      </c>
    </row>
    <row r="194" spans="1:5">
      <c r="A194" s="399">
        <v>39356</v>
      </c>
      <c r="B194" s="393">
        <v>22550</v>
      </c>
      <c r="C194" s="394">
        <v>3445</v>
      </c>
      <c r="D194" s="397">
        <v>24525</v>
      </c>
      <c r="E194" s="400">
        <f>D194/10</f>
        <v>2452.5</v>
      </c>
    </row>
    <row r="195" spans="1:5">
      <c r="A195" s="399">
        <v>39357</v>
      </c>
      <c r="B195" s="393">
        <v>22325</v>
      </c>
      <c r="C195" s="394">
        <v>3529</v>
      </c>
      <c r="D195" s="397">
        <v>24525</v>
      </c>
      <c r="E195" s="400">
        <f>D195/10</f>
        <v>2452.5</v>
      </c>
    </row>
    <row r="196" spans="1:5">
      <c r="A196" s="399">
        <v>39358</v>
      </c>
      <c r="B196" s="393">
        <v>22350</v>
      </c>
      <c r="C196" s="394">
        <v>3677</v>
      </c>
      <c r="D196" s="397">
        <v>24525</v>
      </c>
      <c r="E196" s="400">
        <f>D196/10</f>
        <v>2452.5</v>
      </c>
    </row>
    <row r="197" spans="1:5">
      <c r="A197" s="399">
        <v>39359</v>
      </c>
      <c r="B197" s="393">
        <v>22300</v>
      </c>
      <c r="C197" s="394">
        <v>3661</v>
      </c>
      <c r="D197" s="397">
        <v>24525</v>
      </c>
      <c r="E197" s="400">
        <f>D197/10</f>
        <v>2452.5</v>
      </c>
    </row>
    <row r="198" spans="1:5">
      <c r="A198" s="399">
        <v>39360</v>
      </c>
      <c r="B198" s="393">
        <v>22275</v>
      </c>
      <c r="C198" s="394">
        <v>3804</v>
      </c>
      <c r="D198" s="397">
        <v>24525</v>
      </c>
      <c r="E198" s="400">
        <f>D198/10</f>
        <v>2452.5</v>
      </c>
    </row>
    <row r="199" spans="1:5">
      <c r="A199" s="399">
        <v>39363</v>
      </c>
      <c r="B199" s="393">
        <v>22200</v>
      </c>
      <c r="C199" s="394">
        <v>3740</v>
      </c>
      <c r="D199" s="397">
        <v>25800</v>
      </c>
      <c r="E199" s="400">
        <f t="shared" ref="E199:E258" si="4">D199/10</f>
        <v>2580</v>
      </c>
    </row>
    <row r="200" spans="1:5">
      <c r="A200" s="399">
        <v>39364</v>
      </c>
      <c r="B200" s="393">
        <v>22125</v>
      </c>
      <c r="C200" s="394">
        <v>3855</v>
      </c>
      <c r="D200" s="397">
        <v>25700</v>
      </c>
      <c r="E200" s="400">
        <f t="shared" si="4"/>
        <v>2570</v>
      </c>
    </row>
    <row r="201" spans="1:5">
      <c r="A201" s="399">
        <v>39365</v>
      </c>
      <c r="B201" s="393">
        <v>22425</v>
      </c>
      <c r="C201" s="394">
        <v>3975</v>
      </c>
      <c r="D201" s="397">
        <v>26400</v>
      </c>
      <c r="E201" s="400">
        <f t="shared" si="4"/>
        <v>2640</v>
      </c>
    </row>
    <row r="202" spans="1:5">
      <c r="A202" s="399">
        <v>39366</v>
      </c>
      <c r="B202" s="393">
        <v>22475</v>
      </c>
      <c r="C202" s="394">
        <v>3959</v>
      </c>
      <c r="D202" s="397">
        <v>26400</v>
      </c>
      <c r="E202" s="400">
        <f t="shared" si="4"/>
        <v>2640</v>
      </c>
    </row>
    <row r="203" spans="1:5">
      <c r="A203" s="399">
        <v>39367</v>
      </c>
      <c r="B203" s="393">
        <v>22525</v>
      </c>
      <c r="C203" s="394">
        <v>3894.5</v>
      </c>
      <c r="D203" s="397">
        <v>26200</v>
      </c>
      <c r="E203" s="400">
        <f t="shared" si="4"/>
        <v>2620</v>
      </c>
    </row>
    <row r="204" spans="1:5">
      <c r="A204" s="399">
        <v>39370</v>
      </c>
      <c r="B204" s="393">
        <v>22550</v>
      </c>
      <c r="C204" s="394">
        <v>3980</v>
      </c>
      <c r="D204" s="397">
        <v>26000</v>
      </c>
      <c r="E204" s="400">
        <f t="shared" si="4"/>
        <v>2600</v>
      </c>
    </row>
    <row r="205" spans="1:5">
      <c r="A205" s="399">
        <v>39371</v>
      </c>
      <c r="B205" s="393">
        <v>25925</v>
      </c>
      <c r="C205" s="394">
        <v>3799</v>
      </c>
      <c r="D205" s="397">
        <v>25800</v>
      </c>
      <c r="E205" s="400">
        <f t="shared" si="4"/>
        <v>2580</v>
      </c>
    </row>
    <row r="206" spans="1:5">
      <c r="A206" s="399">
        <v>39372</v>
      </c>
      <c r="B206" s="393">
        <v>29700</v>
      </c>
      <c r="C206" s="394">
        <v>3620</v>
      </c>
      <c r="D206" s="397">
        <v>25500</v>
      </c>
      <c r="E206" s="400">
        <f t="shared" si="4"/>
        <v>2550</v>
      </c>
    </row>
    <row r="207" spans="1:5">
      <c r="A207" s="399">
        <v>39373</v>
      </c>
      <c r="B207" s="393">
        <v>31450</v>
      </c>
      <c r="C207" s="394">
        <v>3655</v>
      </c>
      <c r="D207" s="397">
        <v>25100</v>
      </c>
      <c r="E207" s="400">
        <f t="shared" si="4"/>
        <v>2510</v>
      </c>
    </row>
    <row r="208" spans="1:5">
      <c r="A208" s="399">
        <v>39374</v>
      </c>
      <c r="B208" s="393">
        <v>33450</v>
      </c>
      <c r="C208" s="394">
        <v>3830</v>
      </c>
      <c r="D208" s="397">
        <v>25100</v>
      </c>
      <c r="E208" s="400">
        <f t="shared" si="4"/>
        <v>2510</v>
      </c>
    </row>
    <row r="209" spans="1:5">
      <c r="A209" s="399">
        <v>39377</v>
      </c>
      <c r="B209" s="393">
        <v>36450</v>
      </c>
      <c r="C209" s="394">
        <v>3585</v>
      </c>
      <c r="D209" s="397">
        <v>25100</v>
      </c>
      <c r="E209" s="400">
        <f t="shared" si="4"/>
        <v>2510</v>
      </c>
    </row>
    <row r="210" spans="1:5">
      <c r="A210" s="399">
        <v>39378</v>
      </c>
      <c r="B210" s="393">
        <v>37375</v>
      </c>
      <c r="C210" s="394">
        <v>3704.5</v>
      </c>
      <c r="D210" s="397">
        <v>24550</v>
      </c>
      <c r="E210" s="400">
        <f t="shared" si="4"/>
        <v>2455</v>
      </c>
    </row>
    <row r="211" spans="1:5">
      <c r="A211" s="399">
        <v>39379</v>
      </c>
      <c r="B211" s="393">
        <v>38300</v>
      </c>
      <c r="C211" s="394">
        <v>3580</v>
      </c>
      <c r="D211" s="397">
        <v>24550</v>
      </c>
      <c r="E211" s="400">
        <f t="shared" si="4"/>
        <v>2455</v>
      </c>
    </row>
    <row r="212" spans="1:5">
      <c r="A212" s="399">
        <v>39380</v>
      </c>
      <c r="B212" s="393">
        <v>38550</v>
      </c>
      <c r="C212" s="394">
        <v>3615</v>
      </c>
      <c r="D212" s="397">
        <v>24350</v>
      </c>
      <c r="E212" s="400">
        <f t="shared" si="4"/>
        <v>2435</v>
      </c>
    </row>
    <row r="213" spans="1:5">
      <c r="A213" s="399">
        <v>39381</v>
      </c>
      <c r="B213" s="393">
        <v>38800</v>
      </c>
      <c r="C213" s="394">
        <v>3704.5</v>
      </c>
      <c r="D213" s="397">
        <v>24500</v>
      </c>
      <c r="E213" s="400">
        <f t="shared" si="4"/>
        <v>2450</v>
      </c>
    </row>
    <row r="214" spans="1:5">
      <c r="A214" s="399">
        <v>39384</v>
      </c>
      <c r="B214" s="393">
        <v>39225</v>
      </c>
      <c r="C214" s="394">
        <v>3710</v>
      </c>
      <c r="D214" s="397">
        <v>24550</v>
      </c>
      <c r="E214" s="400">
        <f t="shared" si="4"/>
        <v>2455</v>
      </c>
    </row>
    <row r="215" spans="1:5">
      <c r="A215" s="399">
        <v>39385</v>
      </c>
      <c r="B215" s="393">
        <v>39475</v>
      </c>
      <c r="C215" s="394">
        <v>3540</v>
      </c>
      <c r="D215" s="397">
        <v>24550</v>
      </c>
      <c r="E215" s="400">
        <f t="shared" si="4"/>
        <v>2455</v>
      </c>
    </row>
    <row r="216" spans="1:5">
      <c r="A216" s="399">
        <v>39386</v>
      </c>
      <c r="B216" s="393">
        <v>39400</v>
      </c>
      <c r="C216" s="394">
        <v>3691</v>
      </c>
      <c r="D216" s="397">
        <v>24400</v>
      </c>
      <c r="E216" s="400">
        <f t="shared" si="4"/>
        <v>2440</v>
      </c>
    </row>
    <row r="217" spans="1:5">
      <c r="A217" s="399">
        <v>39387</v>
      </c>
      <c r="B217" s="393">
        <v>40100</v>
      </c>
      <c r="C217" s="394">
        <v>3626</v>
      </c>
      <c r="D217" s="397">
        <v>24500</v>
      </c>
      <c r="E217" s="400">
        <f t="shared" si="4"/>
        <v>2450</v>
      </c>
    </row>
    <row r="218" spans="1:5">
      <c r="A218" s="399">
        <v>39388</v>
      </c>
      <c r="B218" s="393">
        <v>40300</v>
      </c>
      <c r="C218" s="394">
        <v>3765</v>
      </c>
      <c r="D218" s="397">
        <v>24400</v>
      </c>
      <c r="E218" s="400">
        <f t="shared" si="4"/>
        <v>2440</v>
      </c>
    </row>
    <row r="219" spans="1:5">
      <c r="A219" s="399">
        <v>39389</v>
      </c>
      <c r="B219" s="393">
        <v>40525</v>
      </c>
      <c r="C219" s="394">
        <v>3762</v>
      </c>
      <c r="D219" s="397">
        <v>24600</v>
      </c>
      <c r="E219" s="400">
        <f t="shared" si="4"/>
        <v>2460</v>
      </c>
    </row>
    <row r="220" spans="1:5">
      <c r="A220" s="399">
        <v>39392</v>
      </c>
      <c r="B220" s="393">
        <v>40500</v>
      </c>
      <c r="C220" s="394">
        <v>3790</v>
      </c>
      <c r="D220" s="397">
        <v>24400</v>
      </c>
      <c r="E220" s="400">
        <f t="shared" si="4"/>
        <v>2440</v>
      </c>
    </row>
    <row r="221" spans="1:5">
      <c r="A221" s="399">
        <v>39393</v>
      </c>
      <c r="B221" s="393">
        <v>40500</v>
      </c>
      <c r="C221" s="394">
        <v>3680</v>
      </c>
      <c r="D221" s="397">
        <v>24500</v>
      </c>
      <c r="E221" s="400">
        <f t="shared" si="4"/>
        <v>2450</v>
      </c>
    </row>
    <row r="222" spans="1:5">
      <c r="A222" s="399">
        <v>39394</v>
      </c>
      <c r="B222" s="393">
        <v>41400</v>
      </c>
      <c r="C222" s="394">
        <v>3492</v>
      </c>
      <c r="D222" s="397">
        <v>24300</v>
      </c>
      <c r="E222" s="400">
        <f t="shared" si="4"/>
        <v>2430</v>
      </c>
    </row>
    <row r="223" spans="1:5">
      <c r="A223" s="399">
        <v>39395</v>
      </c>
      <c r="B223" s="393">
        <v>41400</v>
      </c>
      <c r="C223" s="394">
        <v>3504.5</v>
      </c>
      <c r="D223" s="397">
        <v>24100</v>
      </c>
      <c r="E223" s="400">
        <f t="shared" si="4"/>
        <v>2410</v>
      </c>
    </row>
    <row r="224" spans="1:5">
      <c r="A224" s="399">
        <v>39398</v>
      </c>
      <c r="B224" s="393">
        <v>41350</v>
      </c>
      <c r="C224" s="394">
        <v>3487</v>
      </c>
      <c r="D224" s="397">
        <v>24300</v>
      </c>
      <c r="E224" s="400">
        <f t="shared" si="4"/>
        <v>2430</v>
      </c>
    </row>
    <row r="225" spans="1:5">
      <c r="A225" s="399">
        <v>39399</v>
      </c>
      <c r="B225" s="393">
        <v>41875</v>
      </c>
      <c r="C225" s="394">
        <v>3540</v>
      </c>
      <c r="D225" s="397">
        <v>24200</v>
      </c>
      <c r="E225" s="400">
        <f t="shared" si="4"/>
        <v>2420</v>
      </c>
    </row>
    <row r="226" spans="1:5">
      <c r="A226" s="399">
        <v>39400</v>
      </c>
      <c r="B226" s="393">
        <v>42800</v>
      </c>
      <c r="C226" s="394">
        <v>3580</v>
      </c>
      <c r="D226" s="397">
        <v>24200</v>
      </c>
      <c r="E226" s="400">
        <f t="shared" si="4"/>
        <v>2420</v>
      </c>
    </row>
    <row r="227" spans="1:5">
      <c r="A227" s="399">
        <v>39401</v>
      </c>
      <c r="B227" s="393">
        <v>42800</v>
      </c>
      <c r="C227" s="394">
        <v>3530</v>
      </c>
      <c r="D227" s="397">
        <v>24300</v>
      </c>
      <c r="E227" s="400">
        <f t="shared" si="4"/>
        <v>2430</v>
      </c>
    </row>
    <row r="228" spans="1:5">
      <c r="A228" s="399">
        <v>39402</v>
      </c>
      <c r="B228" s="393">
        <v>42750</v>
      </c>
      <c r="C228" s="394">
        <v>3380</v>
      </c>
      <c r="D228" s="397">
        <v>24200</v>
      </c>
      <c r="E228" s="400">
        <f t="shared" si="4"/>
        <v>2420</v>
      </c>
    </row>
    <row r="229" spans="1:5">
      <c r="A229" s="399">
        <v>39405</v>
      </c>
      <c r="B229" s="393">
        <v>42975</v>
      </c>
      <c r="C229" s="394">
        <v>3155</v>
      </c>
      <c r="D229" s="397">
        <v>23900</v>
      </c>
      <c r="E229" s="400">
        <f t="shared" si="4"/>
        <v>2390</v>
      </c>
    </row>
    <row r="230" spans="1:5">
      <c r="A230" s="399">
        <v>39406</v>
      </c>
      <c r="B230" s="393">
        <v>42500</v>
      </c>
      <c r="C230" s="394">
        <v>3056</v>
      </c>
      <c r="D230" s="397">
        <v>22750</v>
      </c>
      <c r="E230" s="400">
        <f t="shared" si="4"/>
        <v>2275</v>
      </c>
    </row>
    <row r="231" spans="1:5">
      <c r="A231" s="399">
        <v>39407</v>
      </c>
      <c r="B231" s="393">
        <v>42700</v>
      </c>
      <c r="C231" s="394">
        <v>2980</v>
      </c>
      <c r="D231" s="397">
        <v>22500</v>
      </c>
      <c r="E231" s="400">
        <f t="shared" si="4"/>
        <v>2250</v>
      </c>
    </row>
    <row r="232" spans="1:5">
      <c r="A232" s="399">
        <v>39408</v>
      </c>
      <c r="B232" s="393">
        <v>43275</v>
      </c>
      <c r="C232" s="394">
        <v>2876</v>
      </c>
      <c r="D232" s="397">
        <v>21600</v>
      </c>
      <c r="E232" s="400">
        <f t="shared" si="4"/>
        <v>2160</v>
      </c>
    </row>
    <row r="233" spans="1:5">
      <c r="A233" s="399">
        <v>39409</v>
      </c>
      <c r="B233" s="393">
        <v>43025</v>
      </c>
      <c r="C233" s="394">
        <v>2911</v>
      </c>
      <c r="D233" s="397">
        <v>21300</v>
      </c>
      <c r="E233" s="400">
        <f t="shared" si="4"/>
        <v>2130</v>
      </c>
    </row>
    <row r="234" spans="1:5">
      <c r="A234" s="399">
        <v>39412</v>
      </c>
      <c r="B234" s="393">
        <v>42625</v>
      </c>
      <c r="C234" s="394">
        <v>3046</v>
      </c>
      <c r="D234" s="397">
        <v>21500</v>
      </c>
      <c r="E234" s="400">
        <f t="shared" si="4"/>
        <v>2150</v>
      </c>
    </row>
    <row r="235" spans="1:5">
      <c r="A235" s="399">
        <v>39413</v>
      </c>
      <c r="B235" s="393">
        <v>43725</v>
      </c>
      <c r="C235" s="394">
        <v>2990</v>
      </c>
      <c r="D235" s="397">
        <v>21600</v>
      </c>
      <c r="E235" s="400">
        <f t="shared" si="4"/>
        <v>2160</v>
      </c>
    </row>
    <row r="236" spans="1:5">
      <c r="A236" s="399">
        <v>39414</v>
      </c>
      <c r="B236" s="393">
        <v>44025</v>
      </c>
      <c r="C236" s="394">
        <v>2960</v>
      </c>
      <c r="D236" s="397">
        <v>21700</v>
      </c>
      <c r="E236" s="400">
        <f t="shared" si="4"/>
        <v>2170</v>
      </c>
    </row>
    <row r="237" spans="1:5">
      <c r="A237" s="399">
        <v>39415</v>
      </c>
      <c r="B237" s="393">
        <v>43900</v>
      </c>
      <c r="C237" s="394">
        <v>3059.5</v>
      </c>
      <c r="D237" s="397">
        <v>21950</v>
      </c>
      <c r="E237" s="400">
        <f t="shared" si="4"/>
        <v>2195</v>
      </c>
    </row>
    <row r="238" spans="1:5">
      <c r="A238" s="399">
        <v>39416</v>
      </c>
      <c r="B238" s="393">
        <v>44025</v>
      </c>
      <c r="C238" s="394">
        <v>3050</v>
      </c>
      <c r="D238" s="397">
        <v>22025</v>
      </c>
      <c r="E238" s="400">
        <f t="shared" si="4"/>
        <v>2202.5</v>
      </c>
    </row>
    <row r="239" spans="1:5">
      <c r="A239" s="399">
        <v>39419</v>
      </c>
      <c r="B239" s="393">
        <v>44350</v>
      </c>
      <c r="C239" s="394">
        <v>2991</v>
      </c>
      <c r="D239" s="397">
        <v>22025</v>
      </c>
      <c r="E239" s="400">
        <f t="shared" si="4"/>
        <v>2202.5</v>
      </c>
    </row>
    <row r="240" spans="1:5">
      <c r="A240" s="399">
        <v>39420</v>
      </c>
      <c r="B240" s="393">
        <v>43775</v>
      </c>
      <c r="C240" s="394">
        <v>2825</v>
      </c>
      <c r="D240" s="397">
        <v>21700</v>
      </c>
      <c r="E240" s="400">
        <f t="shared" si="4"/>
        <v>2170</v>
      </c>
    </row>
    <row r="241" spans="1:5">
      <c r="A241" s="399">
        <v>39421</v>
      </c>
      <c r="B241" s="393">
        <v>44000</v>
      </c>
      <c r="C241" s="394">
        <v>2804</v>
      </c>
      <c r="D241" s="397">
        <v>21500</v>
      </c>
      <c r="E241" s="400">
        <f t="shared" si="4"/>
        <v>2150</v>
      </c>
    </row>
    <row r="242" spans="1:5">
      <c r="A242" s="399">
        <v>39422</v>
      </c>
      <c r="B242" s="393">
        <v>44600</v>
      </c>
      <c r="C242" s="394">
        <v>2605.5</v>
      </c>
      <c r="D242" s="397">
        <v>21300</v>
      </c>
      <c r="E242" s="400">
        <f t="shared" si="4"/>
        <v>2130</v>
      </c>
    </row>
    <row r="243" spans="1:5">
      <c r="A243" s="399">
        <v>39423</v>
      </c>
      <c r="B243" s="393">
        <v>44150</v>
      </c>
      <c r="C243" s="394">
        <v>2675</v>
      </c>
      <c r="D243" s="397">
        <v>20900</v>
      </c>
      <c r="E243" s="400">
        <f t="shared" si="4"/>
        <v>2090</v>
      </c>
    </row>
    <row r="244" spans="1:5">
      <c r="A244" s="399">
        <v>39426</v>
      </c>
      <c r="B244" s="393">
        <v>43200</v>
      </c>
      <c r="C244" s="394">
        <v>2520.5</v>
      </c>
      <c r="D244" s="397">
        <v>20500</v>
      </c>
      <c r="E244" s="400">
        <f t="shared" si="4"/>
        <v>2050</v>
      </c>
    </row>
    <row r="245" spans="1:5">
      <c r="A245" s="399">
        <v>39427</v>
      </c>
      <c r="B245" s="393">
        <v>43625</v>
      </c>
      <c r="C245" s="394">
        <v>2420</v>
      </c>
      <c r="D245" s="397">
        <v>19700</v>
      </c>
      <c r="E245" s="400">
        <f t="shared" si="4"/>
        <v>1970</v>
      </c>
    </row>
    <row r="246" spans="1:5">
      <c r="A246" s="399">
        <v>39428</v>
      </c>
      <c r="B246" s="393">
        <v>42975</v>
      </c>
      <c r="C246" s="394">
        <v>2530.5</v>
      </c>
      <c r="D246" s="397">
        <v>19500</v>
      </c>
      <c r="E246" s="400">
        <f t="shared" si="4"/>
        <v>1950</v>
      </c>
    </row>
    <row r="247" spans="1:5">
      <c r="A247" s="399">
        <v>39429</v>
      </c>
      <c r="B247" s="393">
        <v>42275</v>
      </c>
      <c r="C247" s="394">
        <v>2535</v>
      </c>
      <c r="D247" s="397">
        <v>19400</v>
      </c>
      <c r="E247" s="400">
        <f t="shared" si="4"/>
        <v>1940</v>
      </c>
    </row>
    <row r="248" spans="1:5">
      <c r="A248" s="399">
        <v>39430</v>
      </c>
      <c r="B248" s="393">
        <v>41650</v>
      </c>
      <c r="C248" s="394">
        <v>2461</v>
      </c>
      <c r="D248" s="397">
        <v>18900</v>
      </c>
      <c r="E248" s="400">
        <f t="shared" si="4"/>
        <v>1890</v>
      </c>
    </row>
    <row r="249" spans="1:5">
      <c r="A249" s="399">
        <v>39433</v>
      </c>
      <c r="B249" s="393">
        <v>41775</v>
      </c>
      <c r="C249" s="394">
        <v>2412</v>
      </c>
      <c r="D249" s="397">
        <v>18700</v>
      </c>
      <c r="E249" s="400">
        <f t="shared" si="4"/>
        <v>1870</v>
      </c>
    </row>
    <row r="250" spans="1:5">
      <c r="A250" s="399">
        <v>39434</v>
      </c>
      <c r="B250" s="393">
        <v>43425</v>
      </c>
      <c r="C250" s="394">
        <v>2432</v>
      </c>
      <c r="D250" s="397">
        <v>18550</v>
      </c>
      <c r="E250" s="400">
        <f t="shared" si="4"/>
        <v>1855</v>
      </c>
    </row>
    <row r="251" spans="1:5">
      <c r="A251" s="399">
        <v>39435</v>
      </c>
      <c r="B251" s="393">
        <v>43600</v>
      </c>
      <c r="C251" s="394">
        <v>2471</v>
      </c>
      <c r="D251" s="397">
        <v>18400</v>
      </c>
      <c r="E251" s="400">
        <f t="shared" si="4"/>
        <v>1840</v>
      </c>
    </row>
    <row r="252" spans="1:5">
      <c r="A252" s="399">
        <v>39436</v>
      </c>
      <c r="B252" s="393">
        <v>43425</v>
      </c>
      <c r="C252" s="394">
        <v>2648</v>
      </c>
      <c r="D252" s="397">
        <v>18500</v>
      </c>
      <c r="E252" s="400">
        <f t="shared" si="4"/>
        <v>1850</v>
      </c>
    </row>
    <row r="253" spans="1:5">
      <c r="A253" s="399">
        <v>39437</v>
      </c>
      <c r="B253" s="393">
        <v>43325</v>
      </c>
      <c r="C253" s="394">
        <v>2655</v>
      </c>
      <c r="D253" s="397">
        <v>18900</v>
      </c>
      <c r="E253" s="400">
        <f t="shared" si="4"/>
        <v>1890</v>
      </c>
    </row>
    <row r="254" spans="1:5">
      <c r="A254" s="399"/>
      <c r="B254" s="393">
        <v>43325</v>
      </c>
      <c r="C254" s="394">
        <v>2655</v>
      </c>
      <c r="D254" s="397">
        <v>19150</v>
      </c>
      <c r="E254" s="400">
        <f t="shared" si="4"/>
        <v>1915</v>
      </c>
    </row>
    <row r="255" spans="1:5">
      <c r="A255" s="399"/>
      <c r="B255" s="393">
        <v>43325</v>
      </c>
      <c r="C255" s="394">
        <v>2655</v>
      </c>
      <c r="D255" s="397">
        <v>19500</v>
      </c>
      <c r="E255" s="400">
        <f t="shared" si="4"/>
        <v>1950</v>
      </c>
    </row>
    <row r="256" spans="1:5">
      <c r="A256" s="399"/>
      <c r="B256" s="393">
        <v>43325</v>
      </c>
      <c r="C256" s="394">
        <v>2655</v>
      </c>
      <c r="D256" s="397">
        <v>19500</v>
      </c>
      <c r="E256" s="400">
        <f t="shared" si="4"/>
        <v>1950</v>
      </c>
    </row>
    <row r="257" spans="1:5">
      <c r="A257" s="399">
        <v>39443</v>
      </c>
      <c r="B257" s="393">
        <v>43250</v>
      </c>
      <c r="C257" s="394">
        <v>2650</v>
      </c>
      <c r="D257" s="397">
        <v>19500</v>
      </c>
      <c r="E257" s="400">
        <f t="shared" si="4"/>
        <v>1950</v>
      </c>
    </row>
    <row r="258" spans="1:5">
      <c r="A258" s="399">
        <v>39444</v>
      </c>
      <c r="B258" s="393">
        <v>45500</v>
      </c>
      <c r="C258" s="394">
        <v>2561</v>
      </c>
      <c r="D258" s="397">
        <v>19500</v>
      </c>
      <c r="E258" s="400">
        <f t="shared" si="4"/>
        <v>1950</v>
      </c>
    </row>
    <row r="259" spans="1:5">
      <c r="A259" s="399">
        <v>39447</v>
      </c>
      <c r="B259" s="393">
        <v>45475</v>
      </c>
      <c r="C259" s="394">
        <v>2532</v>
      </c>
      <c r="D259" s="397">
        <v>19500</v>
      </c>
      <c r="E259" s="400">
        <f>D259/10</f>
        <v>1950</v>
      </c>
    </row>
    <row r="260" spans="1:5">
      <c r="A260" s="399">
        <v>39449</v>
      </c>
      <c r="B260" s="393">
        <v>45350</v>
      </c>
      <c r="C260" s="394">
        <v>2580</v>
      </c>
      <c r="D260" s="397">
        <v>19300</v>
      </c>
      <c r="E260" s="400">
        <f t="shared" ref="E260:E322" si="5">D260/10</f>
        <v>1930</v>
      </c>
    </row>
    <row r="261" spans="1:5">
      <c r="A261" s="399">
        <v>39450</v>
      </c>
      <c r="B261" s="393">
        <v>46750</v>
      </c>
      <c r="C261" s="394">
        <v>2593</v>
      </c>
      <c r="D261" s="397">
        <v>19200</v>
      </c>
      <c r="E261" s="400">
        <f t="shared" si="5"/>
        <v>1920</v>
      </c>
    </row>
    <row r="262" spans="1:5">
      <c r="A262" s="399">
        <v>39451</v>
      </c>
      <c r="B262" s="393">
        <v>46850</v>
      </c>
      <c r="C262" s="394">
        <v>2665</v>
      </c>
      <c r="D262" s="397">
        <v>19400</v>
      </c>
      <c r="E262" s="400">
        <f t="shared" si="5"/>
        <v>1940</v>
      </c>
    </row>
    <row r="263" spans="1:5">
      <c r="A263" s="399">
        <v>39454</v>
      </c>
      <c r="B263" s="393">
        <v>48900</v>
      </c>
      <c r="C263" s="394">
        <v>2601</v>
      </c>
      <c r="D263" s="397">
        <v>19300</v>
      </c>
      <c r="E263" s="400">
        <f t="shared" si="5"/>
        <v>1930</v>
      </c>
    </row>
    <row r="264" spans="1:5">
      <c r="A264" s="399">
        <v>39455</v>
      </c>
      <c r="B264" s="393">
        <v>49200</v>
      </c>
      <c r="C264" s="394">
        <v>2580.5</v>
      </c>
      <c r="D264" s="397">
        <v>19450</v>
      </c>
      <c r="E264" s="400">
        <f t="shared" si="5"/>
        <v>1945</v>
      </c>
    </row>
    <row r="265" spans="1:5">
      <c r="A265" s="399">
        <v>39456</v>
      </c>
      <c r="B265" s="393">
        <v>49300</v>
      </c>
      <c r="C265" s="394">
        <v>2630</v>
      </c>
      <c r="D265" s="397">
        <v>19500</v>
      </c>
      <c r="E265" s="400">
        <f t="shared" si="5"/>
        <v>1950</v>
      </c>
    </row>
    <row r="266" spans="1:5">
      <c r="A266" s="399">
        <v>39457</v>
      </c>
      <c r="B266" s="393">
        <v>49325</v>
      </c>
      <c r="C266" s="394">
        <v>2525.5</v>
      </c>
      <c r="D266" s="397">
        <v>19450</v>
      </c>
      <c r="E266" s="400">
        <f t="shared" si="5"/>
        <v>1945</v>
      </c>
    </row>
    <row r="267" spans="1:5">
      <c r="A267" s="399">
        <v>39458</v>
      </c>
      <c r="B267" s="393">
        <v>49250</v>
      </c>
      <c r="C267" s="394">
        <v>2551</v>
      </c>
      <c r="D267" s="397">
        <v>19400</v>
      </c>
      <c r="E267" s="400">
        <f t="shared" si="5"/>
        <v>1940</v>
      </c>
    </row>
    <row r="268" spans="1:5">
      <c r="A268" s="399">
        <v>39461</v>
      </c>
      <c r="B268" s="393">
        <v>48950</v>
      </c>
      <c r="C268" s="394">
        <v>2640</v>
      </c>
      <c r="D268" s="397">
        <v>19500</v>
      </c>
      <c r="E268" s="400">
        <f t="shared" si="5"/>
        <v>1950</v>
      </c>
    </row>
    <row r="269" spans="1:5">
      <c r="A269" s="399">
        <v>39462</v>
      </c>
      <c r="B269" s="393">
        <v>49325</v>
      </c>
      <c r="C269" s="394">
        <v>2680</v>
      </c>
      <c r="D269" s="397">
        <v>19700</v>
      </c>
      <c r="E269" s="400">
        <f t="shared" si="5"/>
        <v>1970</v>
      </c>
    </row>
    <row r="270" spans="1:5">
      <c r="A270" s="399">
        <v>39463</v>
      </c>
      <c r="B270" s="393">
        <v>49300</v>
      </c>
      <c r="C270" s="394">
        <v>2610</v>
      </c>
      <c r="D270" s="397">
        <v>19800</v>
      </c>
      <c r="E270" s="400">
        <f t="shared" si="5"/>
        <v>1980</v>
      </c>
    </row>
    <row r="271" spans="1:5">
      <c r="A271" s="399">
        <v>39464</v>
      </c>
      <c r="B271" s="393">
        <v>48650</v>
      </c>
      <c r="C271" s="394">
        <v>2610</v>
      </c>
      <c r="D271" s="397">
        <v>19700</v>
      </c>
      <c r="E271" s="400">
        <f t="shared" si="5"/>
        <v>1970</v>
      </c>
    </row>
    <row r="272" spans="1:5">
      <c r="A272" s="399">
        <v>39465</v>
      </c>
      <c r="B272" s="393">
        <v>48050</v>
      </c>
      <c r="C272" s="394">
        <v>2550</v>
      </c>
      <c r="D272" s="397">
        <v>19700</v>
      </c>
      <c r="E272" s="400">
        <f t="shared" si="5"/>
        <v>1970</v>
      </c>
    </row>
    <row r="273" spans="1:5">
      <c r="A273" s="399">
        <v>39468</v>
      </c>
      <c r="B273" s="393">
        <v>47925</v>
      </c>
      <c r="C273" s="394">
        <v>2513.5</v>
      </c>
      <c r="D273" s="397">
        <v>19900</v>
      </c>
      <c r="E273" s="400">
        <f t="shared" si="5"/>
        <v>1990</v>
      </c>
    </row>
    <row r="274" spans="1:5">
      <c r="A274" s="399">
        <v>39469</v>
      </c>
      <c r="B274" s="393">
        <v>48100</v>
      </c>
      <c r="C274" s="394">
        <v>2480</v>
      </c>
      <c r="D274" s="397">
        <v>20300</v>
      </c>
      <c r="E274" s="400">
        <f t="shared" si="5"/>
        <v>2030</v>
      </c>
    </row>
    <row r="275" spans="1:5">
      <c r="A275" s="399">
        <v>39470</v>
      </c>
      <c r="B275" s="393">
        <v>48075</v>
      </c>
      <c r="C275" s="394">
        <v>2540.5</v>
      </c>
      <c r="D275" s="397">
        <v>20600</v>
      </c>
      <c r="E275" s="400">
        <f t="shared" si="5"/>
        <v>2060</v>
      </c>
    </row>
    <row r="276" spans="1:5">
      <c r="A276" s="399">
        <v>39471</v>
      </c>
      <c r="B276" s="393">
        <v>47900</v>
      </c>
      <c r="C276" s="394">
        <v>2579.5</v>
      </c>
      <c r="D276" s="397">
        <v>20600</v>
      </c>
      <c r="E276" s="400">
        <f t="shared" si="5"/>
        <v>2060</v>
      </c>
    </row>
    <row r="277" spans="1:5">
      <c r="A277" s="399">
        <v>39472</v>
      </c>
      <c r="B277" s="393">
        <v>47800</v>
      </c>
      <c r="C277" s="394">
        <v>2650.5</v>
      </c>
      <c r="D277" s="397">
        <v>20750</v>
      </c>
      <c r="E277" s="400">
        <f t="shared" si="5"/>
        <v>2075</v>
      </c>
    </row>
    <row r="278" spans="1:5">
      <c r="A278" s="399">
        <v>39475</v>
      </c>
      <c r="B278" s="393">
        <v>47075</v>
      </c>
      <c r="C278" s="394">
        <v>2586.5</v>
      </c>
      <c r="D278" s="397">
        <v>20750</v>
      </c>
      <c r="E278" s="400">
        <f t="shared" si="5"/>
        <v>2075</v>
      </c>
    </row>
    <row r="279" spans="1:5">
      <c r="A279" s="399">
        <v>39476</v>
      </c>
      <c r="B279" s="393">
        <v>48900</v>
      </c>
      <c r="C279" s="394">
        <v>2730</v>
      </c>
      <c r="D279" s="397">
        <v>20950</v>
      </c>
      <c r="E279" s="400">
        <f t="shared" si="5"/>
        <v>2095</v>
      </c>
    </row>
    <row r="280" spans="1:5">
      <c r="A280" s="399">
        <v>39477</v>
      </c>
      <c r="B280" s="393">
        <v>49100</v>
      </c>
      <c r="C280" s="394">
        <v>2741</v>
      </c>
      <c r="D280" s="397">
        <v>21200</v>
      </c>
      <c r="E280" s="400">
        <f t="shared" si="5"/>
        <v>2120</v>
      </c>
    </row>
    <row r="281" spans="1:5">
      <c r="A281" s="399">
        <v>39478</v>
      </c>
      <c r="B281" s="393">
        <v>48700</v>
      </c>
      <c r="C281" s="394">
        <v>2741.5</v>
      </c>
      <c r="D281" s="397">
        <v>21600</v>
      </c>
      <c r="E281" s="400">
        <f t="shared" si="5"/>
        <v>2160</v>
      </c>
    </row>
    <row r="282" spans="1:5">
      <c r="A282" s="399">
        <v>39479</v>
      </c>
      <c r="B282" s="393">
        <v>48525</v>
      </c>
      <c r="C282" s="394">
        <v>2845</v>
      </c>
      <c r="D282" s="397">
        <v>21900</v>
      </c>
      <c r="E282" s="400">
        <f t="shared" si="5"/>
        <v>2190</v>
      </c>
    </row>
    <row r="283" spans="1:5">
      <c r="A283" s="399">
        <v>39482</v>
      </c>
      <c r="B283" s="393">
        <v>48700</v>
      </c>
      <c r="C283" s="394">
        <v>2865</v>
      </c>
      <c r="D283" s="397">
        <v>22200</v>
      </c>
      <c r="E283" s="400">
        <f t="shared" si="5"/>
        <v>2220</v>
      </c>
    </row>
    <row r="284" spans="1:5">
      <c r="A284" s="399">
        <v>39483</v>
      </c>
      <c r="B284" s="393">
        <v>49075</v>
      </c>
      <c r="C284" s="394">
        <v>2770</v>
      </c>
      <c r="D284" s="397">
        <v>22200</v>
      </c>
      <c r="E284" s="400">
        <f t="shared" ref="E284:E289" si="6">D284/10</f>
        <v>2220</v>
      </c>
    </row>
    <row r="285" spans="1:5">
      <c r="A285" s="399">
        <v>39484</v>
      </c>
      <c r="B285" s="393">
        <v>49000</v>
      </c>
      <c r="C285" s="394">
        <v>2800</v>
      </c>
      <c r="D285" s="397">
        <v>22200</v>
      </c>
      <c r="E285" s="400">
        <f t="shared" si="6"/>
        <v>2220</v>
      </c>
    </row>
    <row r="286" spans="1:5">
      <c r="A286" s="399">
        <v>39485</v>
      </c>
      <c r="B286" s="393">
        <v>49000</v>
      </c>
      <c r="C286" s="394">
        <v>2786</v>
      </c>
      <c r="D286" s="397">
        <v>22200</v>
      </c>
      <c r="E286" s="400">
        <f t="shared" si="6"/>
        <v>2220</v>
      </c>
    </row>
    <row r="287" spans="1:5">
      <c r="A287" s="399">
        <v>39486</v>
      </c>
      <c r="B287" s="393">
        <v>49000</v>
      </c>
      <c r="C287" s="394">
        <v>2880</v>
      </c>
      <c r="D287" s="397">
        <v>22200</v>
      </c>
      <c r="E287" s="400">
        <f t="shared" si="6"/>
        <v>2220</v>
      </c>
    </row>
    <row r="288" spans="1:5">
      <c r="A288" s="399">
        <v>39489</v>
      </c>
      <c r="B288" s="393">
        <v>49050</v>
      </c>
      <c r="C288" s="394">
        <v>3012</v>
      </c>
      <c r="D288" s="397">
        <v>22200</v>
      </c>
      <c r="E288" s="400">
        <f t="shared" si="6"/>
        <v>2220</v>
      </c>
    </row>
    <row r="289" spans="1:5">
      <c r="A289" s="399">
        <v>39490</v>
      </c>
      <c r="B289" s="393">
        <v>48650</v>
      </c>
      <c r="C289" s="394">
        <v>3032</v>
      </c>
      <c r="D289" s="397">
        <v>22200</v>
      </c>
      <c r="E289" s="400">
        <f t="shared" si="6"/>
        <v>2220</v>
      </c>
    </row>
    <row r="290" spans="1:5">
      <c r="A290" s="399">
        <v>39491</v>
      </c>
      <c r="B290" s="393">
        <v>47800</v>
      </c>
      <c r="C290" s="394">
        <v>3020</v>
      </c>
      <c r="D290" s="397">
        <v>22900</v>
      </c>
      <c r="E290" s="400">
        <f t="shared" si="5"/>
        <v>2290</v>
      </c>
    </row>
    <row r="291" spans="1:5">
      <c r="A291" s="399">
        <v>39492</v>
      </c>
      <c r="B291" s="393">
        <v>47675</v>
      </c>
      <c r="C291" s="394">
        <v>3071</v>
      </c>
      <c r="D291" s="397">
        <v>23100</v>
      </c>
      <c r="E291" s="400">
        <f t="shared" si="5"/>
        <v>2310</v>
      </c>
    </row>
    <row r="292" spans="1:5">
      <c r="A292" s="399">
        <v>39493</v>
      </c>
      <c r="B292" s="393">
        <v>47125</v>
      </c>
      <c r="C292" s="394">
        <v>3045</v>
      </c>
      <c r="D292" s="397">
        <v>23000</v>
      </c>
      <c r="E292" s="400">
        <f t="shared" si="5"/>
        <v>2300</v>
      </c>
    </row>
    <row r="293" spans="1:5">
      <c r="A293" s="399">
        <v>39496</v>
      </c>
      <c r="B293" s="393">
        <v>46850</v>
      </c>
      <c r="C293" s="394">
        <v>3020</v>
      </c>
      <c r="D293" s="397">
        <v>22900</v>
      </c>
      <c r="E293" s="400">
        <f t="shared" si="5"/>
        <v>2290</v>
      </c>
    </row>
    <row r="294" spans="1:5">
      <c r="A294" s="399">
        <v>39497</v>
      </c>
      <c r="B294" s="393">
        <v>46325</v>
      </c>
      <c r="C294" s="394">
        <v>3110</v>
      </c>
      <c r="D294" s="397">
        <v>22900</v>
      </c>
      <c r="E294" s="400">
        <f t="shared" si="5"/>
        <v>2290</v>
      </c>
    </row>
    <row r="295" spans="1:5">
      <c r="A295" s="399">
        <v>39498</v>
      </c>
      <c r="B295" s="393">
        <v>46375</v>
      </c>
      <c r="C295" s="394">
        <v>3170</v>
      </c>
      <c r="D295" s="397">
        <v>22700</v>
      </c>
      <c r="E295" s="400">
        <f t="shared" si="5"/>
        <v>2270</v>
      </c>
    </row>
    <row r="296" spans="1:5">
      <c r="A296" s="399">
        <v>39499</v>
      </c>
      <c r="B296" s="393">
        <v>45825</v>
      </c>
      <c r="C296" s="394">
        <v>3315</v>
      </c>
      <c r="D296" s="397">
        <v>22800</v>
      </c>
      <c r="E296" s="400">
        <f t="shared" si="5"/>
        <v>2280</v>
      </c>
    </row>
    <row r="297" spans="1:5">
      <c r="A297" s="399">
        <v>39500</v>
      </c>
      <c r="B297" s="393">
        <v>44875</v>
      </c>
      <c r="C297" s="394">
        <v>3284</v>
      </c>
      <c r="D297" s="397">
        <v>23000</v>
      </c>
      <c r="E297" s="400">
        <f t="shared" si="5"/>
        <v>2300</v>
      </c>
    </row>
    <row r="298" spans="1:5">
      <c r="A298" s="399">
        <v>39503</v>
      </c>
      <c r="B298" s="393">
        <v>44950</v>
      </c>
      <c r="C298" s="394">
        <v>3266</v>
      </c>
      <c r="D298" s="397">
        <v>23000</v>
      </c>
      <c r="E298" s="400">
        <f t="shared" si="5"/>
        <v>2300</v>
      </c>
    </row>
    <row r="299" spans="1:5">
      <c r="A299" s="399">
        <v>39504</v>
      </c>
      <c r="B299" s="393">
        <v>45200</v>
      </c>
      <c r="C299" s="394">
        <v>3253.5</v>
      </c>
      <c r="D299" s="397">
        <v>22950</v>
      </c>
      <c r="E299" s="400">
        <f t="shared" si="5"/>
        <v>2295</v>
      </c>
    </row>
    <row r="300" spans="1:5">
      <c r="A300" s="399">
        <v>39505</v>
      </c>
      <c r="B300" s="393">
        <v>45375</v>
      </c>
      <c r="C300" s="394">
        <v>3400</v>
      </c>
      <c r="D300" s="397">
        <v>22850</v>
      </c>
      <c r="E300" s="400">
        <f t="shared" si="5"/>
        <v>2285</v>
      </c>
    </row>
    <row r="301" spans="1:5">
      <c r="A301" s="399">
        <v>39506</v>
      </c>
      <c r="B301" s="393">
        <v>45600</v>
      </c>
      <c r="C301" s="394">
        <v>3339</v>
      </c>
      <c r="D301" s="397">
        <v>22950</v>
      </c>
      <c r="E301" s="400">
        <f t="shared" si="5"/>
        <v>2295</v>
      </c>
    </row>
    <row r="302" spans="1:5">
      <c r="A302" s="399">
        <v>39507</v>
      </c>
      <c r="B302" s="393">
        <v>45750</v>
      </c>
      <c r="C302" s="394">
        <v>3394</v>
      </c>
      <c r="D302" s="397">
        <v>22950</v>
      </c>
      <c r="E302" s="400">
        <f t="shared" si="5"/>
        <v>2295</v>
      </c>
    </row>
    <row r="303" spans="1:5">
      <c r="A303" s="399">
        <v>39510</v>
      </c>
      <c r="B303" s="393">
        <v>45825</v>
      </c>
      <c r="C303" s="394">
        <v>3390</v>
      </c>
      <c r="D303" s="397">
        <v>22800</v>
      </c>
      <c r="E303" s="400">
        <f t="shared" si="5"/>
        <v>2280</v>
      </c>
    </row>
    <row r="304" spans="1:5">
      <c r="A304" s="399">
        <v>39511</v>
      </c>
      <c r="B304" s="393">
        <v>46075</v>
      </c>
      <c r="C304" s="394">
        <v>3460</v>
      </c>
      <c r="D304" s="397">
        <v>22800</v>
      </c>
      <c r="E304" s="400">
        <f t="shared" si="5"/>
        <v>2280</v>
      </c>
    </row>
    <row r="305" spans="1:5">
      <c r="A305" s="399">
        <v>39512</v>
      </c>
      <c r="B305" s="393">
        <v>46175</v>
      </c>
      <c r="C305" s="394">
        <v>3200</v>
      </c>
      <c r="D305" s="397">
        <v>22600</v>
      </c>
      <c r="E305" s="400">
        <f t="shared" si="5"/>
        <v>2260</v>
      </c>
    </row>
    <row r="306" spans="1:5">
      <c r="A306" s="399">
        <v>39513</v>
      </c>
      <c r="B306" s="393">
        <v>45900</v>
      </c>
      <c r="C306" s="394">
        <v>3380</v>
      </c>
      <c r="D306" s="397">
        <v>22600</v>
      </c>
      <c r="E306" s="400">
        <f t="shared" si="5"/>
        <v>2260</v>
      </c>
    </row>
    <row r="307" spans="1:5">
      <c r="A307" s="399">
        <v>39514</v>
      </c>
      <c r="B307" s="393">
        <v>46050</v>
      </c>
      <c r="C307" s="394">
        <v>3160</v>
      </c>
      <c r="D307" s="397">
        <v>22300</v>
      </c>
      <c r="E307" s="400">
        <f t="shared" si="5"/>
        <v>2230</v>
      </c>
    </row>
    <row r="308" spans="1:5">
      <c r="A308" s="399">
        <v>39517</v>
      </c>
      <c r="B308" s="393">
        <v>46050</v>
      </c>
      <c r="C308" s="394">
        <v>3035</v>
      </c>
      <c r="D308" s="397">
        <v>22000</v>
      </c>
      <c r="E308" s="400">
        <f t="shared" si="5"/>
        <v>2200</v>
      </c>
    </row>
    <row r="309" spans="1:5">
      <c r="A309" s="399">
        <v>39518</v>
      </c>
      <c r="B309" s="393">
        <v>46150</v>
      </c>
      <c r="C309" s="394">
        <v>3050</v>
      </c>
      <c r="D309" s="397">
        <v>21700</v>
      </c>
      <c r="E309" s="400">
        <f t="shared" si="5"/>
        <v>2170</v>
      </c>
    </row>
    <row r="310" spans="1:5">
      <c r="A310" s="399">
        <v>39519</v>
      </c>
      <c r="B310" s="393">
        <v>46150</v>
      </c>
      <c r="C310" s="394">
        <v>3015</v>
      </c>
      <c r="D310" s="397">
        <v>21700</v>
      </c>
      <c r="E310" s="400">
        <f t="shared" si="5"/>
        <v>2170</v>
      </c>
    </row>
    <row r="311" spans="1:5">
      <c r="A311" s="399">
        <v>39520</v>
      </c>
      <c r="B311" s="393">
        <v>46125</v>
      </c>
      <c r="C311" s="394">
        <v>3142</v>
      </c>
      <c r="D311" s="397">
        <v>21700</v>
      </c>
      <c r="E311" s="400">
        <f t="shared" si="5"/>
        <v>2170</v>
      </c>
    </row>
    <row r="312" spans="1:5">
      <c r="A312" s="399">
        <v>39521</v>
      </c>
      <c r="B312" s="393">
        <v>46375</v>
      </c>
      <c r="C312" s="394">
        <v>3111</v>
      </c>
      <c r="D312" s="397">
        <v>21700</v>
      </c>
      <c r="E312" s="400">
        <f t="shared" si="5"/>
        <v>2170</v>
      </c>
    </row>
    <row r="313" spans="1:5">
      <c r="A313" s="399">
        <v>39524</v>
      </c>
      <c r="B313" s="393">
        <v>46575</v>
      </c>
      <c r="C313" s="394">
        <v>2921</v>
      </c>
      <c r="D313" s="397">
        <v>21600</v>
      </c>
      <c r="E313" s="400">
        <f t="shared" si="5"/>
        <v>2160</v>
      </c>
    </row>
    <row r="314" spans="1:5">
      <c r="A314" s="399">
        <v>39525</v>
      </c>
      <c r="B314" s="393">
        <v>46650</v>
      </c>
      <c r="C314" s="394">
        <v>2871</v>
      </c>
      <c r="D314" s="397">
        <v>21300</v>
      </c>
      <c r="E314" s="400">
        <f t="shared" si="5"/>
        <v>2130</v>
      </c>
    </row>
    <row r="315" spans="1:5">
      <c r="A315" s="399">
        <v>39526</v>
      </c>
      <c r="B315" s="393">
        <v>46700</v>
      </c>
      <c r="C315" s="394">
        <v>2820</v>
      </c>
      <c r="D315" s="397">
        <v>21200</v>
      </c>
      <c r="E315" s="400">
        <f t="shared" si="5"/>
        <v>2120</v>
      </c>
    </row>
    <row r="316" spans="1:5">
      <c r="A316" s="399">
        <v>39527</v>
      </c>
      <c r="B316" s="393">
        <v>46725</v>
      </c>
      <c r="C316" s="394">
        <v>2650</v>
      </c>
      <c r="D316" s="397">
        <v>21100</v>
      </c>
      <c r="E316" s="400">
        <f t="shared" si="5"/>
        <v>2110</v>
      </c>
    </row>
    <row r="317" spans="1:5">
      <c r="A317" s="399">
        <v>39528</v>
      </c>
      <c r="B317" s="393">
        <v>46725</v>
      </c>
      <c r="C317" s="394">
        <v>2650</v>
      </c>
      <c r="D317" s="397">
        <v>21000</v>
      </c>
      <c r="E317" s="400">
        <f t="shared" si="5"/>
        <v>2100</v>
      </c>
    </row>
    <row r="318" spans="1:5">
      <c r="A318" s="399">
        <v>39531</v>
      </c>
      <c r="B318" s="393">
        <v>46725</v>
      </c>
      <c r="C318" s="394">
        <v>2650</v>
      </c>
      <c r="D318" s="397">
        <v>21000</v>
      </c>
      <c r="E318" s="400">
        <f t="shared" si="5"/>
        <v>2100</v>
      </c>
    </row>
    <row r="319" spans="1:5">
      <c r="A319" s="399">
        <v>39532</v>
      </c>
      <c r="B319" s="393">
        <v>46950</v>
      </c>
      <c r="C319" s="394">
        <v>2815</v>
      </c>
      <c r="D319" s="397">
        <v>21000</v>
      </c>
      <c r="E319" s="400">
        <f t="shared" si="5"/>
        <v>2100</v>
      </c>
    </row>
    <row r="320" spans="1:5">
      <c r="A320" s="399">
        <v>39533</v>
      </c>
      <c r="B320" s="393">
        <v>47200</v>
      </c>
      <c r="C320" s="394">
        <v>2725</v>
      </c>
      <c r="D320" s="397">
        <v>21100</v>
      </c>
      <c r="E320" s="400">
        <f t="shared" si="5"/>
        <v>2110</v>
      </c>
    </row>
    <row r="321" spans="1:5">
      <c r="A321" s="399">
        <v>39534</v>
      </c>
      <c r="B321" s="393">
        <v>47775</v>
      </c>
      <c r="C321" s="394">
        <v>2752.5</v>
      </c>
      <c r="D321" s="397">
        <v>21100</v>
      </c>
      <c r="E321" s="400">
        <f t="shared" si="5"/>
        <v>2110</v>
      </c>
    </row>
    <row r="322" spans="1:5">
      <c r="A322" s="399">
        <v>39535</v>
      </c>
      <c r="B322" s="393">
        <v>48275</v>
      </c>
      <c r="C322" s="394">
        <v>2872.5</v>
      </c>
      <c r="D322" s="397">
        <v>21200</v>
      </c>
      <c r="E322" s="400">
        <f t="shared" si="5"/>
        <v>2120</v>
      </c>
    </row>
    <row r="323" spans="1:5">
      <c r="A323" s="399">
        <v>39538</v>
      </c>
      <c r="B323" s="393">
        <v>49050</v>
      </c>
      <c r="C323" s="394">
        <v>2793</v>
      </c>
      <c r="D323" s="397">
        <v>21100</v>
      </c>
      <c r="E323" s="400">
        <f t="shared" ref="E323:E386" si="7">D323/10</f>
        <v>2110</v>
      </c>
    </row>
    <row r="324" spans="1:5">
      <c r="A324" s="399">
        <v>39539</v>
      </c>
      <c r="B324" s="393">
        <v>49325</v>
      </c>
      <c r="C324" s="394">
        <v>2747</v>
      </c>
      <c r="D324" s="397">
        <v>21000</v>
      </c>
      <c r="E324" s="400">
        <f t="shared" si="7"/>
        <v>2100</v>
      </c>
    </row>
    <row r="325" spans="1:5">
      <c r="A325" s="399">
        <v>39540</v>
      </c>
      <c r="B325" s="393">
        <v>49400</v>
      </c>
      <c r="C325" s="394">
        <v>2783</v>
      </c>
      <c r="D325" s="397">
        <v>21000</v>
      </c>
      <c r="E325" s="400">
        <f t="shared" si="7"/>
        <v>2100</v>
      </c>
    </row>
    <row r="326" spans="1:5">
      <c r="A326" s="399">
        <v>39541</v>
      </c>
      <c r="B326" s="393">
        <v>50025</v>
      </c>
      <c r="C326" s="394">
        <v>2811</v>
      </c>
      <c r="D326" s="397">
        <v>21000</v>
      </c>
      <c r="E326" s="400">
        <f t="shared" si="7"/>
        <v>2100</v>
      </c>
    </row>
    <row r="327" spans="1:5">
      <c r="A327" s="399">
        <v>39542</v>
      </c>
      <c r="B327" s="393">
        <v>50150</v>
      </c>
      <c r="C327" s="394">
        <v>2906</v>
      </c>
      <c r="D327" s="397">
        <v>21000</v>
      </c>
      <c r="E327" s="400">
        <f>D327/10</f>
        <v>2100</v>
      </c>
    </row>
    <row r="328" spans="1:5">
      <c r="A328" s="399">
        <v>39545</v>
      </c>
      <c r="B328" s="393">
        <v>50475</v>
      </c>
      <c r="C328" s="394">
        <v>2955</v>
      </c>
      <c r="D328" s="397">
        <v>21100</v>
      </c>
      <c r="E328" s="400">
        <f t="shared" si="7"/>
        <v>2110</v>
      </c>
    </row>
    <row r="329" spans="1:5">
      <c r="A329" s="399">
        <v>39546</v>
      </c>
      <c r="B329" s="393">
        <v>50425</v>
      </c>
      <c r="C329" s="394">
        <v>2866</v>
      </c>
      <c r="D329" s="397">
        <v>21100</v>
      </c>
      <c r="E329" s="400">
        <f t="shared" si="7"/>
        <v>2110</v>
      </c>
    </row>
    <row r="330" spans="1:5">
      <c r="A330" s="399">
        <v>39547</v>
      </c>
      <c r="B330" s="393">
        <v>50725</v>
      </c>
      <c r="C330" s="394">
        <v>2895</v>
      </c>
      <c r="D330" s="397">
        <v>20900</v>
      </c>
      <c r="E330" s="400">
        <f t="shared" si="7"/>
        <v>2090</v>
      </c>
    </row>
    <row r="331" spans="1:5">
      <c r="A331" s="399">
        <v>39548</v>
      </c>
      <c r="B331" s="393">
        <v>50725</v>
      </c>
      <c r="C331" s="394">
        <v>2931</v>
      </c>
      <c r="D331" s="397">
        <v>20900</v>
      </c>
      <c r="E331" s="400">
        <f t="shared" si="7"/>
        <v>2090</v>
      </c>
    </row>
    <row r="332" spans="1:5">
      <c r="A332" s="399">
        <v>39549</v>
      </c>
      <c r="B332" s="393">
        <v>50725</v>
      </c>
      <c r="C332" s="394">
        <v>2948</v>
      </c>
      <c r="D332" s="397">
        <v>20800</v>
      </c>
      <c r="E332" s="400">
        <f t="shared" si="7"/>
        <v>2080</v>
      </c>
    </row>
    <row r="333" spans="1:5">
      <c r="A333" s="399">
        <v>39552</v>
      </c>
      <c r="B333" s="393">
        <v>50875</v>
      </c>
      <c r="C333" s="394">
        <v>2900</v>
      </c>
      <c r="D333" s="397">
        <v>20800</v>
      </c>
      <c r="E333" s="400">
        <f t="shared" si="7"/>
        <v>2080</v>
      </c>
    </row>
    <row r="334" spans="1:5">
      <c r="A334" s="399">
        <v>39553</v>
      </c>
      <c r="B334" s="393">
        <v>51150</v>
      </c>
      <c r="C334" s="394">
        <v>2891</v>
      </c>
      <c r="D334" s="397">
        <v>20600</v>
      </c>
      <c r="E334" s="400">
        <f t="shared" si="7"/>
        <v>2060</v>
      </c>
    </row>
    <row r="335" spans="1:5">
      <c r="A335" s="399">
        <v>39554</v>
      </c>
      <c r="B335" s="393">
        <v>52525</v>
      </c>
      <c r="C335" s="394">
        <v>2825</v>
      </c>
      <c r="D335" s="397">
        <v>20500</v>
      </c>
      <c r="E335" s="400">
        <f t="shared" si="7"/>
        <v>2050</v>
      </c>
    </row>
    <row r="336" spans="1:5">
      <c r="A336" s="399">
        <v>39555</v>
      </c>
      <c r="B336" s="393">
        <v>53200</v>
      </c>
      <c r="C336" s="394">
        <v>2841</v>
      </c>
      <c r="D336" s="397">
        <v>20500</v>
      </c>
      <c r="E336" s="400">
        <f t="shared" si="7"/>
        <v>2050</v>
      </c>
    </row>
    <row r="337" spans="1:5">
      <c r="A337" s="399">
        <v>39556</v>
      </c>
      <c r="B337" s="393">
        <v>53000</v>
      </c>
      <c r="C337" s="394">
        <v>2814.5</v>
      </c>
      <c r="D337" s="397">
        <v>20400</v>
      </c>
      <c r="E337" s="400">
        <f t="shared" si="7"/>
        <v>2040</v>
      </c>
    </row>
    <row r="338" spans="1:5">
      <c r="A338" s="399">
        <v>39559</v>
      </c>
      <c r="B338" s="393">
        <v>53125</v>
      </c>
      <c r="C338" s="394">
        <v>2805</v>
      </c>
      <c r="D338" s="397">
        <v>20400</v>
      </c>
      <c r="E338" s="400">
        <f t="shared" si="7"/>
        <v>2040</v>
      </c>
    </row>
    <row r="339" spans="1:5">
      <c r="A339" s="399">
        <v>39560</v>
      </c>
      <c r="B339" s="393">
        <v>52925</v>
      </c>
      <c r="C339" s="394">
        <v>2801</v>
      </c>
      <c r="D339" s="397">
        <v>20300</v>
      </c>
      <c r="E339" s="400">
        <f t="shared" si="7"/>
        <v>2030</v>
      </c>
    </row>
    <row r="340" spans="1:5">
      <c r="A340" s="399">
        <v>39561</v>
      </c>
      <c r="B340" s="393">
        <v>53650</v>
      </c>
      <c r="C340" s="394">
        <v>2760</v>
      </c>
      <c r="D340" s="397">
        <v>20300</v>
      </c>
      <c r="E340" s="400">
        <f t="shared" si="7"/>
        <v>2030</v>
      </c>
    </row>
    <row r="341" spans="1:5">
      <c r="A341" s="399">
        <v>39562</v>
      </c>
      <c r="B341" s="393">
        <v>54750</v>
      </c>
      <c r="C341" s="394">
        <v>2740.5</v>
      </c>
      <c r="D341" s="397">
        <v>20100</v>
      </c>
      <c r="E341" s="400">
        <f t="shared" si="7"/>
        <v>2010</v>
      </c>
    </row>
    <row r="342" spans="1:5">
      <c r="A342" s="399">
        <v>39563</v>
      </c>
      <c r="B342" s="393">
        <v>54850</v>
      </c>
      <c r="C342" s="394">
        <v>2725</v>
      </c>
      <c r="D342" s="397">
        <v>19900</v>
      </c>
      <c r="E342" s="400">
        <f t="shared" si="7"/>
        <v>1990</v>
      </c>
    </row>
    <row r="343" spans="1:5">
      <c r="A343" s="399">
        <v>39566</v>
      </c>
      <c r="B343" s="393">
        <v>55850</v>
      </c>
      <c r="C343" s="394">
        <v>2755</v>
      </c>
      <c r="D343" s="397">
        <v>19900</v>
      </c>
      <c r="E343" s="400">
        <f t="shared" si="7"/>
        <v>1990</v>
      </c>
    </row>
    <row r="344" spans="1:5">
      <c r="A344" s="399">
        <v>39567</v>
      </c>
      <c r="B344" s="393">
        <v>56150</v>
      </c>
      <c r="C344" s="394">
        <v>2720</v>
      </c>
      <c r="D344" s="397">
        <v>19600</v>
      </c>
      <c r="E344" s="400">
        <f t="shared" si="7"/>
        <v>1960</v>
      </c>
    </row>
    <row r="345" spans="1:5">
      <c r="A345" s="399">
        <v>39568</v>
      </c>
      <c r="B345" s="393">
        <v>56150</v>
      </c>
      <c r="C345" s="394">
        <v>2680.5</v>
      </c>
      <c r="D345" s="397">
        <v>19250</v>
      </c>
      <c r="E345" s="400">
        <f t="shared" si="7"/>
        <v>1925</v>
      </c>
    </row>
    <row r="346" spans="1:5">
      <c r="A346" s="399">
        <v>39569</v>
      </c>
      <c r="B346" s="393">
        <v>56850</v>
      </c>
      <c r="C346" s="394">
        <v>2650.5</v>
      </c>
      <c r="D346" s="397">
        <v>19250</v>
      </c>
      <c r="E346" s="400">
        <f>D346/10</f>
        <v>1925</v>
      </c>
    </row>
    <row r="347" spans="1:5">
      <c r="A347" s="399">
        <v>39570</v>
      </c>
      <c r="B347" s="393">
        <v>57575</v>
      </c>
      <c r="C347" s="394">
        <v>2530</v>
      </c>
      <c r="D347" s="397">
        <v>19250</v>
      </c>
      <c r="E347" s="400">
        <f>D347/10</f>
        <v>1925</v>
      </c>
    </row>
    <row r="348" spans="1:5">
      <c r="A348" s="399">
        <v>39573</v>
      </c>
      <c r="B348" s="393">
        <v>57575</v>
      </c>
      <c r="C348" s="394">
        <v>2530</v>
      </c>
      <c r="D348" s="397">
        <v>19100</v>
      </c>
      <c r="E348" s="400">
        <f t="shared" si="7"/>
        <v>1910</v>
      </c>
    </row>
    <row r="349" spans="1:5">
      <c r="A349" s="399">
        <v>39574</v>
      </c>
      <c r="B349" s="393">
        <v>58200</v>
      </c>
      <c r="C349" s="394">
        <v>2581</v>
      </c>
      <c r="D349" s="397">
        <v>18700</v>
      </c>
      <c r="E349" s="400">
        <f t="shared" si="7"/>
        <v>1870</v>
      </c>
    </row>
    <row r="350" spans="1:5">
      <c r="A350" s="399">
        <v>39575</v>
      </c>
      <c r="B350" s="393">
        <v>58825</v>
      </c>
      <c r="C350" s="394">
        <v>2481</v>
      </c>
      <c r="D350" s="397">
        <v>18600</v>
      </c>
      <c r="E350" s="400">
        <f t="shared" si="7"/>
        <v>1860</v>
      </c>
    </row>
    <row r="351" spans="1:5">
      <c r="A351" s="399">
        <v>39576</v>
      </c>
      <c r="B351" s="393">
        <v>58425</v>
      </c>
      <c r="C351" s="394">
        <v>2410.5</v>
      </c>
      <c r="D351" s="397">
        <v>17800</v>
      </c>
      <c r="E351" s="400">
        <f t="shared" si="7"/>
        <v>1780</v>
      </c>
    </row>
    <row r="352" spans="1:5">
      <c r="A352" s="399">
        <v>39577</v>
      </c>
      <c r="B352" s="393">
        <v>58600</v>
      </c>
      <c r="C352" s="394">
        <v>2285.5</v>
      </c>
      <c r="D352" s="397">
        <v>17300</v>
      </c>
      <c r="E352" s="400">
        <f t="shared" si="7"/>
        <v>1730</v>
      </c>
    </row>
    <row r="353" spans="1:5">
      <c r="A353" s="399">
        <v>39580</v>
      </c>
      <c r="B353" s="393">
        <v>58600</v>
      </c>
      <c r="C353" s="394">
        <v>2232</v>
      </c>
      <c r="D353" s="397">
        <v>17100</v>
      </c>
      <c r="E353" s="400">
        <f t="shared" si="7"/>
        <v>1710</v>
      </c>
    </row>
    <row r="354" spans="1:5">
      <c r="A354" s="399">
        <v>39581</v>
      </c>
      <c r="B354" s="393">
        <v>61075</v>
      </c>
      <c r="C354" s="394">
        <v>2283</v>
      </c>
      <c r="D354" s="397">
        <v>17200</v>
      </c>
      <c r="E354" s="400">
        <f t="shared" si="7"/>
        <v>1720</v>
      </c>
    </row>
    <row r="355" spans="1:5">
      <c r="A355" s="399">
        <v>39582</v>
      </c>
      <c r="B355" s="393">
        <v>61900</v>
      </c>
      <c r="C355" s="394">
        <v>2203</v>
      </c>
      <c r="D355" s="397">
        <v>17200</v>
      </c>
      <c r="E355" s="400">
        <f t="shared" si="7"/>
        <v>1720</v>
      </c>
    </row>
    <row r="356" spans="1:5">
      <c r="A356" s="399">
        <v>39583</v>
      </c>
      <c r="B356" s="393">
        <v>62150</v>
      </c>
      <c r="C356" s="394">
        <v>2246</v>
      </c>
      <c r="D356" s="397">
        <v>17200</v>
      </c>
      <c r="E356" s="400">
        <f t="shared" si="7"/>
        <v>1720</v>
      </c>
    </row>
    <row r="357" spans="1:5">
      <c r="A357" s="399">
        <v>39584</v>
      </c>
      <c r="B357" s="393">
        <v>63200</v>
      </c>
      <c r="C357" s="394">
        <v>2300.5</v>
      </c>
      <c r="D357" s="397">
        <v>17300</v>
      </c>
      <c r="E357" s="400">
        <f t="shared" si="7"/>
        <v>1730</v>
      </c>
    </row>
    <row r="358" spans="1:5">
      <c r="A358" s="399">
        <v>39587</v>
      </c>
      <c r="B358" s="393">
        <v>64350</v>
      </c>
      <c r="C358" s="394">
        <v>2262</v>
      </c>
      <c r="D358" s="397">
        <v>17400</v>
      </c>
      <c r="E358" s="400">
        <f t="shared" si="7"/>
        <v>1740</v>
      </c>
    </row>
    <row r="359" spans="1:5">
      <c r="A359" s="399">
        <v>39588</v>
      </c>
      <c r="B359" s="393">
        <v>64450</v>
      </c>
      <c r="C359" s="394">
        <v>2137</v>
      </c>
      <c r="D359" s="397">
        <v>17400</v>
      </c>
      <c r="E359" s="400">
        <f t="shared" si="7"/>
        <v>1740</v>
      </c>
    </row>
    <row r="360" spans="1:5">
      <c r="A360" s="399">
        <v>39589</v>
      </c>
      <c r="B360" s="393">
        <v>63850</v>
      </c>
      <c r="C360" s="394">
        <v>2133</v>
      </c>
      <c r="D360" s="397">
        <v>17400</v>
      </c>
      <c r="E360" s="400">
        <f t="shared" si="7"/>
        <v>1740</v>
      </c>
    </row>
    <row r="361" spans="1:5">
      <c r="A361" s="399">
        <v>39590</v>
      </c>
      <c r="B361" s="393">
        <v>63900</v>
      </c>
      <c r="C361" s="394">
        <v>2097.5</v>
      </c>
      <c r="D361" s="397">
        <v>17400</v>
      </c>
      <c r="E361" s="400">
        <f t="shared" si="7"/>
        <v>1740</v>
      </c>
    </row>
    <row r="362" spans="1:5">
      <c r="A362" s="399">
        <v>39591</v>
      </c>
      <c r="B362" s="393">
        <v>64000</v>
      </c>
      <c r="C362" s="394">
        <v>1998</v>
      </c>
      <c r="D362" s="397">
        <v>17300</v>
      </c>
      <c r="E362" s="400">
        <f t="shared" si="7"/>
        <v>1730</v>
      </c>
    </row>
    <row r="363" spans="1:5">
      <c r="A363" s="399">
        <v>39594</v>
      </c>
      <c r="B363" s="393">
        <v>64000</v>
      </c>
      <c r="C363" s="394">
        <v>1998</v>
      </c>
      <c r="D363" s="397">
        <v>17300</v>
      </c>
      <c r="E363" s="400">
        <f t="shared" si="7"/>
        <v>1730</v>
      </c>
    </row>
    <row r="364" spans="1:5">
      <c r="A364" s="399">
        <v>39595</v>
      </c>
      <c r="B364" s="393">
        <v>63600</v>
      </c>
      <c r="C364" s="394">
        <v>2011</v>
      </c>
      <c r="D364" s="397">
        <v>17300</v>
      </c>
      <c r="E364" s="400">
        <f t="shared" si="7"/>
        <v>1730</v>
      </c>
    </row>
    <row r="365" spans="1:5">
      <c r="A365" s="399">
        <v>39596</v>
      </c>
      <c r="B365" s="393">
        <v>63575</v>
      </c>
      <c r="C365" s="394">
        <v>1990</v>
      </c>
      <c r="D365" s="397">
        <v>17300</v>
      </c>
      <c r="E365" s="400">
        <f t="shared" si="7"/>
        <v>1730</v>
      </c>
    </row>
    <row r="366" spans="1:5">
      <c r="A366" s="399">
        <v>39597</v>
      </c>
      <c r="B366" s="393">
        <v>65125</v>
      </c>
      <c r="C366" s="394">
        <v>1921</v>
      </c>
      <c r="D366" s="397">
        <v>17300</v>
      </c>
      <c r="E366" s="400">
        <f t="shared" si="7"/>
        <v>1730</v>
      </c>
    </row>
    <row r="367" spans="1:5">
      <c r="A367" s="399">
        <v>39598</v>
      </c>
      <c r="B367" s="393">
        <v>65125</v>
      </c>
      <c r="C367" s="394">
        <v>1940</v>
      </c>
      <c r="D367" s="397">
        <v>17300</v>
      </c>
      <c r="E367" s="400">
        <f t="shared" si="7"/>
        <v>1730</v>
      </c>
    </row>
    <row r="368" spans="1:5">
      <c r="A368" s="399">
        <v>39601</v>
      </c>
      <c r="B368" s="393">
        <v>67300</v>
      </c>
      <c r="C368" s="394">
        <v>1960</v>
      </c>
      <c r="D368" s="397">
        <v>17300</v>
      </c>
      <c r="E368" s="400">
        <f t="shared" si="7"/>
        <v>1730</v>
      </c>
    </row>
    <row r="369" spans="1:5">
      <c r="A369" s="399">
        <v>39602</v>
      </c>
      <c r="B369" s="393">
        <v>68600</v>
      </c>
      <c r="C369" s="394">
        <v>2030.5</v>
      </c>
      <c r="D369" s="397">
        <v>17300</v>
      </c>
      <c r="E369" s="400">
        <f t="shared" si="7"/>
        <v>1730</v>
      </c>
    </row>
    <row r="370" spans="1:5">
      <c r="A370" s="399">
        <v>39603</v>
      </c>
      <c r="B370" s="393">
        <v>71525</v>
      </c>
      <c r="C370" s="394">
        <v>2003</v>
      </c>
      <c r="D370" s="397">
        <v>17400</v>
      </c>
      <c r="E370" s="400">
        <f t="shared" si="7"/>
        <v>1740</v>
      </c>
    </row>
    <row r="371" spans="1:5">
      <c r="A371" s="399">
        <v>39604</v>
      </c>
      <c r="B371" s="393">
        <v>72550</v>
      </c>
      <c r="C371" s="394">
        <v>1942</v>
      </c>
      <c r="D371" s="397">
        <v>17400</v>
      </c>
      <c r="E371" s="400">
        <f t="shared" si="7"/>
        <v>1740</v>
      </c>
    </row>
    <row r="372" spans="1:5">
      <c r="A372" s="399">
        <v>39605</v>
      </c>
      <c r="B372" s="393">
        <v>73525</v>
      </c>
      <c r="C372" s="394">
        <v>1935.5</v>
      </c>
      <c r="D372" s="397">
        <v>17350</v>
      </c>
      <c r="E372" s="400">
        <f t="shared" si="7"/>
        <v>1735</v>
      </c>
    </row>
    <row r="373" spans="1:5">
      <c r="A373" s="399">
        <v>39608</v>
      </c>
      <c r="B373" s="393">
        <v>72600</v>
      </c>
      <c r="C373" s="394">
        <v>1935</v>
      </c>
      <c r="D373" s="397">
        <v>17350</v>
      </c>
      <c r="E373" s="400">
        <f>D373/10</f>
        <v>1735</v>
      </c>
    </row>
    <row r="374" spans="1:5">
      <c r="A374" s="399">
        <v>39609</v>
      </c>
      <c r="B374" s="393">
        <v>72375</v>
      </c>
      <c r="C374" s="394">
        <v>1950</v>
      </c>
      <c r="D374" s="397">
        <v>17250</v>
      </c>
      <c r="E374" s="400">
        <f t="shared" si="7"/>
        <v>1725</v>
      </c>
    </row>
    <row r="375" spans="1:5">
      <c r="A375" s="399">
        <v>39610</v>
      </c>
      <c r="B375" s="393">
        <v>74475</v>
      </c>
      <c r="C375" s="394">
        <v>1901</v>
      </c>
      <c r="D375" s="397">
        <v>17250</v>
      </c>
      <c r="E375" s="400">
        <f t="shared" si="7"/>
        <v>1725</v>
      </c>
    </row>
    <row r="376" spans="1:5">
      <c r="A376" s="399">
        <v>39611</v>
      </c>
      <c r="B376" s="393">
        <v>74175</v>
      </c>
      <c r="C376" s="394">
        <v>1837</v>
      </c>
      <c r="D376" s="397">
        <v>17225</v>
      </c>
      <c r="E376" s="400">
        <f t="shared" si="7"/>
        <v>1722.5</v>
      </c>
    </row>
    <row r="377" spans="1:5">
      <c r="A377" s="399">
        <v>39612</v>
      </c>
      <c r="B377" s="393">
        <v>79300</v>
      </c>
      <c r="C377" s="394">
        <v>1800.5</v>
      </c>
      <c r="D377" s="397">
        <v>17100</v>
      </c>
      <c r="E377" s="400">
        <f t="shared" si="7"/>
        <v>1710</v>
      </c>
    </row>
    <row r="378" spans="1:5">
      <c r="A378" s="399">
        <v>39615</v>
      </c>
      <c r="B378" s="393">
        <v>79300</v>
      </c>
      <c r="C378" s="394">
        <v>1738</v>
      </c>
      <c r="D378" s="397">
        <v>17000</v>
      </c>
      <c r="E378" s="400">
        <f t="shared" si="7"/>
        <v>1700</v>
      </c>
    </row>
    <row r="379" spans="1:5">
      <c r="A379" s="399">
        <v>39616</v>
      </c>
      <c r="B379" s="393">
        <v>94875</v>
      </c>
      <c r="C379" s="394">
        <v>1802</v>
      </c>
      <c r="D379" s="397">
        <v>17000</v>
      </c>
      <c r="E379" s="400">
        <f t="shared" si="7"/>
        <v>1700</v>
      </c>
    </row>
    <row r="380" spans="1:5">
      <c r="A380" s="399">
        <v>39617</v>
      </c>
      <c r="B380" s="393">
        <v>96775</v>
      </c>
      <c r="C380" s="394">
        <v>1886</v>
      </c>
      <c r="D380" s="397">
        <v>17000</v>
      </c>
      <c r="E380" s="400">
        <f t="shared" si="7"/>
        <v>1700</v>
      </c>
    </row>
    <row r="381" spans="1:5">
      <c r="A381" s="399">
        <v>39618</v>
      </c>
      <c r="B381" s="393">
        <v>97225</v>
      </c>
      <c r="C381" s="394">
        <v>1806.5</v>
      </c>
      <c r="D381" s="397">
        <v>17050</v>
      </c>
      <c r="E381" s="400">
        <f t="shared" si="7"/>
        <v>1705</v>
      </c>
    </row>
    <row r="382" spans="1:5">
      <c r="A382" s="399">
        <v>39619</v>
      </c>
      <c r="B382" s="393">
        <v>96375</v>
      </c>
      <c r="C382" s="394">
        <v>1870</v>
      </c>
      <c r="D382" s="397">
        <v>16950</v>
      </c>
      <c r="E382" s="400">
        <f t="shared" si="7"/>
        <v>1695</v>
      </c>
    </row>
    <row r="383" spans="1:5">
      <c r="A383" s="399">
        <v>39622</v>
      </c>
      <c r="B383" s="393">
        <v>95650</v>
      </c>
      <c r="C383" s="394">
        <v>1821</v>
      </c>
      <c r="D383" s="397">
        <v>17000</v>
      </c>
      <c r="E383" s="400">
        <f t="shared" si="7"/>
        <v>1700</v>
      </c>
    </row>
    <row r="384" spans="1:5">
      <c r="A384" s="399">
        <v>39623</v>
      </c>
      <c r="B384" s="393">
        <v>96750</v>
      </c>
      <c r="C384" s="394">
        <v>1801</v>
      </c>
      <c r="D384" s="397">
        <v>17000</v>
      </c>
      <c r="E384" s="400">
        <f t="shared" si="7"/>
        <v>1700</v>
      </c>
    </row>
    <row r="385" spans="1:5">
      <c r="A385" s="399">
        <v>39624</v>
      </c>
      <c r="B385" s="393">
        <v>98675</v>
      </c>
      <c r="C385" s="394">
        <v>1773.5</v>
      </c>
      <c r="D385" s="397">
        <v>16950</v>
      </c>
      <c r="E385" s="400">
        <f t="shared" si="7"/>
        <v>1695</v>
      </c>
    </row>
    <row r="386" spans="1:5">
      <c r="A386" s="399">
        <v>39625</v>
      </c>
      <c r="B386" s="393">
        <v>99600</v>
      </c>
      <c r="C386" s="394">
        <v>1800</v>
      </c>
      <c r="D386" s="397">
        <v>16900</v>
      </c>
      <c r="E386" s="400">
        <f t="shared" si="7"/>
        <v>1690</v>
      </c>
    </row>
    <row r="387" spans="1:5">
      <c r="A387" s="399">
        <v>39626</v>
      </c>
      <c r="B387" s="393">
        <v>100825</v>
      </c>
      <c r="C387" s="394">
        <v>1796</v>
      </c>
      <c r="D387" s="397">
        <v>16900</v>
      </c>
      <c r="E387" s="400">
        <f t="shared" ref="E387:E450" si="8">D387/10</f>
        <v>1690</v>
      </c>
    </row>
    <row r="388" spans="1:5">
      <c r="A388" s="399">
        <v>39629</v>
      </c>
      <c r="B388" s="393">
        <v>101900</v>
      </c>
      <c r="C388" s="394">
        <v>1735.5</v>
      </c>
      <c r="D388" s="397">
        <v>16900</v>
      </c>
      <c r="E388" s="400">
        <f t="shared" si="8"/>
        <v>1690</v>
      </c>
    </row>
    <row r="389" spans="1:5">
      <c r="A389" s="399">
        <v>39630</v>
      </c>
      <c r="B389" s="393">
        <v>101350</v>
      </c>
      <c r="C389" s="394">
        <v>1761</v>
      </c>
      <c r="D389" s="397">
        <v>16800</v>
      </c>
      <c r="E389" s="400">
        <f t="shared" si="8"/>
        <v>1680</v>
      </c>
    </row>
    <row r="390" spans="1:5">
      <c r="A390" s="399">
        <v>39631</v>
      </c>
      <c r="B390" s="393">
        <v>100475</v>
      </c>
      <c r="C390" s="394">
        <v>1720</v>
      </c>
      <c r="D390" s="397">
        <v>16750</v>
      </c>
      <c r="E390" s="400">
        <f t="shared" si="8"/>
        <v>1675</v>
      </c>
    </row>
    <row r="391" spans="1:5">
      <c r="A391" s="399">
        <v>39632</v>
      </c>
      <c r="B391" s="393">
        <v>100500</v>
      </c>
      <c r="C391" s="394">
        <v>1621</v>
      </c>
      <c r="D391" s="397">
        <v>16600</v>
      </c>
      <c r="E391" s="400">
        <f t="shared" si="8"/>
        <v>1660</v>
      </c>
    </row>
    <row r="392" spans="1:5">
      <c r="A392" s="399">
        <v>39633</v>
      </c>
      <c r="B392" s="393">
        <v>100675</v>
      </c>
      <c r="C392" s="394">
        <v>1546.5</v>
      </c>
      <c r="D392" s="397">
        <v>16300</v>
      </c>
      <c r="E392" s="400">
        <f t="shared" si="8"/>
        <v>1630</v>
      </c>
    </row>
    <row r="393" spans="1:5">
      <c r="A393" s="399">
        <v>39636</v>
      </c>
      <c r="B393" s="393">
        <v>100975</v>
      </c>
      <c r="C393" s="394">
        <v>1564.5</v>
      </c>
      <c r="D393" s="397">
        <v>16000</v>
      </c>
      <c r="E393" s="400">
        <f t="shared" si="8"/>
        <v>1600</v>
      </c>
    </row>
    <row r="394" spans="1:5">
      <c r="A394" s="399">
        <v>39637</v>
      </c>
      <c r="B394" s="393">
        <v>100475</v>
      </c>
      <c r="C394" s="394">
        <v>1652</v>
      </c>
      <c r="D394" s="397">
        <v>16000</v>
      </c>
      <c r="E394" s="400">
        <f t="shared" si="8"/>
        <v>1600</v>
      </c>
    </row>
    <row r="395" spans="1:5">
      <c r="A395" s="399">
        <v>39638</v>
      </c>
      <c r="B395" s="393">
        <v>101850</v>
      </c>
      <c r="C395" s="394">
        <v>1707</v>
      </c>
      <c r="D395" s="397">
        <v>16000</v>
      </c>
      <c r="E395" s="400">
        <f t="shared" si="8"/>
        <v>1600</v>
      </c>
    </row>
    <row r="396" spans="1:5">
      <c r="A396" s="399">
        <v>39639</v>
      </c>
      <c r="B396" s="393">
        <v>101175</v>
      </c>
      <c r="C396" s="394">
        <v>1902</v>
      </c>
      <c r="D396" s="397">
        <v>16000</v>
      </c>
      <c r="E396" s="400">
        <f t="shared" si="8"/>
        <v>1600</v>
      </c>
    </row>
    <row r="397" spans="1:5">
      <c r="A397" s="399">
        <v>39640</v>
      </c>
      <c r="B397" s="393">
        <v>98950</v>
      </c>
      <c r="C397" s="394">
        <v>2005.5</v>
      </c>
      <c r="D397" s="397">
        <v>16300</v>
      </c>
      <c r="E397" s="400">
        <f t="shared" si="8"/>
        <v>1630</v>
      </c>
    </row>
    <row r="398" spans="1:5">
      <c r="A398" s="399">
        <v>39643</v>
      </c>
      <c r="B398" s="393">
        <v>95775</v>
      </c>
      <c r="C398" s="394">
        <v>1946</v>
      </c>
      <c r="D398" s="397">
        <v>16500</v>
      </c>
      <c r="E398" s="400">
        <f t="shared" si="8"/>
        <v>1650</v>
      </c>
    </row>
    <row r="399" spans="1:5">
      <c r="A399" s="399">
        <v>39644</v>
      </c>
      <c r="B399" s="393">
        <v>94900</v>
      </c>
      <c r="C399" s="394">
        <v>1968.5</v>
      </c>
      <c r="D399" s="397">
        <v>16700</v>
      </c>
      <c r="E399" s="400">
        <f t="shared" si="8"/>
        <v>1670</v>
      </c>
    </row>
    <row r="400" spans="1:5">
      <c r="A400" s="399">
        <v>39645</v>
      </c>
      <c r="B400" s="393">
        <v>93450</v>
      </c>
      <c r="C400" s="394">
        <v>1896</v>
      </c>
      <c r="D400" s="397">
        <v>16900</v>
      </c>
      <c r="E400" s="400">
        <f t="shared" si="8"/>
        <v>1690</v>
      </c>
    </row>
    <row r="401" spans="1:5">
      <c r="A401" s="399">
        <v>39646</v>
      </c>
      <c r="B401" s="393">
        <v>93875</v>
      </c>
      <c r="C401" s="394">
        <v>1941</v>
      </c>
      <c r="D401" s="397">
        <v>16900</v>
      </c>
      <c r="E401" s="400">
        <f t="shared" si="8"/>
        <v>1690</v>
      </c>
    </row>
    <row r="402" spans="1:5">
      <c r="A402" s="399">
        <v>39647</v>
      </c>
      <c r="B402" s="393">
        <v>92725</v>
      </c>
      <c r="C402" s="394">
        <v>1946</v>
      </c>
      <c r="D402" s="397">
        <v>17050</v>
      </c>
      <c r="E402" s="400">
        <f t="shared" si="8"/>
        <v>1705</v>
      </c>
    </row>
    <row r="403" spans="1:5">
      <c r="A403" s="399">
        <v>39650</v>
      </c>
      <c r="B403" s="393">
        <v>92025</v>
      </c>
      <c r="C403" s="394">
        <v>2035.5</v>
      </c>
      <c r="D403" s="397">
        <v>17200</v>
      </c>
      <c r="E403" s="400">
        <f t="shared" si="8"/>
        <v>1720</v>
      </c>
    </row>
    <row r="404" spans="1:5">
      <c r="A404" s="399">
        <v>39651</v>
      </c>
      <c r="B404" s="393">
        <v>91375</v>
      </c>
      <c r="C404" s="394">
        <v>2159.5</v>
      </c>
      <c r="D404" s="397">
        <v>17250</v>
      </c>
      <c r="E404" s="400">
        <f t="shared" si="8"/>
        <v>1725</v>
      </c>
    </row>
    <row r="405" spans="1:5">
      <c r="A405" s="399">
        <v>39652</v>
      </c>
      <c r="B405" s="393">
        <v>91225</v>
      </c>
      <c r="C405" s="394">
        <v>2134</v>
      </c>
      <c r="D405" s="397">
        <v>17600</v>
      </c>
      <c r="E405" s="400">
        <f t="shared" si="8"/>
        <v>1760</v>
      </c>
    </row>
    <row r="406" spans="1:5">
      <c r="A406" s="399">
        <v>39653</v>
      </c>
      <c r="B406" s="393">
        <v>91100</v>
      </c>
      <c r="C406" s="394">
        <v>2185</v>
      </c>
      <c r="D406" s="397">
        <v>18200</v>
      </c>
      <c r="E406" s="400">
        <f t="shared" si="8"/>
        <v>1820</v>
      </c>
    </row>
    <row r="407" spans="1:5">
      <c r="A407" s="399">
        <v>39654</v>
      </c>
      <c r="B407" s="393">
        <v>91250</v>
      </c>
      <c r="C407" s="394">
        <v>2145</v>
      </c>
      <c r="D407" s="397">
        <v>19300</v>
      </c>
      <c r="E407" s="400">
        <f t="shared" si="8"/>
        <v>1930</v>
      </c>
    </row>
    <row r="408" spans="1:5">
      <c r="A408" s="399">
        <v>39657</v>
      </c>
      <c r="B408" s="393">
        <v>90725</v>
      </c>
      <c r="C408" s="394">
        <v>2181</v>
      </c>
      <c r="D408" s="397">
        <v>19300</v>
      </c>
      <c r="E408" s="400">
        <f t="shared" si="8"/>
        <v>1930</v>
      </c>
    </row>
    <row r="409" spans="1:5">
      <c r="A409" s="399">
        <v>39658</v>
      </c>
      <c r="B409" s="393">
        <v>89275</v>
      </c>
      <c r="C409" s="394">
        <v>2245</v>
      </c>
      <c r="D409" s="397">
        <v>19500</v>
      </c>
      <c r="E409" s="400">
        <f t="shared" si="8"/>
        <v>1950</v>
      </c>
    </row>
    <row r="410" spans="1:5">
      <c r="A410" s="399">
        <v>39659</v>
      </c>
      <c r="B410" s="393">
        <v>90725</v>
      </c>
      <c r="C410" s="394">
        <v>2241</v>
      </c>
      <c r="D410" s="397">
        <v>19600</v>
      </c>
      <c r="E410" s="400">
        <f t="shared" si="8"/>
        <v>1960</v>
      </c>
    </row>
    <row r="411" spans="1:5">
      <c r="A411" s="399">
        <v>39660</v>
      </c>
      <c r="B411" s="393">
        <v>91000</v>
      </c>
      <c r="C411" s="394">
        <v>2230</v>
      </c>
      <c r="D411" s="397">
        <v>19400</v>
      </c>
      <c r="E411" s="400">
        <f t="shared" si="8"/>
        <v>1940</v>
      </c>
    </row>
    <row r="412" spans="1:5">
      <c r="A412" s="399">
        <v>39661</v>
      </c>
      <c r="B412" s="393">
        <v>92250</v>
      </c>
      <c r="C412" s="394">
        <v>2160</v>
      </c>
      <c r="D412" s="397">
        <v>19400</v>
      </c>
      <c r="E412" s="400">
        <f t="shared" si="8"/>
        <v>1940</v>
      </c>
    </row>
    <row r="413" spans="1:5">
      <c r="A413" s="399">
        <v>39664</v>
      </c>
      <c r="B413" s="393">
        <v>93400</v>
      </c>
      <c r="C413" s="394">
        <v>2090</v>
      </c>
      <c r="D413" s="397">
        <v>19200</v>
      </c>
      <c r="E413" s="400">
        <f t="shared" si="8"/>
        <v>1920</v>
      </c>
    </row>
    <row r="414" spans="1:5">
      <c r="A414" s="399">
        <v>39665</v>
      </c>
      <c r="B414" s="393">
        <v>93325</v>
      </c>
      <c r="C414" s="394">
        <v>2016</v>
      </c>
      <c r="D414" s="397">
        <v>18800</v>
      </c>
      <c r="E414" s="400">
        <f t="shared" si="8"/>
        <v>1880</v>
      </c>
    </row>
    <row r="415" spans="1:5">
      <c r="A415" s="399">
        <v>39666</v>
      </c>
      <c r="B415" s="393">
        <v>93075</v>
      </c>
      <c r="C415" s="394">
        <v>2111</v>
      </c>
      <c r="D415" s="397">
        <v>18100</v>
      </c>
      <c r="E415" s="400">
        <f t="shared" si="8"/>
        <v>1810</v>
      </c>
    </row>
    <row r="416" spans="1:5">
      <c r="A416" s="399">
        <v>39667</v>
      </c>
      <c r="B416" s="393">
        <v>91575</v>
      </c>
      <c r="C416" s="394">
        <v>2119</v>
      </c>
      <c r="D416" s="397">
        <v>18100</v>
      </c>
      <c r="E416" s="400">
        <f t="shared" si="8"/>
        <v>1810</v>
      </c>
    </row>
    <row r="417" spans="1:5">
      <c r="A417" s="399">
        <v>39668</v>
      </c>
      <c r="B417" s="393">
        <v>91650</v>
      </c>
      <c r="C417" s="394">
        <v>2005</v>
      </c>
      <c r="D417" s="397">
        <v>18300</v>
      </c>
      <c r="E417" s="400">
        <f t="shared" si="8"/>
        <v>1830</v>
      </c>
    </row>
    <row r="418" spans="1:5">
      <c r="A418" s="399">
        <v>39671</v>
      </c>
      <c r="B418" s="393">
        <v>91000</v>
      </c>
      <c r="C418" s="394">
        <v>1961</v>
      </c>
      <c r="D418" s="397">
        <v>17900</v>
      </c>
      <c r="E418" s="400">
        <f t="shared" si="8"/>
        <v>1790</v>
      </c>
    </row>
    <row r="419" spans="1:5">
      <c r="A419" s="399">
        <v>39672</v>
      </c>
      <c r="B419" s="393">
        <v>90500</v>
      </c>
      <c r="C419" s="394">
        <v>1893</v>
      </c>
      <c r="D419" s="397">
        <v>17400</v>
      </c>
      <c r="E419" s="400">
        <f t="shared" si="8"/>
        <v>1740</v>
      </c>
    </row>
    <row r="420" spans="1:5">
      <c r="A420" s="399">
        <v>39673</v>
      </c>
      <c r="B420" s="393">
        <v>89875</v>
      </c>
      <c r="C420" s="394">
        <v>1707.5</v>
      </c>
      <c r="D420" s="397">
        <v>16900</v>
      </c>
      <c r="E420" s="400">
        <f t="shared" si="8"/>
        <v>1690</v>
      </c>
    </row>
    <row r="421" spans="1:5">
      <c r="A421" s="399">
        <v>39674</v>
      </c>
      <c r="B421" s="393">
        <v>89525</v>
      </c>
      <c r="C421" s="394">
        <v>1775</v>
      </c>
      <c r="D421" s="397">
        <v>16600</v>
      </c>
      <c r="E421" s="400">
        <f t="shared" si="8"/>
        <v>1660</v>
      </c>
    </row>
    <row r="422" spans="1:5">
      <c r="A422" s="399">
        <v>39675</v>
      </c>
      <c r="B422" s="393">
        <v>89650</v>
      </c>
      <c r="C422" s="394">
        <v>1695</v>
      </c>
      <c r="D422" s="397">
        <v>16500</v>
      </c>
      <c r="E422" s="400">
        <f t="shared" si="8"/>
        <v>1650</v>
      </c>
    </row>
    <row r="423" spans="1:5">
      <c r="A423" s="399">
        <v>39678</v>
      </c>
      <c r="B423" s="393">
        <v>89650</v>
      </c>
      <c r="C423" s="394">
        <v>1724</v>
      </c>
      <c r="D423" s="397">
        <v>16600</v>
      </c>
      <c r="E423" s="400">
        <f t="shared" si="8"/>
        <v>1660</v>
      </c>
    </row>
    <row r="424" spans="1:5">
      <c r="A424" s="399">
        <v>39679</v>
      </c>
      <c r="B424" s="393">
        <v>89750</v>
      </c>
      <c r="C424" s="394">
        <v>1780</v>
      </c>
      <c r="D424" s="397">
        <v>17700</v>
      </c>
      <c r="E424" s="400">
        <f t="shared" si="8"/>
        <v>1770</v>
      </c>
    </row>
    <row r="425" spans="1:5">
      <c r="A425" s="399">
        <v>39680</v>
      </c>
      <c r="B425" s="393">
        <v>90050</v>
      </c>
      <c r="C425" s="394">
        <v>1819</v>
      </c>
      <c r="D425" s="397">
        <v>18100</v>
      </c>
      <c r="E425" s="400">
        <f t="shared" si="8"/>
        <v>1810</v>
      </c>
    </row>
    <row r="426" spans="1:5">
      <c r="A426" s="399">
        <v>39681</v>
      </c>
      <c r="B426" s="393">
        <v>91375</v>
      </c>
      <c r="C426" s="394">
        <v>1895</v>
      </c>
      <c r="D426" s="397">
        <v>19000</v>
      </c>
      <c r="E426" s="400">
        <f t="shared" si="8"/>
        <v>1900</v>
      </c>
    </row>
    <row r="427" spans="1:5">
      <c r="A427" s="399">
        <v>39682</v>
      </c>
      <c r="B427" s="393">
        <v>88050</v>
      </c>
      <c r="C427" s="394">
        <v>1880</v>
      </c>
      <c r="D427" s="397">
        <v>19300</v>
      </c>
      <c r="E427" s="400">
        <f t="shared" si="8"/>
        <v>1930</v>
      </c>
    </row>
    <row r="428" spans="1:5">
      <c r="A428" s="399">
        <v>39685</v>
      </c>
      <c r="B428" s="393">
        <v>88050</v>
      </c>
      <c r="C428" s="394">
        <v>1880</v>
      </c>
      <c r="D428" s="397">
        <v>19100</v>
      </c>
      <c r="E428" s="400">
        <f t="shared" si="8"/>
        <v>1910</v>
      </c>
    </row>
    <row r="429" spans="1:5">
      <c r="A429" s="399">
        <v>39686</v>
      </c>
      <c r="B429" s="393">
        <v>86425</v>
      </c>
      <c r="C429" s="394">
        <v>1855</v>
      </c>
      <c r="D429" s="397">
        <v>18600</v>
      </c>
      <c r="E429" s="400">
        <f t="shared" si="8"/>
        <v>1860</v>
      </c>
    </row>
    <row r="430" spans="1:5">
      <c r="A430" s="399">
        <v>39687</v>
      </c>
      <c r="B430" s="393">
        <v>83375</v>
      </c>
      <c r="C430" s="394">
        <v>1916</v>
      </c>
      <c r="D430" s="397">
        <v>18200</v>
      </c>
      <c r="E430" s="400">
        <f t="shared" si="8"/>
        <v>1820</v>
      </c>
    </row>
    <row r="431" spans="1:5">
      <c r="A431" s="399">
        <v>39688</v>
      </c>
      <c r="B431" s="393">
        <v>83500</v>
      </c>
      <c r="C431" s="394">
        <v>2111</v>
      </c>
      <c r="D431" s="397">
        <v>18500</v>
      </c>
      <c r="E431" s="400">
        <f t="shared" si="8"/>
        <v>1850</v>
      </c>
    </row>
    <row r="432" spans="1:5">
      <c r="A432" s="399">
        <v>39689</v>
      </c>
      <c r="B432" s="393">
        <v>81875</v>
      </c>
      <c r="C432" s="394">
        <v>1959</v>
      </c>
      <c r="D432" s="397">
        <v>18600</v>
      </c>
      <c r="E432" s="400">
        <f t="shared" si="8"/>
        <v>1860</v>
      </c>
    </row>
    <row r="433" spans="1:5">
      <c r="A433" s="399">
        <v>39692</v>
      </c>
      <c r="B433" s="393">
        <v>80575</v>
      </c>
      <c r="C433" s="394">
        <v>1951</v>
      </c>
      <c r="D433" s="397">
        <v>18200</v>
      </c>
      <c r="E433" s="400">
        <f t="shared" si="8"/>
        <v>1820</v>
      </c>
    </row>
    <row r="434" spans="1:5">
      <c r="A434" s="399">
        <v>39693</v>
      </c>
      <c r="B434" s="393">
        <v>79850</v>
      </c>
      <c r="C434" s="394">
        <v>1875</v>
      </c>
      <c r="D434" s="397">
        <v>18100</v>
      </c>
      <c r="E434" s="400">
        <f t="shared" si="8"/>
        <v>1810</v>
      </c>
    </row>
    <row r="435" spans="1:5">
      <c r="A435" s="399">
        <v>39694</v>
      </c>
      <c r="B435" s="393">
        <v>79150</v>
      </c>
      <c r="C435" s="394">
        <v>1920</v>
      </c>
      <c r="D435" s="397">
        <v>18800</v>
      </c>
      <c r="E435" s="400">
        <f t="shared" si="8"/>
        <v>1880</v>
      </c>
    </row>
    <row r="436" spans="1:5">
      <c r="A436" s="399">
        <v>39695</v>
      </c>
      <c r="B436" s="393">
        <v>78700</v>
      </c>
      <c r="C436" s="394">
        <v>1975</v>
      </c>
      <c r="D436" s="397">
        <v>18050</v>
      </c>
      <c r="E436" s="400">
        <f t="shared" si="8"/>
        <v>1805</v>
      </c>
    </row>
    <row r="437" spans="1:5">
      <c r="A437" s="399">
        <v>39696</v>
      </c>
      <c r="B437" s="393">
        <v>78175</v>
      </c>
      <c r="C437" s="394">
        <v>1806</v>
      </c>
      <c r="D437" s="397">
        <v>18000</v>
      </c>
      <c r="E437" s="400">
        <f t="shared" si="8"/>
        <v>1800</v>
      </c>
    </row>
    <row r="438" spans="1:5">
      <c r="A438" s="399">
        <v>39699</v>
      </c>
      <c r="B438" s="393">
        <v>78450</v>
      </c>
      <c r="C438" s="394">
        <v>1850</v>
      </c>
      <c r="D438" s="397">
        <v>17750</v>
      </c>
      <c r="E438" s="400">
        <f t="shared" si="8"/>
        <v>1775</v>
      </c>
    </row>
    <row r="439" spans="1:5">
      <c r="A439" s="399">
        <v>39700</v>
      </c>
      <c r="B439" s="393">
        <v>76775</v>
      </c>
      <c r="C439" s="394">
        <v>1805</v>
      </c>
      <c r="D439" s="397">
        <v>17800</v>
      </c>
      <c r="E439" s="400">
        <f t="shared" si="8"/>
        <v>1780</v>
      </c>
    </row>
    <row r="440" spans="1:5">
      <c r="A440" s="399">
        <v>39701</v>
      </c>
      <c r="B440" s="393">
        <v>75925</v>
      </c>
      <c r="C440" s="394">
        <v>1788</v>
      </c>
      <c r="D440" s="397">
        <v>17700</v>
      </c>
      <c r="E440" s="400">
        <f t="shared" si="8"/>
        <v>1770</v>
      </c>
    </row>
    <row r="441" spans="1:5">
      <c r="A441" s="399">
        <v>39702</v>
      </c>
      <c r="B441" s="393">
        <v>75550</v>
      </c>
      <c r="C441" s="394">
        <v>1806</v>
      </c>
      <c r="D441" s="397">
        <v>17700</v>
      </c>
      <c r="E441" s="400">
        <f t="shared" si="8"/>
        <v>1770</v>
      </c>
    </row>
    <row r="442" spans="1:5">
      <c r="A442" s="399">
        <v>39703</v>
      </c>
      <c r="B442" s="393">
        <v>75075</v>
      </c>
      <c r="C442" s="394">
        <v>1885</v>
      </c>
      <c r="D442" s="397">
        <v>17800</v>
      </c>
      <c r="E442" s="400">
        <f t="shared" si="8"/>
        <v>1780</v>
      </c>
    </row>
    <row r="443" spans="1:5">
      <c r="A443" s="399">
        <v>39706</v>
      </c>
      <c r="B443" s="393">
        <v>73575</v>
      </c>
      <c r="C443" s="394">
        <v>1803.5</v>
      </c>
      <c r="D443" s="397">
        <v>17800</v>
      </c>
      <c r="E443" s="400">
        <f>D443/10</f>
        <v>1780</v>
      </c>
    </row>
    <row r="444" spans="1:5">
      <c r="A444" s="399">
        <v>39707</v>
      </c>
      <c r="B444" s="393">
        <v>73100</v>
      </c>
      <c r="C444" s="394">
        <v>1784</v>
      </c>
      <c r="D444" s="397">
        <v>17800</v>
      </c>
      <c r="E444" s="400">
        <f t="shared" si="8"/>
        <v>1780</v>
      </c>
    </row>
    <row r="445" spans="1:5">
      <c r="A445" s="399">
        <v>39708</v>
      </c>
      <c r="B445" s="393">
        <v>71925</v>
      </c>
      <c r="C445" s="394">
        <v>1813</v>
      </c>
      <c r="D445" s="397">
        <v>17550</v>
      </c>
      <c r="E445" s="400">
        <f t="shared" si="8"/>
        <v>1755</v>
      </c>
    </row>
    <row r="446" spans="1:5">
      <c r="A446" s="399">
        <v>39709</v>
      </c>
      <c r="B446" s="393">
        <v>70525</v>
      </c>
      <c r="C446" s="394">
        <v>1805</v>
      </c>
      <c r="D446" s="397">
        <v>17550</v>
      </c>
      <c r="E446" s="400">
        <f t="shared" si="8"/>
        <v>1755</v>
      </c>
    </row>
    <row r="447" spans="1:5">
      <c r="A447" s="399">
        <v>39710</v>
      </c>
      <c r="B447" s="393">
        <v>69175</v>
      </c>
      <c r="C447" s="394">
        <v>1832.5</v>
      </c>
      <c r="D447" s="397">
        <v>17550</v>
      </c>
      <c r="E447" s="400">
        <f t="shared" si="8"/>
        <v>1755</v>
      </c>
    </row>
    <row r="448" spans="1:5">
      <c r="A448" s="399">
        <v>39713</v>
      </c>
      <c r="B448" s="393">
        <v>69700</v>
      </c>
      <c r="C448" s="394">
        <v>1921</v>
      </c>
      <c r="D448" s="397">
        <v>17700</v>
      </c>
      <c r="E448" s="400">
        <f t="shared" si="8"/>
        <v>1770</v>
      </c>
    </row>
    <row r="449" spans="1:5">
      <c r="A449" s="399">
        <v>39714</v>
      </c>
      <c r="B449" s="393">
        <v>68400</v>
      </c>
      <c r="C449" s="394">
        <v>1920.5</v>
      </c>
      <c r="D449" s="397">
        <v>18000</v>
      </c>
      <c r="E449" s="400">
        <f t="shared" si="8"/>
        <v>1800</v>
      </c>
    </row>
    <row r="450" spans="1:5">
      <c r="A450" s="399">
        <v>39715</v>
      </c>
      <c r="B450" s="393">
        <v>67575</v>
      </c>
      <c r="C450" s="394">
        <v>2001</v>
      </c>
      <c r="D450" s="397">
        <v>17800</v>
      </c>
      <c r="E450" s="400">
        <f t="shared" si="8"/>
        <v>1780</v>
      </c>
    </row>
    <row r="451" spans="1:5">
      <c r="A451" s="399">
        <v>39716</v>
      </c>
      <c r="B451" s="393">
        <v>66575</v>
      </c>
      <c r="C451" s="394">
        <v>1946</v>
      </c>
      <c r="D451" s="397">
        <v>17750</v>
      </c>
      <c r="E451" s="400">
        <f t="shared" ref="E451:E514" si="9">D451/10</f>
        <v>1775</v>
      </c>
    </row>
    <row r="452" spans="1:5">
      <c r="A452" s="399">
        <v>39717</v>
      </c>
      <c r="B452" s="393">
        <v>65700</v>
      </c>
      <c r="C452" s="394">
        <v>1980</v>
      </c>
      <c r="D452" s="397">
        <v>17750</v>
      </c>
      <c r="E452" s="400">
        <f t="shared" si="9"/>
        <v>1775</v>
      </c>
    </row>
    <row r="453" spans="1:5">
      <c r="A453" s="399">
        <v>39720</v>
      </c>
      <c r="B453" s="393">
        <v>64525</v>
      </c>
      <c r="C453" s="394">
        <v>1835.5</v>
      </c>
      <c r="D453" s="397">
        <v>17750</v>
      </c>
      <c r="E453" s="400">
        <f>D453/10</f>
        <v>1775</v>
      </c>
    </row>
    <row r="454" spans="1:5">
      <c r="A454" s="399">
        <v>39721</v>
      </c>
      <c r="B454" s="393">
        <v>64250</v>
      </c>
      <c r="C454" s="394">
        <v>1801</v>
      </c>
      <c r="D454" s="397">
        <v>17750</v>
      </c>
      <c r="E454" s="400">
        <f>D454/10</f>
        <v>1775</v>
      </c>
    </row>
    <row r="455" spans="1:5">
      <c r="A455" s="399">
        <v>39722</v>
      </c>
      <c r="B455" s="393">
        <v>64100</v>
      </c>
      <c r="C455" s="394">
        <v>1806</v>
      </c>
      <c r="D455" s="397">
        <v>17750</v>
      </c>
      <c r="E455" s="400">
        <f>D455/10</f>
        <v>1775</v>
      </c>
    </row>
    <row r="456" spans="1:5">
      <c r="A456" s="399">
        <v>39723</v>
      </c>
      <c r="B456" s="393">
        <v>64700</v>
      </c>
      <c r="C456" s="394">
        <v>1740</v>
      </c>
      <c r="D456" s="397">
        <v>17750</v>
      </c>
      <c r="E456" s="400">
        <f>D456/10</f>
        <v>1775</v>
      </c>
    </row>
    <row r="457" spans="1:5">
      <c r="A457" s="399">
        <v>39724</v>
      </c>
      <c r="B457" s="393">
        <v>64800</v>
      </c>
      <c r="C457" s="394">
        <v>1681</v>
      </c>
      <c r="D457" s="397">
        <v>17750</v>
      </c>
      <c r="E457" s="400">
        <f>D457/10</f>
        <v>1775</v>
      </c>
    </row>
    <row r="458" spans="1:5">
      <c r="A458" s="399">
        <v>39725</v>
      </c>
      <c r="B458" s="393">
        <v>65050</v>
      </c>
      <c r="C458" s="394">
        <v>1615</v>
      </c>
      <c r="D458" s="397">
        <v>17000</v>
      </c>
      <c r="E458" s="400">
        <f t="shared" si="9"/>
        <v>1700</v>
      </c>
    </row>
    <row r="459" spans="1:5">
      <c r="A459" s="399">
        <v>39728</v>
      </c>
      <c r="B459" s="393">
        <v>65050</v>
      </c>
      <c r="C459" s="394">
        <v>1650.5</v>
      </c>
      <c r="D459" s="397">
        <v>16600</v>
      </c>
      <c r="E459" s="400">
        <f t="shared" si="9"/>
        <v>1660</v>
      </c>
    </row>
    <row r="460" spans="1:5">
      <c r="A460" s="399">
        <v>39729</v>
      </c>
      <c r="B460" s="393">
        <v>64025</v>
      </c>
      <c r="C460" s="394">
        <v>1605</v>
      </c>
      <c r="D460" s="397">
        <v>16600</v>
      </c>
      <c r="E460" s="400">
        <f t="shared" si="9"/>
        <v>1660</v>
      </c>
    </row>
    <row r="461" spans="1:5">
      <c r="A461" s="399">
        <v>39730</v>
      </c>
      <c r="B461" s="393">
        <v>63175</v>
      </c>
      <c r="C461" s="394">
        <v>1605</v>
      </c>
      <c r="D461" s="397">
        <v>16300</v>
      </c>
      <c r="E461" s="400">
        <f t="shared" si="9"/>
        <v>1630</v>
      </c>
    </row>
    <row r="462" spans="1:5">
      <c r="A462" s="399">
        <v>39731</v>
      </c>
      <c r="B462" s="393">
        <v>63000</v>
      </c>
      <c r="C462" s="394">
        <v>1484</v>
      </c>
      <c r="D462" s="397">
        <v>16000</v>
      </c>
      <c r="E462" s="400">
        <f t="shared" si="9"/>
        <v>1600</v>
      </c>
    </row>
    <row r="463" spans="1:5">
      <c r="A463" s="399">
        <v>39734</v>
      </c>
      <c r="B463" s="393">
        <v>62450</v>
      </c>
      <c r="C463" s="394">
        <v>1518</v>
      </c>
      <c r="D463" s="397">
        <v>15400</v>
      </c>
      <c r="E463" s="400">
        <f t="shared" si="9"/>
        <v>1540</v>
      </c>
    </row>
    <row r="464" spans="1:5">
      <c r="A464" s="399">
        <v>39735</v>
      </c>
      <c r="B464" s="393">
        <v>62300</v>
      </c>
      <c r="C464" s="394">
        <v>1615</v>
      </c>
      <c r="D464" s="397">
        <v>15500</v>
      </c>
      <c r="E464" s="400">
        <f t="shared" si="9"/>
        <v>1550</v>
      </c>
    </row>
    <row r="465" spans="1:5">
      <c r="A465" s="399">
        <v>39736</v>
      </c>
      <c r="B465" s="393">
        <v>61725</v>
      </c>
      <c r="C465" s="394">
        <v>1512</v>
      </c>
      <c r="D465" s="397">
        <v>15500</v>
      </c>
      <c r="E465" s="400">
        <f t="shared" si="9"/>
        <v>1550</v>
      </c>
    </row>
    <row r="466" spans="1:5">
      <c r="A466" s="399">
        <v>39737</v>
      </c>
      <c r="B466" s="393">
        <v>61075</v>
      </c>
      <c r="C466" s="394">
        <v>1440</v>
      </c>
      <c r="D466" s="397">
        <v>15100</v>
      </c>
      <c r="E466" s="400">
        <f t="shared" si="9"/>
        <v>1510</v>
      </c>
    </row>
    <row r="467" spans="1:5">
      <c r="A467" s="399">
        <v>39738</v>
      </c>
      <c r="B467" s="393">
        <v>59425</v>
      </c>
      <c r="C467" s="394">
        <v>1326</v>
      </c>
      <c r="D467" s="397">
        <v>14500</v>
      </c>
      <c r="E467" s="400">
        <f t="shared" si="9"/>
        <v>1450</v>
      </c>
    </row>
    <row r="468" spans="1:5">
      <c r="A468" s="399">
        <v>39741</v>
      </c>
      <c r="B468" s="393">
        <v>58475</v>
      </c>
      <c r="C468" s="394">
        <v>1407</v>
      </c>
      <c r="D468" s="397">
        <v>14000</v>
      </c>
      <c r="E468" s="400">
        <f t="shared" si="9"/>
        <v>1400</v>
      </c>
    </row>
    <row r="469" spans="1:5">
      <c r="A469" s="399">
        <v>39742</v>
      </c>
      <c r="B469" s="393">
        <v>57400</v>
      </c>
      <c r="C469" s="394">
        <v>1336</v>
      </c>
      <c r="D469" s="397">
        <v>13300</v>
      </c>
      <c r="E469" s="400">
        <f t="shared" si="9"/>
        <v>1330</v>
      </c>
    </row>
    <row r="470" spans="1:5">
      <c r="A470" s="399">
        <v>39743</v>
      </c>
      <c r="B470" s="393">
        <v>55950</v>
      </c>
      <c r="C470" s="394">
        <v>1240</v>
      </c>
      <c r="D470" s="397">
        <v>12650</v>
      </c>
      <c r="E470" s="400">
        <f t="shared" si="9"/>
        <v>1265</v>
      </c>
    </row>
    <row r="471" spans="1:5">
      <c r="A471" s="399">
        <v>39744</v>
      </c>
      <c r="B471" s="393">
        <v>55200</v>
      </c>
      <c r="C471" s="394">
        <v>1150.5</v>
      </c>
      <c r="D471" s="397">
        <v>10650</v>
      </c>
      <c r="E471" s="400">
        <f t="shared" si="9"/>
        <v>1065</v>
      </c>
    </row>
    <row r="472" spans="1:5">
      <c r="A472" s="399">
        <v>39745</v>
      </c>
      <c r="B472" s="393">
        <v>54450</v>
      </c>
      <c r="C472" s="394">
        <v>1140</v>
      </c>
      <c r="D472" s="397">
        <v>10650</v>
      </c>
      <c r="E472" s="400">
        <f t="shared" si="9"/>
        <v>1065</v>
      </c>
    </row>
    <row r="473" spans="1:5">
      <c r="A473" s="399">
        <v>39748</v>
      </c>
      <c r="B473" s="393">
        <v>53375</v>
      </c>
      <c r="C473" s="394">
        <v>1206</v>
      </c>
      <c r="D473" s="397">
        <v>10600</v>
      </c>
      <c r="E473" s="400">
        <f t="shared" si="9"/>
        <v>1060</v>
      </c>
    </row>
    <row r="474" spans="1:5">
      <c r="A474" s="399">
        <v>39749</v>
      </c>
      <c r="B474" s="393">
        <v>52250</v>
      </c>
      <c r="C474" s="394">
        <v>1445</v>
      </c>
      <c r="D474" s="397">
        <v>11000</v>
      </c>
      <c r="E474" s="400">
        <f t="shared" si="9"/>
        <v>1100</v>
      </c>
    </row>
    <row r="475" spans="1:5">
      <c r="A475" s="399">
        <v>39750</v>
      </c>
      <c r="B475" s="393">
        <v>51275</v>
      </c>
      <c r="C475" s="394">
        <v>1531</v>
      </c>
      <c r="D475" s="397">
        <v>11000</v>
      </c>
      <c r="E475" s="400">
        <f t="shared" si="9"/>
        <v>1100</v>
      </c>
    </row>
    <row r="476" spans="1:5">
      <c r="A476" s="399">
        <v>39751</v>
      </c>
      <c r="B476" s="393">
        <v>50000</v>
      </c>
      <c r="C476" s="394">
        <v>1520.5</v>
      </c>
      <c r="D476" s="397">
        <v>11400</v>
      </c>
      <c r="E476" s="400">
        <f t="shared" si="9"/>
        <v>1140</v>
      </c>
    </row>
    <row r="477" spans="1:5">
      <c r="A477" s="399">
        <v>39752</v>
      </c>
      <c r="B477" s="393">
        <v>48575</v>
      </c>
      <c r="C477" s="394">
        <v>1469</v>
      </c>
      <c r="D477" s="397">
        <v>11000</v>
      </c>
      <c r="E477" s="400">
        <f t="shared" si="9"/>
        <v>1100</v>
      </c>
    </row>
    <row r="478" spans="1:5">
      <c r="A478" s="399">
        <v>39755</v>
      </c>
      <c r="B478" s="393">
        <v>48150</v>
      </c>
      <c r="C478" s="394">
        <v>1455</v>
      </c>
      <c r="D478" s="397">
        <v>11000</v>
      </c>
      <c r="E478" s="400">
        <f t="shared" si="9"/>
        <v>1100</v>
      </c>
    </row>
    <row r="479" spans="1:5">
      <c r="A479" s="399">
        <v>39756</v>
      </c>
      <c r="B479" s="393">
        <v>47800</v>
      </c>
      <c r="C479" s="394">
        <v>1521</v>
      </c>
      <c r="D479" s="397">
        <v>11000</v>
      </c>
      <c r="E479" s="400">
        <f t="shared" si="9"/>
        <v>1100</v>
      </c>
    </row>
    <row r="480" spans="1:5">
      <c r="A480" s="399">
        <v>39757</v>
      </c>
      <c r="B480" s="393">
        <v>46325</v>
      </c>
      <c r="C480" s="394">
        <v>1478</v>
      </c>
      <c r="D480" s="397">
        <v>10700</v>
      </c>
      <c r="E480" s="400">
        <f t="shared" si="9"/>
        <v>1070</v>
      </c>
    </row>
    <row r="481" spans="1:5">
      <c r="A481" s="399">
        <v>39758</v>
      </c>
      <c r="B481" s="393">
        <v>45700</v>
      </c>
      <c r="C481" s="394">
        <v>1470</v>
      </c>
      <c r="D481" s="397">
        <v>10600</v>
      </c>
      <c r="E481" s="400">
        <f t="shared" si="9"/>
        <v>1060</v>
      </c>
    </row>
    <row r="482" spans="1:5">
      <c r="A482" s="399">
        <v>39759</v>
      </c>
      <c r="B482" s="393">
        <v>44625</v>
      </c>
      <c r="C482" s="394">
        <v>1446</v>
      </c>
      <c r="D482" s="397">
        <v>10300</v>
      </c>
      <c r="E482" s="400">
        <f t="shared" si="9"/>
        <v>1030</v>
      </c>
    </row>
    <row r="483" spans="1:5">
      <c r="A483" s="399">
        <v>39762</v>
      </c>
      <c r="B483" s="393">
        <v>44275</v>
      </c>
      <c r="C483" s="394">
        <v>1411</v>
      </c>
      <c r="D483" s="397">
        <v>10100</v>
      </c>
      <c r="E483" s="400">
        <f t="shared" si="9"/>
        <v>1010</v>
      </c>
    </row>
    <row r="484" spans="1:5">
      <c r="A484" s="399">
        <v>39763</v>
      </c>
      <c r="B484" s="393">
        <v>44850</v>
      </c>
      <c r="C484" s="394">
        <v>1285</v>
      </c>
      <c r="D484" s="397">
        <v>10100</v>
      </c>
      <c r="E484" s="400">
        <f t="shared" si="9"/>
        <v>1010</v>
      </c>
    </row>
    <row r="485" spans="1:5">
      <c r="A485" s="399">
        <v>39764</v>
      </c>
      <c r="B485" s="393">
        <v>44800</v>
      </c>
      <c r="C485" s="394">
        <v>1257</v>
      </c>
      <c r="D485" s="397">
        <v>9900</v>
      </c>
      <c r="E485" s="400">
        <f t="shared" si="9"/>
        <v>990</v>
      </c>
    </row>
    <row r="486" spans="1:5">
      <c r="A486" s="399">
        <v>39765</v>
      </c>
      <c r="B486" s="393">
        <v>44725</v>
      </c>
      <c r="C486" s="394">
        <v>1302</v>
      </c>
      <c r="D486" s="397">
        <v>9400</v>
      </c>
      <c r="E486" s="400">
        <f t="shared" si="9"/>
        <v>940</v>
      </c>
    </row>
    <row r="487" spans="1:5">
      <c r="A487" s="399">
        <v>39766</v>
      </c>
      <c r="B487" s="393">
        <v>44225</v>
      </c>
      <c r="C487" s="394">
        <v>1349</v>
      </c>
      <c r="D487" s="397">
        <v>9400</v>
      </c>
      <c r="E487" s="400">
        <f t="shared" si="9"/>
        <v>940</v>
      </c>
    </row>
    <row r="488" spans="1:5">
      <c r="A488" s="399">
        <v>39769</v>
      </c>
      <c r="B488" s="393">
        <v>43950</v>
      </c>
      <c r="C488" s="394">
        <v>1258</v>
      </c>
      <c r="D488" s="397">
        <v>9300</v>
      </c>
      <c r="E488" s="400">
        <f t="shared" si="9"/>
        <v>930</v>
      </c>
    </row>
    <row r="489" spans="1:5">
      <c r="A489" s="399">
        <v>39770</v>
      </c>
      <c r="B489" s="393">
        <v>42475</v>
      </c>
      <c r="C489" s="394">
        <v>1245</v>
      </c>
      <c r="D489" s="397">
        <v>9200</v>
      </c>
      <c r="E489" s="400">
        <f t="shared" si="9"/>
        <v>920</v>
      </c>
    </row>
    <row r="490" spans="1:5">
      <c r="A490" s="399">
        <v>39771</v>
      </c>
      <c r="B490" s="393">
        <v>42075</v>
      </c>
      <c r="C490" s="394">
        <v>1240</v>
      </c>
      <c r="D490" s="397">
        <v>9100</v>
      </c>
      <c r="E490" s="400">
        <f t="shared" si="9"/>
        <v>910</v>
      </c>
    </row>
    <row r="491" spans="1:5">
      <c r="A491" s="399">
        <v>39772</v>
      </c>
      <c r="B491" s="393">
        <v>41475</v>
      </c>
      <c r="C491" s="394">
        <v>1171</v>
      </c>
      <c r="D491" s="397">
        <v>9050</v>
      </c>
      <c r="E491" s="400">
        <f t="shared" si="9"/>
        <v>905</v>
      </c>
    </row>
    <row r="492" spans="1:5">
      <c r="A492" s="399">
        <v>39773</v>
      </c>
      <c r="B492" s="393">
        <v>41450</v>
      </c>
      <c r="C492" s="394">
        <v>1217</v>
      </c>
      <c r="D492" s="397">
        <v>8700</v>
      </c>
      <c r="E492" s="400">
        <f t="shared" si="9"/>
        <v>870</v>
      </c>
    </row>
    <row r="493" spans="1:5">
      <c r="A493" s="399">
        <v>39776</v>
      </c>
      <c r="B493" s="393">
        <v>41300</v>
      </c>
      <c r="C493" s="394">
        <v>1189</v>
      </c>
      <c r="D493" s="397">
        <v>8400</v>
      </c>
      <c r="E493" s="400">
        <f t="shared" si="9"/>
        <v>840</v>
      </c>
    </row>
    <row r="494" spans="1:5">
      <c r="A494" s="399">
        <v>39777</v>
      </c>
      <c r="B494" s="393">
        <v>41075</v>
      </c>
      <c r="C494" s="394">
        <v>1186</v>
      </c>
      <c r="D494" s="397">
        <v>8400</v>
      </c>
      <c r="E494" s="400">
        <f t="shared" si="9"/>
        <v>840</v>
      </c>
    </row>
    <row r="495" spans="1:5">
      <c r="A495" s="399">
        <v>39778</v>
      </c>
      <c r="B495" s="393">
        <v>40950</v>
      </c>
      <c r="C495" s="394">
        <v>1176</v>
      </c>
      <c r="D495" s="397">
        <v>8300</v>
      </c>
      <c r="E495" s="400">
        <f t="shared" si="9"/>
        <v>830</v>
      </c>
    </row>
    <row r="496" spans="1:5">
      <c r="A496" s="399">
        <v>39779</v>
      </c>
      <c r="B496" s="393">
        <v>41200</v>
      </c>
      <c r="C496" s="394">
        <v>1086</v>
      </c>
      <c r="D496" s="397">
        <v>8200</v>
      </c>
      <c r="E496" s="400">
        <f t="shared" si="9"/>
        <v>820</v>
      </c>
    </row>
    <row r="497" spans="1:5">
      <c r="A497" s="399">
        <v>39780</v>
      </c>
      <c r="B497" s="393">
        <v>41600</v>
      </c>
      <c r="C497" s="394">
        <v>1080</v>
      </c>
      <c r="D497" s="397">
        <v>8200</v>
      </c>
      <c r="E497" s="400">
        <f t="shared" si="9"/>
        <v>820</v>
      </c>
    </row>
    <row r="498" spans="1:5">
      <c r="A498" s="399">
        <v>39783</v>
      </c>
      <c r="B498" s="393">
        <v>41600</v>
      </c>
      <c r="C498" s="394">
        <v>1083</v>
      </c>
      <c r="D498" s="397">
        <v>8200</v>
      </c>
      <c r="E498" s="400">
        <f t="shared" si="9"/>
        <v>820</v>
      </c>
    </row>
    <row r="499" spans="1:5">
      <c r="A499" s="399">
        <v>39784</v>
      </c>
      <c r="B499" s="393">
        <v>41850</v>
      </c>
      <c r="C499" s="394">
        <v>1060</v>
      </c>
      <c r="D499" s="397">
        <v>8400</v>
      </c>
      <c r="E499" s="400">
        <f t="shared" si="9"/>
        <v>840</v>
      </c>
    </row>
    <row r="500" spans="1:5">
      <c r="A500" s="399">
        <v>39785</v>
      </c>
      <c r="B500" s="393">
        <v>42975</v>
      </c>
      <c r="C500" s="394">
        <v>1003</v>
      </c>
      <c r="D500" s="397">
        <v>8700</v>
      </c>
      <c r="E500" s="400">
        <f t="shared" si="9"/>
        <v>870</v>
      </c>
    </row>
    <row r="501" spans="1:5">
      <c r="A501" s="399">
        <v>39786</v>
      </c>
      <c r="B501" s="393">
        <v>42800</v>
      </c>
      <c r="C501" s="394">
        <v>1000</v>
      </c>
      <c r="D501" s="397">
        <v>8700</v>
      </c>
      <c r="E501" s="400">
        <f t="shared" si="9"/>
        <v>870</v>
      </c>
    </row>
    <row r="502" spans="1:5">
      <c r="A502" s="399">
        <v>39787</v>
      </c>
      <c r="B502" s="393">
        <v>43125</v>
      </c>
      <c r="C502" s="394">
        <v>915</v>
      </c>
      <c r="D502" s="397">
        <v>8600</v>
      </c>
      <c r="E502" s="400">
        <f t="shared" si="9"/>
        <v>860</v>
      </c>
    </row>
    <row r="503" spans="1:5">
      <c r="A503" s="399">
        <v>39790</v>
      </c>
      <c r="B503" s="393">
        <v>43475</v>
      </c>
      <c r="C503" s="394">
        <v>936</v>
      </c>
      <c r="D503" s="397">
        <v>8900</v>
      </c>
      <c r="E503" s="400">
        <f t="shared" si="9"/>
        <v>890</v>
      </c>
    </row>
    <row r="504" spans="1:5">
      <c r="A504" s="399">
        <v>39791</v>
      </c>
      <c r="B504" s="393">
        <v>43350</v>
      </c>
      <c r="C504" s="394">
        <v>968</v>
      </c>
      <c r="D504" s="397">
        <v>9400</v>
      </c>
      <c r="E504" s="400">
        <f t="shared" si="9"/>
        <v>940</v>
      </c>
    </row>
    <row r="505" spans="1:5">
      <c r="A505" s="399">
        <v>39792</v>
      </c>
      <c r="B505" s="393">
        <v>43825</v>
      </c>
      <c r="C505" s="394">
        <v>970.5</v>
      </c>
      <c r="D505" s="397">
        <v>9800</v>
      </c>
      <c r="E505" s="400">
        <f t="shared" si="9"/>
        <v>980</v>
      </c>
    </row>
    <row r="506" spans="1:5">
      <c r="A506" s="399">
        <v>39793</v>
      </c>
      <c r="B506" s="393">
        <v>44050</v>
      </c>
      <c r="C506" s="394">
        <v>1031</v>
      </c>
      <c r="D506" s="397">
        <v>10900</v>
      </c>
      <c r="E506" s="400">
        <f t="shared" si="9"/>
        <v>1090</v>
      </c>
    </row>
    <row r="507" spans="1:5">
      <c r="A507" s="399">
        <v>39794</v>
      </c>
      <c r="B507" s="393">
        <v>43850</v>
      </c>
      <c r="C507" s="394">
        <v>982</v>
      </c>
      <c r="D507" s="397">
        <v>10900</v>
      </c>
      <c r="E507" s="400">
        <f t="shared" si="9"/>
        <v>1090</v>
      </c>
    </row>
    <row r="508" spans="1:5">
      <c r="A508" s="399">
        <v>39797</v>
      </c>
      <c r="B508" s="393">
        <v>43975</v>
      </c>
      <c r="C508" s="394">
        <v>1016</v>
      </c>
      <c r="D508" s="397">
        <v>10900</v>
      </c>
      <c r="E508" s="400">
        <f t="shared" si="9"/>
        <v>1090</v>
      </c>
    </row>
    <row r="509" spans="1:5">
      <c r="A509" s="399">
        <v>39798</v>
      </c>
      <c r="B509" s="393">
        <v>44100</v>
      </c>
      <c r="C509" s="394">
        <v>980</v>
      </c>
      <c r="D509" s="397">
        <v>10600</v>
      </c>
      <c r="E509" s="400">
        <f t="shared" si="9"/>
        <v>1060</v>
      </c>
    </row>
    <row r="510" spans="1:5">
      <c r="A510" s="399">
        <v>39799</v>
      </c>
      <c r="B510" s="393">
        <v>43975</v>
      </c>
      <c r="C510" s="394">
        <v>967</v>
      </c>
      <c r="D510" s="397">
        <v>10100</v>
      </c>
      <c r="E510" s="400">
        <f t="shared" si="9"/>
        <v>1010</v>
      </c>
    </row>
    <row r="511" spans="1:5">
      <c r="A511" s="399">
        <v>39800</v>
      </c>
      <c r="B511" s="393">
        <v>43850</v>
      </c>
      <c r="C511" s="394">
        <v>945.5</v>
      </c>
      <c r="D511" s="397">
        <v>9600</v>
      </c>
      <c r="E511" s="400">
        <f t="shared" si="9"/>
        <v>960</v>
      </c>
    </row>
    <row r="512" spans="1:5">
      <c r="A512" s="399">
        <v>39801</v>
      </c>
      <c r="B512" s="393">
        <v>44025</v>
      </c>
      <c r="C512" s="394">
        <v>882</v>
      </c>
      <c r="D512" s="397">
        <v>9400</v>
      </c>
      <c r="E512" s="400">
        <f t="shared" si="9"/>
        <v>940</v>
      </c>
    </row>
    <row r="513" spans="1:5">
      <c r="A513" s="399">
        <v>39804</v>
      </c>
      <c r="B513" s="393">
        <v>44150</v>
      </c>
      <c r="C513" s="394">
        <v>880</v>
      </c>
      <c r="D513" s="397">
        <v>9400</v>
      </c>
      <c r="E513" s="400">
        <f t="shared" si="9"/>
        <v>940</v>
      </c>
    </row>
    <row r="514" spans="1:5">
      <c r="A514" s="399">
        <v>39805</v>
      </c>
      <c r="B514" s="393">
        <v>44525</v>
      </c>
      <c r="C514" s="394">
        <v>907</v>
      </c>
      <c r="D514" s="397">
        <v>10100</v>
      </c>
      <c r="E514" s="400">
        <f t="shared" si="9"/>
        <v>1010</v>
      </c>
    </row>
    <row r="515" spans="1:5">
      <c r="A515" s="399">
        <v>39806</v>
      </c>
      <c r="B515" s="393">
        <v>44575</v>
      </c>
      <c r="C515" s="394">
        <v>900</v>
      </c>
      <c r="D515" s="397">
        <v>10400</v>
      </c>
      <c r="E515" s="400">
        <f t="shared" ref="E515:E578" si="10">D515/10</f>
        <v>1040</v>
      </c>
    </row>
    <row r="516" spans="1:5">
      <c r="A516" s="399">
        <v>39807</v>
      </c>
      <c r="B516" s="393">
        <v>44575</v>
      </c>
      <c r="C516" s="394">
        <v>900</v>
      </c>
      <c r="D516" s="397">
        <v>10500</v>
      </c>
      <c r="E516" s="400">
        <f t="shared" si="10"/>
        <v>1050</v>
      </c>
    </row>
    <row r="517" spans="1:5">
      <c r="A517" s="399">
        <v>39808</v>
      </c>
      <c r="B517" s="393">
        <v>44575</v>
      </c>
      <c r="C517" s="394">
        <v>900</v>
      </c>
      <c r="D517" s="397">
        <v>10300</v>
      </c>
      <c r="E517" s="400">
        <f t="shared" si="10"/>
        <v>1030</v>
      </c>
    </row>
    <row r="518" spans="1:5">
      <c r="A518" s="399">
        <v>39811</v>
      </c>
      <c r="B518" s="393">
        <v>44975</v>
      </c>
      <c r="C518" s="394">
        <v>900.5</v>
      </c>
      <c r="D518" s="397">
        <v>10100</v>
      </c>
      <c r="E518" s="400">
        <f t="shared" si="10"/>
        <v>1010</v>
      </c>
    </row>
    <row r="519" spans="1:5">
      <c r="A519" s="399">
        <v>39812</v>
      </c>
      <c r="B519" s="393">
        <v>45350</v>
      </c>
      <c r="C519" s="394">
        <v>945</v>
      </c>
      <c r="D519" s="397">
        <v>10100</v>
      </c>
      <c r="E519" s="400">
        <f t="shared" si="10"/>
        <v>1010</v>
      </c>
    </row>
    <row r="520" spans="1:5">
      <c r="A520" s="399">
        <v>39813</v>
      </c>
      <c r="B520" s="393">
        <v>45150</v>
      </c>
      <c r="C520" s="394">
        <v>949</v>
      </c>
      <c r="D520" s="397">
        <v>10400</v>
      </c>
      <c r="E520" s="400">
        <f t="shared" si="10"/>
        <v>1040</v>
      </c>
    </row>
    <row r="521" spans="1:5">
      <c r="A521" s="399">
        <v>39815</v>
      </c>
      <c r="B521" s="393">
        <v>45150</v>
      </c>
      <c r="C521" s="394">
        <v>1040.5</v>
      </c>
      <c r="D521" s="397">
        <v>10400</v>
      </c>
      <c r="E521" s="400">
        <f>D521/10</f>
        <v>1040</v>
      </c>
    </row>
    <row r="522" spans="1:5">
      <c r="A522" s="399">
        <v>39818</v>
      </c>
      <c r="B522" s="393">
        <v>45150</v>
      </c>
      <c r="C522" s="394">
        <v>1079.5</v>
      </c>
      <c r="D522" s="397">
        <v>11400</v>
      </c>
      <c r="E522" s="400">
        <f t="shared" si="10"/>
        <v>1140</v>
      </c>
    </row>
    <row r="523" spans="1:5">
      <c r="A523" s="399">
        <v>39819</v>
      </c>
      <c r="B523" s="393">
        <v>44775</v>
      </c>
      <c r="C523" s="394">
        <v>1165</v>
      </c>
      <c r="D523" s="397">
        <v>12000</v>
      </c>
      <c r="E523" s="400">
        <f t="shared" si="10"/>
        <v>1200</v>
      </c>
    </row>
    <row r="524" spans="1:5">
      <c r="A524" s="399">
        <v>39820</v>
      </c>
      <c r="B524" s="393">
        <v>44450</v>
      </c>
      <c r="C524" s="394">
        <v>1177</v>
      </c>
      <c r="D524" s="397">
        <v>12400</v>
      </c>
      <c r="E524" s="400">
        <f t="shared" si="10"/>
        <v>1240</v>
      </c>
    </row>
    <row r="525" spans="1:5">
      <c r="A525" s="399">
        <v>39821</v>
      </c>
      <c r="B525" s="393">
        <v>44600</v>
      </c>
      <c r="C525" s="394">
        <v>1145.5</v>
      </c>
      <c r="D525" s="397">
        <v>12100</v>
      </c>
      <c r="E525" s="400">
        <f t="shared" si="10"/>
        <v>1210</v>
      </c>
    </row>
    <row r="526" spans="1:5">
      <c r="A526" s="399">
        <v>39822</v>
      </c>
      <c r="B526" s="393">
        <v>45025</v>
      </c>
      <c r="C526" s="394">
        <v>1185</v>
      </c>
      <c r="D526" s="397">
        <v>12000</v>
      </c>
      <c r="E526" s="400">
        <f t="shared" si="10"/>
        <v>1200</v>
      </c>
    </row>
    <row r="527" spans="1:5">
      <c r="A527" s="399">
        <v>39825</v>
      </c>
      <c r="B527" s="393">
        <v>45275</v>
      </c>
      <c r="C527" s="394">
        <v>1150</v>
      </c>
      <c r="D527" s="397">
        <v>12000</v>
      </c>
      <c r="E527" s="400">
        <f t="shared" si="10"/>
        <v>1200</v>
      </c>
    </row>
    <row r="528" spans="1:5">
      <c r="A528" s="399">
        <v>39826</v>
      </c>
      <c r="B528" s="393">
        <v>45850</v>
      </c>
      <c r="C528" s="394">
        <v>1080</v>
      </c>
      <c r="D528" s="397">
        <v>12100</v>
      </c>
      <c r="E528" s="400">
        <f t="shared" si="10"/>
        <v>1210</v>
      </c>
    </row>
    <row r="529" spans="1:5">
      <c r="A529" s="399">
        <v>39827</v>
      </c>
      <c r="B529" s="393">
        <v>46150</v>
      </c>
      <c r="C529" s="394">
        <v>1136</v>
      </c>
      <c r="D529" s="397">
        <v>12400</v>
      </c>
      <c r="E529" s="400">
        <f t="shared" si="10"/>
        <v>1240</v>
      </c>
    </row>
    <row r="530" spans="1:5">
      <c r="A530" s="399">
        <v>39828</v>
      </c>
      <c r="B530" s="393">
        <v>45950</v>
      </c>
      <c r="C530" s="394">
        <v>1130</v>
      </c>
      <c r="D530" s="397">
        <v>12500</v>
      </c>
      <c r="E530" s="400">
        <f t="shared" si="10"/>
        <v>1250</v>
      </c>
    </row>
    <row r="531" spans="1:5">
      <c r="A531" s="399">
        <v>39829</v>
      </c>
      <c r="B531" s="393">
        <v>45800</v>
      </c>
      <c r="C531" s="394">
        <v>1162</v>
      </c>
      <c r="D531" s="397">
        <v>12500</v>
      </c>
      <c r="E531" s="400">
        <f t="shared" si="10"/>
        <v>1250</v>
      </c>
    </row>
    <row r="532" spans="1:5">
      <c r="A532" s="399">
        <v>39832</v>
      </c>
      <c r="B532" s="393">
        <v>45525</v>
      </c>
      <c r="C532" s="394">
        <v>1131</v>
      </c>
      <c r="D532" s="397">
        <v>12700</v>
      </c>
      <c r="E532" s="400">
        <f t="shared" si="10"/>
        <v>1270</v>
      </c>
    </row>
    <row r="533" spans="1:5">
      <c r="A533" s="399">
        <v>39833</v>
      </c>
      <c r="B533" s="393">
        <v>49700</v>
      </c>
      <c r="C533" s="394">
        <v>1145</v>
      </c>
      <c r="D533" s="397">
        <v>12700</v>
      </c>
      <c r="E533" s="400">
        <f t="shared" si="10"/>
        <v>1270</v>
      </c>
    </row>
    <row r="534" spans="1:5">
      <c r="A534" s="399">
        <v>39834</v>
      </c>
      <c r="B534" s="393">
        <v>49625</v>
      </c>
      <c r="C534" s="394">
        <v>1120.5</v>
      </c>
      <c r="D534" s="397">
        <v>12800</v>
      </c>
      <c r="E534" s="400">
        <f t="shared" si="10"/>
        <v>1280</v>
      </c>
    </row>
    <row r="535" spans="1:5">
      <c r="A535" s="399">
        <v>39835</v>
      </c>
      <c r="B535" s="393">
        <v>49950</v>
      </c>
      <c r="C535" s="394">
        <v>1105.5</v>
      </c>
      <c r="D535" s="397">
        <v>12800</v>
      </c>
      <c r="E535" s="400">
        <f t="shared" si="10"/>
        <v>1280</v>
      </c>
    </row>
    <row r="536" spans="1:5">
      <c r="A536" s="399">
        <v>39836</v>
      </c>
      <c r="B536" s="393">
        <v>50475</v>
      </c>
      <c r="C536" s="394">
        <v>1075</v>
      </c>
      <c r="D536" s="397">
        <v>12800</v>
      </c>
      <c r="E536" s="400">
        <f t="shared" si="10"/>
        <v>1280</v>
      </c>
    </row>
    <row r="537" spans="1:5">
      <c r="A537" s="399">
        <v>39839</v>
      </c>
      <c r="B537" s="393">
        <v>50425</v>
      </c>
      <c r="C537" s="394">
        <v>1153</v>
      </c>
      <c r="D537" s="397">
        <v>12800</v>
      </c>
      <c r="E537" s="400">
        <f>D537/10</f>
        <v>1280</v>
      </c>
    </row>
    <row r="538" spans="1:5">
      <c r="A538" s="399">
        <v>39840</v>
      </c>
      <c r="B538" s="393">
        <v>52125</v>
      </c>
      <c r="C538" s="394">
        <v>1150</v>
      </c>
      <c r="D538" s="397">
        <v>12800</v>
      </c>
      <c r="E538" s="400">
        <f>D538/10</f>
        <v>1280</v>
      </c>
    </row>
    <row r="539" spans="1:5">
      <c r="A539" s="399">
        <v>39841</v>
      </c>
      <c r="B539" s="393">
        <v>52175</v>
      </c>
      <c r="C539" s="394">
        <v>1160</v>
      </c>
      <c r="D539" s="397">
        <v>12800</v>
      </c>
      <c r="E539" s="400">
        <f>D539/10</f>
        <v>1280</v>
      </c>
    </row>
    <row r="540" spans="1:5">
      <c r="A540" s="399">
        <v>39842</v>
      </c>
      <c r="B540" s="393">
        <v>52525</v>
      </c>
      <c r="C540" s="394">
        <v>1145</v>
      </c>
      <c r="D540" s="397">
        <v>12800</v>
      </c>
      <c r="E540" s="400">
        <f>D540/10</f>
        <v>1280</v>
      </c>
    </row>
    <row r="541" spans="1:5">
      <c r="A541" s="399">
        <v>39843</v>
      </c>
      <c r="B541" s="393">
        <v>52750</v>
      </c>
      <c r="C541" s="394">
        <v>1152</v>
      </c>
      <c r="D541" s="397">
        <v>12800</v>
      </c>
      <c r="E541" s="400">
        <f>D541/10</f>
        <v>1280</v>
      </c>
    </row>
    <row r="542" spans="1:5">
      <c r="A542" s="399">
        <v>39846</v>
      </c>
      <c r="B542" s="393">
        <v>53700</v>
      </c>
      <c r="C542" s="394">
        <v>1115.5</v>
      </c>
      <c r="D542" s="397">
        <v>12900</v>
      </c>
      <c r="E542" s="400">
        <f t="shared" si="10"/>
        <v>1290</v>
      </c>
    </row>
    <row r="543" spans="1:5">
      <c r="A543" s="399">
        <v>39847</v>
      </c>
      <c r="B543" s="393">
        <v>54050</v>
      </c>
      <c r="C543" s="394">
        <v>1114</v>
      </c>
      <c r="D543" s="397">
        <v>12800</v>
      </c>
      <c r="E543" s="400">
        <f t="shared" si="10"/>
        <v>1280</v>
      </c>
    </row>
    <row r="544" spans="1:5">
      <c r="A544" s="399">
        <v>39848</v>
      </c>
      <c r="B544" s="393">
        <v>54100</v>
      </c>
      <c r="C544" s="394">
        <v>1195</v>
      </c>
      <c r="D544" s="397">
        <v>12900</v>
      </c>
      <c r="E544" s="400">
        <f t="shared" si="10"/>
        <v>1290</v>
      </c>
    </row>
    <row r="545" spans="1:5">
      <c r="A545" s="399">
        <v>39849</v>
      </c>
      <c r="B545" s="393">
        <v>55000</v>
      </c>
      <c r="C545" s="394">
        <v>1165</v>
      </c>
      <c r="D545" s="397">
        <v>12800</v>
      </c>
      <c r="E545" s="400">
        <f t="shared" si="10"/>
        <v>1280</v>
      </c>
    </row>
    <row r="546" spans="1:5">
      <c r="A546" s="399">
        <v>39850</v>
      </c>
      <c r="B546" s="393">
        <v>55225</v>
      </c>
      <c r="C546" s="394">
        <v>1165</v>
      </c>
      <c r="D546" s="397">
        <v>12800</v>
      </c>
      <c r="E546" s="400">
        <f t="shared" si="10"/>
        <v>1280</v>
      </c>
    </row>
    <row r="547" spans="1:5">
      <c r="A547" s="399">
        <v>39853</v>
      </c>
      <c r="B547" s="393">
        <v>55000</v>
      </c>
      <c r="C547" s="394">
        <v>1180</v>
      </c>
      <c r="D547" s="397">
        <v>12800</v>
      </c>
      <c r="E547" s="400">
        <f t="shared" si="10"/>
        <v>1280</v>
      </c>
    </row>
    <row r="548" spans="1:5">
      <c r="A548" s="399">
        <v>39854</v>
      </c>
      <c r="B548" s="393">
        <v>54900</v>
      </c>
      <c r="C548" s="394">
        <v>1152</v>
      </c>
      <c r="D548" s="397">
        <v>12800</v>
      </c>
      <c r="E548" s="400">
        <f t="shared" si="10"/>
        <v>1280</v>
      </c>
    </row>
    <row r="549" spans="1:5">
      <c r="A549" s="399">
        <v>39855</v>
      </c>
      <c r="B549" s="393">
        <v>54850</v>
      </c>
      <c r="C549" s="394">
        <v>1145</v>
      </c>
      <c r="D549" s="397">
        <v>12700</v>
      </c>
      <c r="E549" s="400">
        <f t="shared" si="10"/>
        <v>1270</v>
      </c>
    </row>
    <row r="550" spans="1:5">
      <c r="A550" s="399">
        <v>39856</v>
      </c>
      <c r="B550" s="393">
        <v>55575</v>
      </c>
      <c r="C550" s="394">
        <v>1135</v>
      </c>
      <c r="D550" s="397">
        <v>12500</v>
      </c>
      <c r="E550" s="400">
        <f t="shared" si="10"/>
        <v>1250</v>
      </c>
    </row>
    <row r="551" spans="1:5">
      <c r="A551" s="399">
        <v>39857</v>
      </c>
      <c r="B551" s="393">
        <v>56175</v>
      </c>
      <c r="C551" s="394">
        <v>1145</v>
      </c>
      <c r="D551" s="397">
        <v>12200</v>
      </c>
      <c r="E551" s="400">
        <f t="shared" si="10"/>
        <v>1220</v>
      </c>
    </row>
    <row r="552" spans="1:5">
      <c r="A552" s="399">
        <v>39860</v>
      </c>
      <c r="B552" s="393">
        <v>56125</v>
      </c>
      <c r="C552" s="394">
        <v>1135.5</v>
      </c>
      <c r="D552" s="397">
        <v>12000</v>
      </c>
      <c r="E552" s="400">
        <f t="shared" si="10"/>
        <v>1200</v>
      </c>
    </row>
    <row r="553" spans="1:5">
      <c r="A553" s="399">
        <v>39861</v>
      </c>
      <c r="B553" s="393">
        <v>55925</v>
      </c>
      <c r="C553" s="394">
        <v>1102.5</v>
      </c>
      <c r="D553" s="397">
        <v>11550</v>
      </c>
      <c r="E553" s="400">
        <f t="shared" si="10"/>
        <v>1155</v>
      </c>
    </row>
    <row r="554" spans="1:5">
      <c r="A554" s="399">
        <v>39862</v>
      </c>
      <c r="B554" s="393">
        <v>55800</v>
      </c>
      <c r="C554" s="394">
        <v>1060</v>
      </c>
      <c r="D554" s="397">
        <v>11300</v>
      </c>
      <c r="E554" s="400">
        <f t="shared" si="10"/>
        <v>1130</v>
      </c>
    </row>
    <row r="555" spans="1:5">
      <c r="A555" s="399">
        <v>39863</v>
      </c>
      <c r="B555" s="393">
        <v>55650</v>
      </c>
      <c r="C555" s="394">
        <v>1085</v>
      </c>
      <c r="D555" s="397">
        <v>10600</v>
      </c>
      <c r="E555" s="400">
        <f t="shared" si="10"/>
        <v>1060</v>
      </c>
    </row>
    <row r="556" spans="1:5">
      <c r="A556" s="399">
        <v>39864</v>
      </c>
      <c r="B556" s="393">
        <v>56425</v>
      </c>
      <c r="C556" s="394">
        <v>1015.5</v>
      </c>
      <c r="D556" s="397">
        <v>10600</v>
      </c>
      <c r="E556" s="400">
        <f t="shared" si="10"/>
        <v>1060</v>
      </c>
    </row>
    <row r="557" spans="1:5">
      <c r="A557" s="399">
        <v>39867</v>
      </c>
      <c r="B557" s="393">
        <v>56750</v>
      </c>
      <c r="C557" s="394">
        <v>1026</v>
      </c>
      <c r="D557" s="397">
        <v>11000</v>
      </c>
      <c r="E557" s="400">
        <f t="shared" si="10"/>
        <v>1100</v>
      </c>
    </row>
    <row r="558" spans="1:5">
      <c r="A558" s="399">
        <v>39868</v>
      </c>
      <c r="B558" s="393">
        <v>57950</v>
      </c>
      <c r="C558" s="394">
        <v>991.5</v>
      </c>
      <c r="D558" s="397">
        <v>11250</v>
      </c>
      <c r="E558" s="400">
        <f t="shared" si="10"/>
        <v>1125</v>
      </c>
    </row>
    <row r="559" spans="1:5">
      <c r="A559" s="399">
        <v>39869</v>
      </c>
      <c r="B559" s="393">
        <v>58575</v>
      </c>
      <c r="C559" s="394">
        <v>1008</v>
      </c>
      <c r="D559" s="397">
        <v>11250</v>
      </c>
      <c r="E559" s="400">
        <f t="shared" si="10"/>
        <v>1125</v>
      </c>
    </row>
    <row r="560" spans="1:5">
      <c r="A560" s="399">
        <v>39870</v>
      </c>
      <c r="B560" s="393">
        <v>59400</v>
      </c>
      <c r="C560" s="394">
        <v>1050</v>
      </c>
      <c r="D560" s="397">
        <v>11300</v>
      </c>
      <c r="E560" s="400">
        <f t="shared" si="10"/>
        <v>1130</v>
      </c>
    </row>
    <row r="561" spans="1:5">
      <c r="A561" s="399">
        <v>39871</v>
      </c>
      <c r="B561" s="393">
        <v>60500</v>
      </c>
      <c r="C561" s="394">
        <v>1025</v>
      </c>
      <c r="D561" s="397">
        <v>11300</v>
      </c>
      <c r="E561" s="400">
        <f t="shared" si="10"/>
        <v>1130</v>
      </c>
    </row>
    <row r="562" spans="1:5">
      <c r="A562" s="399">
        <v>39874</v>
      </c>
      <c r="B562" s="393">
        <v>60475</v>
      </c>
      <c r="C562" s="394">
        <v>1024</v>
      </c>
      <c r="D562" s="397">
        <v>11300</v>
      </c>
      <c r="E562" s="400">
        <f t="shared" si="10"/>
        <v>1130</v>
      </c>
    </row>
    <row r="563" spans="1:5">
      <c r="A563" s="399">
        <v>39875</v>
      </c>
      <c r="B563" s="393">
        <v>60750</v>
      </c>
      <c r="C563" s="394">
        <v>1042</v>
      </c>
      <c r="D563" s="397">
        <v>11300</v>
      </c>
      <c r="E563" s="400">
        <f t="shared" si="10"/>
        <v>1130</v>
      </c>
    </row>
    <row r="564" spans="1:5">
      <c r="A564" s="399">
        <v>39876</v>
      </c>
      <c r="B564" s="393">
        <v>59725</v>
      </c>
      <c r="C564" s="394">
        <v>1104</v>
      </c>
      <c r="D564" s="397">
        <v>11300</v>
      </c>
      <c r="E564" s="400">
        <f t="shared" si="10"/>
        <v>1130</v>
      </c>
    </row>
    <row r="565" spans="1:5">
      <c r="A565" s="399">
        <v>39877</v>
      </c>
      <c r="B565" s="393">
        <v>59525</v>
      </c>
      <c r="C565" s="394">
        <v>1160.5</v>
      </c>
      <c r="D565" s="397">
        <v>11400</v>
      </c>
      <c r="E565" s="400">
        <f t="shared" si="10"/>
        <v>1140</v>
      </c>
    </row>
    <row r="566" spans="1:5">
      <c r="A566" s="399">
        <v>39878</v>
      </c>
      <c r="B566" s="393">
        <v>60050</v>
      </c>
      <c r="C566" s="394">
        <v>1190</v>
      </c>
      <c r="D566" s="397">
        <v>11600</v>
      </c>
      <c r="E566" s="400">
        <f t="shared" si="10"/>
        <v>1160</v>
      </c>
    </row>
    <row r="567" spans="1:5">
      <c r="A567" s="399">
        <v>39881</v>
      </c>
      <c r="B567" s="393">
        <v>60225</v>
      </c>
      <c r="C567" s="394">
        <v>1216</v>
      </c>
      <c r="D567" s="397">
        <v>11800</v>
      </c>
      <c r="E567" s="400">
        <f t="shared" si="10"/>
        <v>1180</v>
      </c>
    </row>
    <row r="568" spans="1:5">
      <c r="A568" s="399">
        <v>39882</v>
      </c>
      <c r="B568" s="393">
        <v>59975</v>
      </c>
      <c r="C568" s="394">
        <v>1250</v>
      </c>
      <c r="D568" s="397">
        <v>11900</v>
      </c>
      <c r="E568" s="400">
        <f t="shared" si="10"/>
        <v>1190</v>
      </c>
    </row>
    <row r="569" spans="1:5">
      <c r="A569" s="399">
        <v>39883</v>
      </c>
      <c r="B569" s="393">
        <v>59500</v>
      </c>
      <c r="C569" s="394">
        <v>1280</v>
      </c>
      <c r="D569" s="397">
        <v>12200</v>
      </c>
      <c r="E569" s="400">
        <f t="shared" si="10"/>
        <v>1220</v>
      </c>
    </row>
    <row r="570" spans="1:5">
      <c r="A570" s="399">
        <v>39884</v>
      </c>
      <c r="B570" s="393">
        <v>59000</v>
      </c>
      <c r="C570" s="394">
        <v>1230.5</v>
      </c>
      <c r="D570" s="397">
        <v>12200</v>
      </c>
      <c r="E570" s="400">
        <f t="shared" si="10"/>
        <v>1220</v>
      </c>
    </row>
    <row r="571" spans="1:5">
      <c r="A571" s="399">
        <v>39885</v>
      </c>
      <c r="B571" s="393">
        <v>58925</v>
      </c>
      <c r="C571" s="394">
        <v>1266.5</v>
      </c>
      <c r="D571" s="397">
        <v>12200</v>
      </c>
      <c r="E571" s="400">
        <f t="shared" si="10"/>
        <v>1220</v>
      </c>
    </row>
    <row r="572" spans="1:5">
      <c r="A572" s="399">
        <v>39888</v>
      </c>
      <c r="B572" s="393">
        <v>59150</v>
      </c>
      <c r="C572" s="394">
        <v>1285</v>
      </c>
      <c r="D572" s="397">
        <v>12200</v>
      </c>
      <c r="E572" s="400">
        <f t="shared" si="10"/>
        <v>1220</v>
      </c>
    </row>
    <row r="573" spans="1:5">
      <c r="A573" s="399">
        <v>39889</v>
      </c>
      <c r="B573" s="393">
        <v>59025</v>
      </c>
      <c r="C573" s="394">
        <v>1333.5</v>
      </c>
      <c r="D573" s="397">
        <v>12300</v>
      </c>
      <c r="E573" s="400">
        <f t="shared" si="10"/>
        <v>1230</v>
      </c>
    </row>
    <row r="574" spans="1:5">
      <c r="A574" s="399">
        <v>39890</v>
      </c>
      <c r="B574" s="393">
        <v>60350</v>
      </c>
      <c r="C574" s="394">
        <v>1320.5</v>
      </c>
      <c r="D574" s="397">
        <v>12600</v>
      </c>
      <c r="E574" s="400">
        <f t="shared" si="10"/>
        <v>1260</v>
      </c>
    </row>
    <row r="575" spans="1:5">
      <c r="A575" s="399">
        <v>39891</v>
      </c>
      <c r="B575" s="393">
        <v>60100</v>
      </c>
      <c r="C575" s="394">
        <v>1335</v>
      </c>
      <c r="D575" s="397">
        <v>12700</v>
      </c>
      <c r="E575" s="400">
        <f t="shared" si="10"/>
        <v>1270</v>
      </c>
    </row>
    <row r="576" spans="1:5">
      <c r="A576" s="399">
        <v>39892</v>
      </c>
      <c r="B576" s="393">
        <v>60075</v>
      </c>
      <c r="C576" s="394">
        <v>1302</v>
      </c>
      <c r="D576" s="397">
        <v>12800</v>
      </c>
      <c r="E576" s="400">
        <f t="shared" si="10"/>
        <v>1280</v>
      </c>
    </row>
    <row r="577" spans="1:5">
      <c r="A577" s="399">
        <v>39895</v>
      </c>
      <c r="B577" s="393">
        <v>58850</v>
      </c>
      <c r="C577" s="394">
        <v>1341</v>
      </c>
      <c r="D577" s="397">
        <v>13000</v>
      </c>
      <c r="E577" s="400">
        <f t="shared" si="10"/>
        <v>1300</v>
      </c>
    </row>
    <row r="578" spans="1:5">
      <c r="A578" s="399">
        <v>39896</v>
      </c>
      <c r="B578" s="393">
        <v>58950</v>
      </c>
      <c r="C578" s="394">
        <v>1251</v>
      </c>
      <c r="D578" s="397">
        <v>13100</v>
      </c>
      <c r="E578" s="400">
        <f t="shared" si="10"/>
        <v>1310</v>
      </c>
    </row>
    <row r="579" spans="1:5">
      <c r="A579" s="399">
        <v>39897</v>
      </c>
      <c r="B579" s="393">
        <v>60000</v>
      </c>
      <c r="C579" s="394">
        <v>1252</v>
      </c>
      <c r="D579" s="397">
        <v>12900</v>
      </c>
      <c r="E579" s="400">
        <f t="shared" ref="E579:E642" si="11">D579/10</f>
        <v>1290</v>
      </c>
    </row>
    <row r="580" spans="1:5">
      <c r="A580" s="399">
        <v>39898</v>
      </c>
      <c r="B580" s="393">
        <v>60650</v>
      </c>
      <c r="C580" s="394">
        <v>1310.5</v>
      </c>
      <c r="D580" s="397">
        <v>12900</v>
      </c>
      <c r="E580" s="400">
        <f t="shared" si="11"/>
        <v>1290</v>
      </c>
    </row>
    <row r="581" spans="1:5">
      <c r="A581" s="399">
        <v>39899</v>
      </c>
      <c r="B581" s="393">
        <v>60650</v>
      </c>
      <c r="C581" s="394">
        <v>1255</v>
      </c>
      <c r="D581" s="397">
        <v>13000</v>
      </c>
      <c r="E581" s="400">
        <f t="shared" si="11"/>
        <v>1300</v>
      </c>
    </row>
    <row r="582" spans="1:5">
      <c r="A582" s="399">
        <v>39902</v>
      </c>
      <c r="B582" s="393">
        <v>61650</v>
      </c>
      <c r="C582" s="394">
        <v>1235</v>
      </c>
      <c r="D582" s="397">
        <v>12850</v>
      </c>
      <c r="E582" s="400">
        <f t="shared" si="11"/>
        <v>1285</v>
      </c>
    </row>
    <row r="583" spans="1:5">
      <c r="A583" s="399">
        <v>39903</v>
      </c>
      <c r="B583" s="393">
        <v>62025</v>
      </c>
      <c r="C583" s="394">
        <v>1272</v>
      </c>
      <c r="D583" s="397">
        <v>12650</v>
      </c>
      <c r="E583" s="400">
        <f t="shared" si="11"/>
        <v>1265</v>
      </c>
    </row>
    <row r="584" spans="1:5">
      <c r="A584" s="399">
        <v>39904</v>
      </c>
      <c r="B584" s="393">
        <v>61625</v>
      </c>
      <c r="C584" s="394">
        <v>1242</v>
      </c>
      <c r="D584" s="397">
        <v>12650</v>
      </c>
      <c r="E584" s="400">
        <f t="shared" si="11"/>
        <v>1265</v>
      </c>
    </row>
    <row r="585" spans="1:5">
      <c r="A585" s="399">
        <v>39905</v>
      </c>
      <c r="B585" s="393">
        <v>61475</v>
      </c>
      <c r="C585" s="394">
        <v>1259</v>
      </c>
      <c r="D585" s="397">
        <v>12400</v>
      </c>
      <c r="E585" s="400">
        <f t="shared" si="11"/>
        <v>1240</v>
      </c>
    </row>
    <row r="586" spans="1:5">
      <c r="A586" s="399">
        <v>39906</v>
      </c>
      <c r="B586" s="393">
        <v>61100</v>
      </c>
      <c r="C586" s="394">
        <v>1283</v>
      </c>
      <c r="D586" s="397">
        <v>12400</v>
      </c>
      <c r="E586" s="400">
        <f t="shared" si="11"/>
        <v>1240</v>
      </c>
    </row>
    <row r="587" spans="1:5">
      <c r="A587" s="399">
        <v>39909</v>
      </c>
      <c r="B587" s="393">
        <v>61025</v>
      </c>
      <c r="C587" s="394">
        <v>1312</v>
      </c>
      <c r="D587" s="397">
        <v>12400</v>
      </c>
      <c r="E587" s="400">
        <f>D587/10</f>
        <v>1240</v>
      </c>
    </row>
    <row r="588" spans="1:5">
      <c r="A588" s="399">
        <v>39910</v>
      </c>
      <c r="B588" s="393">
        <v>60350</v>
      </c>
      <c r="C588" s="394">
        <v>1315</v>
      </c>
      <c r="D588" s="397">
        <v>12600</v>
      </c>
      <c r="E588" s="400">
        <f t="shared" si="11"/>
        <v>1260</v>
      </c>
    </row>
    <row r="589" spans="1:5">
      <c r="A589" s="399">
        <v>39911</v>
      </c>
      <c r="B589" s="393">
        <v>60400</v>
      </c>
      <c r="C589" s="394">
        <v>1302.5</v>
      </c>
      <c r="D589" s="397">
        <v>12750</v>
      </c>
      <c r="E589" s="400">
        <f t="shared" si="11"/>
        <v>1275</v>
      </c>
    </row>
    <row r="590" spans="1:5">
      <c r="A590" s="399">
        <v>39912</v>
      </c>
      <c r="B590" s="393">
        <v>60275</v>
      </c>
      <c r="C590" s="394">
        <v>1352.5</v>
      </c>
      <c r="D590" s="397">
        <v>12750</v>
      </c>
      <c r="E590" s="400">
        <f t="shared" si="11"/>
        <v>1275</v>
      </c>
    </row>
    <row r="591" spans="1:5">
      <c r="A591" s="399">
        <v>39913</v>
      </c>
      <c r="B591" s="393">
        <v>60275</v>
      </c>
      <c r="C591" s="394">
        <v>1352.5</v>
      </c>
      <c r="D591" s="397">
        <v>12900</v>
      </c>
      <c r="E591" s="400">
        <f t="shared" si="11"/>
        <v>1290</v>
      </c>
    </row>
    <row r="592" spans="1:5">
      <c r="A592" s="399">
        <v>39916</v>
      </c>
      <c r="B592" s="393">
        <v>60275</v>
      </c>
      <c r="C592" s="394">
        <v>1352.5</v>
      </c>
      <c r="D592" s="397">
        <v>12900</v>
      </c>
      <c r="E592" s="400">
        <f t="shared" si="11"/>
        <v>1290</v>
      </c>
    </row>
    <row r="593" spans="1:5">
      <c r="A593" s="399">
        <v>39917</v>
      </c>
      <c r="B593" s="393">
        <v>60800</v>
      </c>
      <c r="C593" s="394">
        <v>1425</v>
      </c>
      <c r="D593" s="397">
        <v>12900</v>
      </c>
      <c r="E593" s="400">
        <f t="shared" si="11"/>
        <v>1290</v>
      </c>
    </row>
    <row r="594" spans="1:5">
      <c r="A594" s="399">
        <v>39918</v>
      </c>
      <c r="B594" s="393">
        <v>60375</v>
      </c>
      <c r="C594" s="394">
        <v>1502</v>
      </c>
      <c r="D594" s="397">
        <v>13000</v>
      </c>
      <c r="E594" s="400">
        <f t="shared" si="11"/>
        <v>1300</v>
      </c>
    </row>
    <row r="595" spans="1:5">
      <c r="A595" s="399">
        <v>39919</v>
      </c>
      <c r="B595" s="393">
        <v>60325</v>
      </c>
      <c r="C595" s="394">
        <v>1525</v>
      </c>
      <c r="D595" s="397">
        <v>13000</v>
      </c>
      <c r="E595" s="400">
        <f t="shared" si="11"/>
        <v>1300</v>
      </c>
    </row>
    <row r="596" spans="1:5">
      <c r="A596" s="399">
        <v>39920</v>
      </c>
      <c r="B596" s="393">
        <v>60675</v>
      </c>
      <c r="C596" s="394">
        <v>1525</v>
      </c>
      <c r="D596" s="397">
        <v>12800</v>
      </c>
      <c r="E596" s="400">
        <f t="shared" si="11"/>
        <v>1280</v>
      </c>
    </row>
    <row r="597" spans="1:5">
      <c r="A597" s="399">
        <v>39923</v>
      </c>
      <c r="B597" s="393">
        <v>61275</v>
      </c>
      <c r="C597" s="394">
        <v>1509</v>
      </c>
      <c r="D597" s="397">
        <v>12800</v>
      </c>
      <c r="E597" s="400">
        <f t="shared" si="11"/>
        <v>1280</v>
      </c>
    </row>
    <row r="598" spans="1:5">
      <c r="A598" s="399">
        <v>39924</v>
      </c>
      <c r="B598" s="393">
        <v>63425</v>
      </c>
      <c r="C598" s="394">
        <v>1438</v>
      </c>
      <c r="D598" s="397">
        <v>12300</v>
      </c>
      <c r="E598" s="400">
        <f t="shared" si="11"/>
        <v>1230</v>
      </c>
    </row>
    <row r="599" spans="1:5">
      <c r="A599" s="399">
        <v>39925</v>
      </c>
      <c r="B599" s="393">
        <v>63500</v>
      </c>
      <c r="C599" s="394">
        <v>1443</v>
      </c>
      <c r="D599" s="397">
        <v>12100</v>
      </c>
      <c r="E599" s="400">
        <f t="shared" si="11"/>
        <v>1210</v>
      </c>
    </row>
    <row r="600" spans="1:5">
      <c r="A600" s="399">
        <v>39926</v>
      </c>
      <c r="B600" s="393">
        <v>63650</v>
      </c>
      <c r="C600" s="394">
        <v>1461.5</v>
      </c>
      <c r="D600" s="397">
        <v>12000</v>
      </c>
      <c r="E600" s="400">
        <f t="shared" si="11"/>
        <v>1200</v>
      </c>
    </row>
    <row r="601" spans="1:5">
      <c r="A601" s="399">
        <v>39927</v>
      </c>
      <c r="B601" s="393">
        <v>71725</v>
      </c>
      <c r="C601" s="394">
        <v>1410.5</v>
      </c>
      <c r="D601" s="397">
        <v>12000</v>
      </c>
      <c r="E601" s="400">
        <f t="shared" si="11"/>
        <v>1200</v>
      </c>
    </row>
    <row r="602" spans="1:5">
      <c r="A602" s="399">
        <v>39930</v>
      </c>
      <c r="B602" s="393">
        <v>71575</v>
      </c>
      <c r="C602" s="394">
        <v>1375</v>
      </c>
      <c r="D602" s="397">
        <v>12000</v>
      </c>
      <c r="E602" s="400">
        <f t="shared" si="11"/>
        <v>1200</v>
      </c>
    </row>
    <row r="603" spans="1:5">
      <c r="A603" s="399">
        <v>39931</v>
      </c>
      <c r="B603" s="393">
        <v>71300</v>
      </c>
      <c r="C603" s="394">
        <v>1309</v>
      </c>
      <c r="D603" s="397">
        <v>11800</v>
      </c>
      <c r="E603" s="400">
        <f t="shared" si="11"/>
        <v>1180</v>
      </c>
    </row>
    <row r="604" spans="1:5">
      <c r="A604" s="399">
        <v>39932</v>
      </c>
      <c r="B604" s="393">
        <v>71250</v>
      </c>
      <c r="C604" s="394">
        <v>1318</v>
      </c>
      <c r="D604" s="397">
        <v>11700</v>
      </c>
      <c r="E604" s="400">
        <f t="shared" si="11"/>
        <v>1170</v>
      </c>
    </row>
    <row r="605" spans="1:5">
      <c r="A605" s="399">
        <v>39933</v>
      </c>
      <c r="B605" s="393">
        <v>71650</v>
      </c>
      <c r="C605" s="394">
        <v>1355</v>
      </c>
      <c r="D605" s="397">
        <v>11900</v>
      </c>
      <c r="E605" s="400">
        <f t="shared" si="11"/>
        <v>1190</v>
      </c>
    </row>
    <row r="606" spans="1:5">
      <c r="A606" s="399">
        <v>39934</v>
      </c>
      <c r="B606" s="393">
        <v>72325</v>
      </c>
      <c r="C606" s="394">
        <v>1334.5</v>
      </c>
      <c r="D606" s="397">
        <v>11900</v>
      </c>
      <c r="E606" s="400">
        <f>D606/10</f>
        <v>1190</v>
      </c>
    </row>
    <row r="607" spans="1:5">
      <c r="A607" s="399">
        <v>39937</v>
      </c>
      <c r="B607" s="393">
        <v>72325</v>
      </c>
      <c r="C607" s="394">
        <v>1334.5</v>
      </c>
      <c r="D607" s="397">
        <v>12200</v>
      </c>
      <c r="E607" s="400">
        <f t="shared" si="11"/>
        <v>1220</v>
      </c>
    </row>
    <row r="608" spans="1:5">
      <c r="A608" s="399">
        <v>39938</v>
      </c>
      <c r="B608" s="393">
        <v>72250</v>
      </c>
      <c r="C608" s="394">
        <v>1426.5</v>
      </c>
      <c r="D608" s="397">
        <v>12300</v>
      </c>
      <c r="E608" s="400">
        <f t="shared" si="11"/>
        <v>1230</v>
      </c>
    </row>
    <row r="609" spans="1:5">
      <c r="A609" s="399">
        <v>39939</v>
      </c>
      <c r="B609" s="393">
        <v>73050</v>
      </c>
      <c r="C609" s="394">
        <v>1408</v>
      </c>
      <c r="D609" s="397">
        <v>12200</v>
      </c>
      <c r="E609" s="400">
        <f t="shared" si="11"/>
        <v>1220</v>
      </c>
    </row>
    <row r="610" spans="1:5">
      <c r="A610" s="399">
        <v>39940</v>
      </c>
      <c r="B610" s="393">
        <v>73200</v>
      </c>
      <c r="C610" s="394">
        <v>1481</v>
      </c>
      <c r="D610" s="397">
        <v>12200</v>
      </c>
      <c r="E610" s="400">
        <f t="shared" si="11"/>
        <v>1220</v>
      </c>
    </row>
    <row r="611" spans="1:5">
      <c r="A611" s="399">
        <v>39941</v>
      </c>
      <c r="B611" s="393">
        <v>73325</v>
      </c>
      <c r="C611" s="394">
        <v>1473.5</v>
      </c>
      <c r="D611" s="397">
        <v>12100</v>
      </c>
      <c r="E611" s="400">
        <f t="shared" si="11"/>
        <v>1210</v>
      </c>
    </row>
    <row r="612" spans="1:5">
      <c r="A612" s="399">
        <v>39942</v>
      </c>
      <c r="B612" s="393">
        <v>73100</v>
      </c>
      <c r="C612" s="394">
        <v>1440.5</v>
      </c>
      <c r="D612" s="397">
        <v>12000</v>
      </c>
      <c r="E612" s="400">
        <f t="shared" si="11"/>
        <v>1200</v>
      </c>
    </row>
    <row r="613" spans="1:5">
      <c r="A613" s="399">
        <v>39945</v>
      </c>
      <c r="B613" s="393">
        <v>73400</v>
      </c>
      <c r="C613" s="394">
        <v>1461</v>
      </c>
      <c r="D613" s="397">
        <v>11900</v>
      </c>
      <c r="E613" s="400">
        <f t="shared" si="11"/>
        <v>1190</v>
      </c>
    </row>
    <row r="614" spans="1:5">
      <c r="A614" s="399">
        <v>39946</v>
      </c>
      <c r="B614" s="393">
        <v>73500</v>
      </c>
      <c r="C614" s="394">
        <v>1451</v>
      </c>
      <c r="D614" s="397">
        <v>11900</v>
      </c>
      <c r="E614" s="400">
        <f t="shared" si="11"/>
        <v>1190</v>
      </c>
    </row>
    <row r="615" spans="1:5">
      <c r="A615" s="399">
        <v>39947</v>
      </c>
      <c r="B615" s="393">
        <v>73500</v>
      </c>
      <c r="C615" s="394">
        <v>1395</v>
      </c>
      <c r="D615" s="397">
        <v>11900</v>
      </c>
      <c r="E615" s="400">
        <f t="shared" si="11"/>
        <v>1190</v>
      </c>
    </row>
    <row r="616" spans="1:5">
      <c r="A616" s="399">
        <v>39948</v>
      </c>
      <c r="B616" s="393">
        <v>73250</v>
      </c>
      <c r="C616" s="394">
        <v>1422.5</v>
      </c>
      <c r="D616" s="397">
        <v>11900</v>
      </c>
      <c r="E616" s="400">
        <f t="shared" si="11"/>
        <v>1190</v>
      </c>
    </row>
    <row r="617" spans="1:5">
      <c r="A617" s="399">
        <v>39951</v>
      </c>
      <c r="B617" s="393">
        <v>73925</v>
      </c>
      <c r="C617" s="394">
        <v>1460</v>
      </c>
      <c r="D617" s="397">
        <v>11900</v>
      </c>
      <c r="E617" s="400">
        <f t="shared" si="11"/>
        <v>1190</v>
      </c>
    </row>
    <row r="618" spans="1:5">
      <c r="A618" s="399">
        <v>39952</v>
      </c>
      <c r="B618" s="393">
        <v>74375</v>
      </c>
      <c r="C618" s="394">
        <v>1527.5</v>
      </c>
      <c r="D618" s="397">
        <v>11900</v>
      </c>
      <c r="E618" s="400">
        <f t="shared" si="11"/>
        <v>1190</v>
      </c>
    </row>
    <row r="619" spans="1:5">
      <c r="A619" s="399">
        <v>39953</v>
      </c>
      <c r="B619" s="393">
        <v>74350</v>
      </c>
      <c r="C619" s="394">
        <v>1436</v>
      </c>
      <c r="D619" s="397">
        <v>11900</v>
      </c>
      <c r="E619" s="400">
        <f t="shared" si="11"/>
        <v>1190</v>
      </c>
    </row>
    <row r="620" spans="1:5">
      <c r="A620" s="399">
        <v>39954</v>
      </c>
      <c r="B620" s="393">
        <v>74275</v>
      </c>
      <c r="C620" s="394">
        <v>1420</v>
      </c>
      <c r="D620" s="397">
        <v>11900</v>
      </c>
      <c r="E620" s="400">
        <f t="shared" si="11"/>
        <v>1190</v>
      </c>
    </row>
    <row r="621" spans="1:5">
      <c r="A621" s="399">
        <v>39955</v>
      </c>
      <c r="B621" s="393">
        <v>74525</v>
      </c>
      <c r="C621" s="394">
        <v>1422.5</v>
      </c>
      <c r="D621" s="397">
        <v>11900</v>
      </c>
      <c r="E621" s="400">
        <f t="shared" si="11"/>
        <v>1190</v>
      </c>
    </row>
    <row r="622" spans="1:5">
      <c r="A622" s="399">
        <v>39956</v>
      </c>
      <c r="B622" s="393">
        <v>74525</v>
      </c>
      <c r="C622" s="394">
        <v>1422.5</v>
      </c>
      <c r="D622" s="397">
        <v>11900</v>
      </c>
      <c r="E622" s="400">
        <f t="shared" si="11"/>
        <v>1190</v>
      </c>
    </row>
    <row r="623" spans="1:5">
      <c r="A623" s="399">
        <v>39959</v>
      </c>
      <c r="B623" s="393">
        <v>75100</v>
      </c>
      <c r="C623" s="394">
        <v>1409</v>
      </c>
      <c r="D623" s="397">
        <v>11900</v>
      </c>
      <c r="E623" s="400">
        <f t="shared" si="11"/>
        <v>1190</v>
      </c>
    </row>
    <row r="624" spans="1:5">
      <c r="A624" s="399">
        <v>39960</v>
      </c>
      <c r="B624" s="393">
        <v>75750</v>
      </c>
      <c r="C624" s="394">
        <v>1427.5</v>
      </c>
      <c r="D624" s="397">
        <v>11900</v>
      </c>
      <c r="E624" s="400">
        <f t="shared" si="11"/>
        <v>1190</v>
      </c>
    </row>
    <row r="625" spans="1:5">
      <c r="A625" s="399">
        <v>39961</v>
      </c>
      <c r="B625" s="393">
        <v>76075</v>
      </c>
      <c r="C625" s="394">
        <v>1437</v>
      </c>
      <c r="D625" s="397">
        <v>11900</v>
      </c>
      <c r="E625" s="400">
        <f>D625/10</f>
        <v>1190</v>
      </c>
    </row>
    <row r="626" spans="1:5">
      <c r="A626" s="399">
        <v>39962</v>
      </c>
      <c r="B626" s="393">
        <v>76075</v>
      </c>
      <c r="C626" s="394">
        <v>1530</v>
      </c>
      <c r="D626" s="397">
        <v>11900</v>
      </c>
      <c r="E626" s="400">
        <f>D626/10</f>
        <v>1190</v>
      </c>
    </row>
    <row r="627" spans="1:5">
      <c r="A627" s="399">
        <v>39965</v>
      </c>
      <c r="B627" s="393">
        <v>77450</v>
      </c>
      <c r="C627" s="394">
        <v>1640</v>
      </c>
      <c r="D627" s="397">
        <v>12100</v>
      </c>
      <c r="E627" s="400">
        <f t="shared" si="11"/>
        <v>1210</v>
      </c>
    </row>
    <row r="628" spans="1:5">
      <c r="A628" s="399">
        <v>39966</v>
      </c>
      <c r="B628" s="393">
        <v>80000</v>
      </c>
      <c r="C628" s="394">
        <v>1627.5</v>
      </c>
      <c r="D628" s="397">
        <v>12400</v>
      </c>
      <c r="E628" s="400">
        <f t="shared" si="11"/>
        <v>1240</v>
      </c>
    </row>
    <row r="629" spans="1:5">
      <c r="A629" s="399">
        <v>39967</v>
      </c>
      <c r="B629" s="393">
        <v>80825</v>
      </c>
      <c r="C629" s="394">
        <v>1612.5</v>
      </c>
      <c r="D629" s="397">
        <v>12450</v>
      </c>
      <c r="E629" s="400">
        <f t="shared" si="11"/>
        <v>1245</v>
      </c>
    </row>
    <row r="630" spans="1:5">
      <c r="A630" s="399">
        <v>39968</v>
      </c>
      <c r="B630" s="393">
        <v>81175</v>
      </c>
      <c r="C630" s="394">
        <v>1565.5</v>
      </c>
      <c r="D630" s="397">
        <v>12400</v>
      </c>
      <c r="E630" s="400">
        <f t="shared" si="11"/>
        <v>1240</v>
      </c>
    </row>
    <row r="631" spans="1:5">
      <c r="A631" s="399">
        <v>39969</v>
      </c>
      <c r="B631" s="393">
        <v>81175</v>
      </c>
      <c r="C631" s="394">
        <v>1654.5</v>
      </c>
      <c r="D631" s="397">
        <v>12500</v>
      </c>
      <c r="E631" s="400">
        <f t="shared" si="11"/>
        <v>1250</v>
      </c>
    </row>
    <row r="632" spans="1:5">
      <c r="A632" s="399">
        <v>39972</v>
      </c>
      <c r="B632" s="393">
        <v>81125</v>
      </c>
      <c r="C632" s="394">
        <v>1616</v>
      </c>
      <c r="D632" s="397">
        <v>12750</v>
      </c>
      <c r="E632" s="400">
        <f t="shared" si="11"/>
        <v>1275</v>
      </c>
    </row>
    <row r="633" spans="1:5">
      <c r="A633" s="399">
        <v>39973</v>
      </c>
      <c r="B633" s="393">
        <v>81325</v>
      </c>
      <c r="C633" s="394">
        <v>1690</v>
      </c>
      <c r="D633" s="397">
        <v>12750</v>
      </c>
      <c r="E633" s="400">
        <f t="shared" si="11"/>
        <v>1275</v>
      </c>
    </row>
    <row r="634" spans="1:5">
      <c r="A634" s="399">
        <v>39974</v>
      </c>
      <c r="B634" s="393">
        <v>81650</v>
      </c>
      <c r="C634" s="394">
        <v>1744.5</v>
      </c>
      <c r="D634" s="397">
        <v>13050</v>
      </c>
      <c r="E634" s="400">
        <f t="shared" si="11"/>
        <v>1305</v>
      </c>
    </row>
    <row r="635" spans="1:5">
      <c r="A635" s="399">
        <v>39975</v>
      </c>
      <c r="B635" s="393">
        <v>81750</v>
      </c>
      <c r="C635" s="394">
        <v>1787</v>
      </c>
      <c r="D635" s="397">
        <v>13200</v>
      </c>
      <c r="E635" s="400">
        <f t="shared" si="11"/>
        <v>1320</v>
      </c>
    </row>
    <row r="636" spans="1:5">
      <c r="A636" s="399">
        <v>39976</v>
      </c>
      <c r="B636" s="393">
        <v>82125</v>
      </c>
      <c r="C636" s="394">
        <v>1796.5</v>
      </c>
      <c r="D636" s="397">
        <v>13450</v>
      </c>
      <c r="E636" s="400">
        <f t="shared" si="11"/>
        <v>1345</v>
      </c>
    </row>
    <row r="637" spans="1:5">
      <c r="A637" s="399">
        <v>39979</v>
      </c>
      <c r="B637" s="393">
        <v>82325</v>
      </c>
      <c r="C637" s="394">
        <v>1720</v>
      </c>
      <c r="D637" s="397">
        <v>13650</v>
      </c>
      <c r="E637" s="400">
        <f t="shared" si="11"/>
        <v>1365</v>
      </c>
    </row>
    <row r="638" spans="1:5">
      <c r="A638" s="399">
        <v>39980</v>
      </c>
      <c r="B638" s="393">
        <v>83825</v>
      </c>
      <c r="C638" s="394">
        <v>1690</v>
      </c>
      <c r="D638" s="397">
        <v>13600</v>
      </c>
      <c r="E638" s="400">
        <f t="shared" si="11"/>
        <v>1360</v>
      </c>
    </row>
    <row r="639" spans="1:5">
      <c r="A639" s="399">
        <v>39981</v>
      </c>
      <c r="B639" s="393">
        <v>84200</v>
      </c>
      <c r="C639" s="394">
        <v>1610</v>
      </c>
      <c r="D639" s="397">
        <v>13500</v>
      </c>
      <c r="E639" s="400">
        <f t="shared" si="11"/>
        <v>1350</v>
      </c>
    </row>
    <row r="640" spans="1:5">
      <c r="A640" s="399">
        <v>39982</v>
      </c>
      <c r="B640" s="393">
        <v>84375</v>
      </c>
      <c r="C640" s="394">
        <v>1639</v>
      </c>
      <c r="D640" s="397">
        <v>13500</v>
      </c>
      <c r="E640" s="400">
        <f t="shared" si="11"/>
        <v>1350</v>
      </c>
    </row>
    <row r="641" spans="1:5">
      <c r="A641" s="399">
        <v>39983</v>
      </c>
      <c r="B641" s="393">
        <v>85800</v>
      </c>
      <c r="C641" s="394">
        <v>1700</v>
      </c>
      <c r="D641" s="397">
        <v>13600</v>
      </c>
      <c r="E641" s="400">
        <f t="shared" si="11"/>
        <v>1360</v>
      </c>
    </row>
    <row r="642" spans="1:5">
      <c r="A642" s="399">
        <v>39986</v>
      </c>
      <c r="B642" s="393">
        <v>86175</v>
      </c>
      <c r="C642" s="394">
        <v>1600</v>
      </c>
      <c r="D642" s="397">
        <v>13550</v>
      </c>
      <c r="E642" s="400">
        <f t="shared" si="11"/>
        <v>1355</v>
      </c>
    </row>
    <row r="643" spans="1:5">
      <c r="A643" s="399">
        <v>39987</v>
      </c>
      <c r="B643" s="393">
        <v>86900</v>
      </c>
      <c r="C643" s="394">
        <v>1633</v>
      </c>
      <c r="D643" s="397">
        <v>13500</v>
      </c>
      <c r="E643" s="400">
        <f t="shared" ref="E643:E706" si="12">D643/10</f>
        <v>1350</v>
      </c>
    </row>
    <row r="644" spans="1:5">
      <c r="A644" s="399">
        <v>39988</v>
      </c>
      <c r="B644" s="393">
        <v>87600</v>
      </c>
      <c r="C644" s="394">
        <v>1645</v>
      </c>
      <c r="D644" s="397">
        <v>13450</v>
      </c>
      <c r="E644" s="400">
        <f t="shared" si="12"/>
        <v>1345</v>
      </c>
    </row>
    <row r="645" spans="1:5">
      <c r="A645" s="399">
        <v>39989</v>
      </c>
      <c r="B645" s="393">
        <v>88300</v>
      </c>
      <c r="C645" s="394">
        <v>1710</v>
      </c>
      <c r="D645" s="397">
        <v>13525</v>
      </c>
      <c r="E645" s="400">
        <f t="shared" si="12"/>
        <v>1352.5</v>
      </c>
    </row>
    <row r="646" spans="1:5">
      <c r="A646" s="399">
        <v>39990</v>
      </c>
      <c r="B646" s="393">
        <v>88575</v>
      </c>
      <c r="C646" s="394">
        <v>1718</v>
      </c>
      <c r="D646" s="397">
        <v>13650</v>
      </c>
      <c r="E646" s="400">
        <f t="shared" si="12"/>
        <v>1365</v>
      </c>
    </row>
    <row r="647" spans="1:5">
      <c r="A647" s="399">
        <v>39993</v>
      </c>
      <c r="B647" s="393">
        <v>89200</v>
      </c>
      <c r="C647" s="394">
        <v>1709</v>
      </c>
      <c r="D647" s="397">
        <v>13650</v>
      </c>
      <c r="E647" s="400">
        <f t="shared" si="12"/>
        <v>1365</v>
      </c>
    </row>
    <row r="648" spans="1:5">
      <c r="A648" s="399">
        <v>39994</v>
      </c>
      <c r="B648" s="393">
        <v>89725</v>
      </c>
      <c r="C648" s="394">
        <v>1730</v>
      </c>
      <c r="D648" s="397">
        <v>13600</v>
      </c>
      <c r="E648" s="400">
        <f t="shared" si="12"/>
        <v>1360</v>
      </c>
    </row>
    <row r="649" spans="1:5">
      <c r="A649" s="399">
        <v>39995</v>
      </c>
      <c r="B649" s="393">
        <v>91650</v>
      </c>
      <c r="C649" s="394">
        <v>1695</v>
      </c>
      <c r="D649" s="397">
        <v>13450</v>
      </c>
      <c r="E649" s="400">
        <f t="shared" si="12"/>
        <v>1345</v>
      </c>
    </row>
    <row r="650" spans="1:5">
      <c r="A650" s="399">
        <v>39996</v>
      </c>
      <c r="B650" s="393">
        <v>91650</v>
      </c>
      <c r="C650" s="394">
        <v>1708</v>
      </c>
      <c r="D650" s="397">
        <v>13675</v>
      </c>
      <c r="E650" s="400">
        <f t="shared" si="12"/>
        <v>1367.5</v>
      </c>
    </row>
    <row r="651" spans="1:5">
      <c r="A651" s="399">
        <v>39997</v>
      </c>
      <c r="B651" s="393">
        <v>92500</v>
      </c>
      <c r="C651" s="394">
        <v>1690.5</v>
      </c>
      <c r="D651" s="397">
        <v>13550</v>
      </c>
      <c r="E651" s="400">
        <f t="shared" si="12"/>
        <v>1355</v>
      </c>
    </row>
    <row r="652" spans="1:5">
      <c r="A652" s="399">
        <v>40000</v>
      </c>
      <c r="B652" s="393">
        <v>92700</v>
      </c>
      <c r="C652" s="394">
        <v>1653</v>
      </c>
      <c r="D652" s="397">
        <v>13550</v>
      </c>
      <c r="E652" s="400">
        <f t="shared" si="12"/>
        <v>1355</v>
      </c>
    </row>
    <row r="653" spans="1:5">
      <c r="A653" s="399">
        <v>40001</v>
      </c>
      <c r="B653" s="393">
        <v>92750</v>
      </c>
      <c r="C653" s="394">
        <v>1714.5</v>
      </c>
      <c r="D653" s="397">
        <v>13400</v>
      </c>
      <c r="E653" s="400">
        <f t="shared" si="12"/>
        <v>1340</v>
      </c>
    </row>
    <row r="654" spans="1:5">
      <c r="A654" s="399">
        <v>40002</v>
      </c>
      <c r="B654" s="393">
        <v>92950</v>
      </c>
      <c r="C654" s="394">
        <v>1625</v>
      </c>
      <c r="D654" s="397">
        <v>13400</v>
      </c>
      <c r="E654" s="400">
        <f t="shared" si="12"/>
        <v>1340</v>
      </c>
    </row>
    <row r="655" spans="1:5">
      <c r="A655" s="399">
        <v>40003</v>
      </c>
      <c r="B655" s="393">
        <v>93200</v>
      </c>
      <c r="C655" s="394">
        <v>1594.5</v>
      </c>
      <c r="D655" s="397">
        <v>13350</v>
      </c>
      <c r="E655" s="400">
        <f t="shared" si="12"/>
        <v>1335</v>
      </c>
    </row>
    <row r="656" spans="1:5">
      <c r="A656" s="399">
        <v>40004</v>
      </c>
      <c r="B656" s="393">
        <v>93625</v>
      </c>
      <c r="C656" s="394">
        <v>1594</v>
      </c>
      <c r="D656" s="397">
        <v>13350</v>
      </c>
      <c r="E656" s="400">
        <f t="shared" si="12"/>
        <v>1335</v>
      </c>
    </row>
    <row r="657" spans="1:5">
      <c r="A657" s="399">
        <v>40007</v>
      </c>
      <c r="B657" s="393">
        <v>93450</v>
      </c>
      <c r="C657" s="394">
        <v>1567</v>
      </c>
      <c r="D657" s="397">
        <v>13350</v>
      </c>
      <c r="E657" s="400">
        <f t="shared" si="12"/>
        <v>1335</v>
      </c>
    </row>
    <row r="658" spans="1:5">
      <c r="A658" s="399">
        <v>40008</v>
      </c>
      <c r="B658" s="393">
        <v>93825</v>
      </c>
      <c r="C658" s="394">
        <v>1569</v>
      </c>
      <c r="D658" s="397">
        <v>13125</v>
      </c>
      <c r="E658" s="400">
        <f t="shared" si="12"/>
        <v>1312.5</v>
      </c>
    </row>
    <row r="659" spans="1:5">
      <c r="A659" s="399">
        <v>40009</v>
      </c>
      <c r="B659" s="393">
        <v>93625</v>
      </c>
      <c r="C659" s="394">
        <v>1611</v>
      </c>
      <c r="D659" s="397">
        <v>13125</v>
      </c>
      <c r="E659" s="400">
        <f t="shared" si="12"/>
        <v>1312.5</v>
      </c>
    </row>
    <row r="660" spans="1:5">
      <c r="A660" s="399">
        <v>40010</v>
      </c>
      <c r="B660" s="393">
        <v>94300</v>
      </c>
      <c r="C660" s="394">
        <v>1600.5</v>
      </c>
      <c r="D660" s="397">
        <v>13250</v>
      </c>
      <c r="E660" s="400">
        <f t="shared" si="12"/>
        <v>1325</v>
      </c>
    </row>
    <row r="661" spans="1:5">
      <c r="A661" s="399">
        <v>40011</v>
      </c>
      <c r="B661" s="393">
        <v>94650</v>
      </c>
      <c r="C661" s="394">
        <v>1604</v>
      </c>
      <c r="D661" s="397">
        <v>13200</v>
      </c>
      <c r="E661" s="400">
        <f t="shared" si="12"/>
        <v>1320</v>
      </c>
    </row>
    <row r="662" spans="1:5">
      <c r="A662" s="399">
        <v>40014</v>
      </c>
      <c r="B662" s="393">
        <v>94900</v>
      </c>
      <c r="C662" s="394">
        <v>1699</v>
      </c>
      <c r="D662" s="397">
        <v>13400</v>
      </c>
      <c r="E662" s="400">
        <f t="shared" si="12"/>
        <v>1340</v>
      </c>
    </row>
    <row r="663" spans="1:5">
      <c r="A663" s="399">
        <v>40015</v>
      </c>
      <c r="B663" s="393">
        <v>95050</v>
      </c>
      <c r="C663" s="394">
        <v>1674.5</v>
      </c>
      <c r="D663" s="397">
        <v>13450</v>
      </c>
      <c r="E663" s="400">
        <f t="shared" si="12"/>
        <v>1345</v>
      </c>
    </row>
    <row r="664" spans="1:5">
      <c r="A664" s="399">
        <v>40016</v>
      </c>
      <c r="B664" s="393">
        <v>94950</v>
      </c>
      <c r="C664" s="394">
        <v>1658</v>
      </c>
      <c r="D664" s="397">
        <v>13400</v>
      </c>
      <c r="E664" s="400">
        <f t="shared" si="12"/>
        <v>1340</v>
      </c>
    </row>
    <row r="665" spans="1:5">
      <c r="A665" s="399">
        <v>40017</v>
      </c>
      <c r="B665" s="393">
        <v>95425</v>
      </c>
      <c r="C665" s="394">
        <v>1699</v>
      </c>
      <c r="D665" s="397">
        <v>13400</v>
      </c>
      <c r="E665" s="400">
        <f t="shared" si="12"/>
        <v>1340</v>
      </c>
    </row>
    <row r="666" spans="1:5">
      <c r="A666" s="399">
        <v>40018</v>
      </c>
      <c r="B666" s="393">
        <v>95500</v>
      </c>
      <c r="C666" s="394">
        <v>1739</v>
      </c>
      <c r="D666" s="397">
        <v>13400</v>
      </c>
      <c r="E666" s="400">
        <f t="shared" si="12"/>
        <v>1340</v>
      </c>
    </row>
    <row r="667" spans="1:5">
      <c r="A667" s="399">
        <v>40021</v>
      </c>
      <c r="B667" s="393">
        <v>95650</v>
      </c>
      <c r="C667" s="394">
        <v>1789</v>
      </c>
      <c r="D667" s="397">
        <v>13450</v>
      </c>
      <c r="E667" s="400">
        <f t="shared" si="12"/>
        <v>1345</v>
      </c>
    </row>
    <row r="668" spans="1:5">
      <c r="A668" s="399">
        <v>40022</v>
      </c>
      <c r="B668" s="393">
        <v>98550</v>
      </c>
      <c r="C668" s="394">
        <v>1774</v>
      </c>
      <c r="D668" s="397">
        <v>13600</v>
      </c>
      <c r="E668" s="400">
        <f t="shared" si="12"/>
        <v>1360</v>
      </c>
    </row>
    <row r="669" spans="1:5">
      <c r="A669" s="399">
        <v>40023</v>
      </c>
      <c r="B669" s="393">
        <v>101050</v>
      </c>
      <c r="C669" s="394">
        <v>1732.5</v>
      </c>
      <c r="D669" s="397">
        <v>13500</v>
      </c>
      <c r="E669" s="400">
        <f t="shared" si="12"/>
        <v>1350</v>
      </c>
    </row>
    <row r="670" spans="1:5">
      <c r="A670" s="399">
        <v>40024</v>
      </c>
      <c r="B670" s="393">
        <v>104950</v>
      </c>
      <c r="C670" s="394">
        <v>1774.5</v>
      </c>
      <c r="D670" s="397">
        <v>13400</v>
      </c>
      <c r="E670" s="400">
        <f t="shared" si="12"/>
        <v>1340</v>
      </c>
    </row>
    <row r="671" spans="1:5">
      <c r="A671" s="399">
        <v>40025</v>
      </c>
      <c r="B671" s="393">
        <v>107575</v>
      </c>
      <c r="C671" s="394">
        <v>1842.5</v>
      </c>
      <c r="D671" s="397">
        <v>13500</v>
      </c>
      <c r="E671" s="400">
        <f t="shared" si="12"/>
        <v>1350</v>
      </c>
    </row>
    <row r="672" spans="1:5">
      <c r="A672" s="399">
        <v>40028</v>
      </c>
      <c r="B672" s="393">
        <v>107300</v>
      </c>
      <c r="C672" s="394">
        <v>1949</v>
      </c>
      <c r="D672" s="397">
        <v>13800</v>
      </c>
      <c r="E672" s="400">
        <f t="shared" si="12"/>
        <v>1380</v>
      </c>
    </row>
    <row r="673" spans="1:5">
      <c r="A673" s="399">
        <v>40029</v>
      </c>
      <c r="B673" s="393">
        <v>110550</v>
      </c>
      <c r="C673" s="394">
        <v>1894</v>
      </c>
      <c r="D673" s="397">
        <v>13950</v>
      </c>
      <c r="E673" s="400">
        <f t="shared" si="12"/>
        <v>1395</v>
      </c>
    </row>
    <row r="674" spans="1:5">
      <c r="A674" s="399">
        <v>40030</v>
      </c>
      <c r="B674" s="393">
        <v>112800</v>
      </c>
      <c r="C674" s="394">
        <v>1930.5</v>
      </c>
      <c r="D674" s="397">
        <v>13950</v>
      </c>
      <c r="E674" s="400">
        <f t="shared" si="12"/>
        <v>1395</v>
      </c>
    </row>
    <row r="675" spans="1:5">
      <c r="A675" s="399">
        <v>40031</v>
      </c>
      <c r="B675" s="393">
        <v>114125</v>
      </c>
      <c r="C675" s="394">
        <v>1897</v>
      </c>
      <c r="D675" s="397">
        <v>13950</v>
      </c>
      <c r="E675" s="400">
        <f t="shared" si="12"/>
        <v>1395</v>
      </c>
    </row>
    <row r="676" spans="1:5">
      <c r="A676" s="399">
        <v>40032</v>
      </c>
      <c r="B676" s="393">
        <v>114050</v>
      </c>
      <c r="C676" s="394">
        <v>1815.5</v>
      </c>
      <c r="D676" s="397">
        <v>13900</v>
      </c>
      <c r="E676" s="400">
        <f t="shared" si="12"/>
        <v>1390</v>
      </c>
    </row>
    <row r="677" spans="1:5">
      <c r="A677" s="399">
        <v>40035</v>
      </c>
      <c r="B677" s="393">
        <v>114275</v>
      </c>
      <c r="C677" s="394">
        <v>1891</v>
      </c>
      <c r="D677" s="397">
        <v>13900</v>
      </c>
      <c r="E677" s="400">
        <f t="shared" si="12"/>
        <v>1390</v>
      </c>
    </row>
    <row r="678" spans="1:5">
      <c r="A678" s="399">
        <v>40036</v>
      </c>
      <c r="B678" s="393">
        <v>114175</v>
      </c>
      <c r="C678" s="394">
        <v>1825</v>
      </c>
      <c r="D678" s="397">
        <v>13750</v>
      </c>
      <c r="E678" s="400">
        <f t="shared" si="12"/>
        <v>1375</v>
      </c>
    </row>
    <row r="679" spans="1:5">
      <c r="A679" s="399">
        <v>40037</v>
      </c>
      <c r="B679" s="393">
        <v>114300</v>
      </c>
      <c r="C679" s="394">
        <v>1775</v>
      </c>
      <c r="D679" s="397">
        <v>13600</v>
      </c>
      <c r="E679" s="400">
        <f t="shared" si="12"/>
        <v>1360</v>
      </c>
    </row>
    <row r="680" spans="1:5">
      <c r="A680" s="399">
        <v>40038</v>
      </c>
      <c r="B680" s="393">
        <v>114700</v>
      </c>
      <c r="C680" s="394">
        <v>1886.5</v>
      </c>
      <c r="D680" s="397">
        <v>13600</v>
      </c>
      <c r="E680" s="400">
        <f t="shared" si="12"/>
        <v>1360</v>
      </c>
    </row>
    <row r="681" spans="1:5">
      <c r="A681" s="399">
        <v>40039</v>
      </c>
      <c r="B681" s="393">
        <v>115800</v>
      </c>
      <c r="C681" s="394">
        <v>1905</v>
      </c>
      <c r="D681" s="397">
        <v>13750</v>
      </c>
      <c r="E681" s="400">
        <f t="shared" si="12"/>
        <v>1375</v>
      </c>
    </row>
    <row r="682" spans="1:5">
      <c r="A682" s="399">
        <v>40042</v>
      </c>
      <c r="B682" s="393">
        <v>116600</v>
      </c>
      <c r="C682" s="394">
        <v>1785.5</v>
      </c>
      <c r="D682" s="397">
        <v>13550</v>
      </c>
      <c r="E682" s="400">
        <f t="shared" si="12"/>
        <v>1355</v>
      </c>
    </row>
    <row r="683" spans="1:5">
      <c r="A683" s="399">
        <v>40043</v>
      </c>
      <c r="B683" s="393">
        <v>116700</v>
      </c>
      <c r="C683" s="394">
        <v>1825</v>
      </c>
      <c r="D683" s="397">
        <v>13500</v>
      </c>
      <c r="E683" s="400">
        <f t="shared" si="12"/>
        <v>1350</v>
      </c>
    </row>
    <row r="684" spans="1:5">
      <c r="A684" s="399">
        <v>40044</v>
      </c>
      <c r="B684" s="393">
        <v>117150</v>
      </c>
      <c r="C684" s="394">
        <v>1790</v>
      </c>
      <c r="D684" s="397">
        <v>13500</v>
      </c>
      <c r="E684" s="400">
        <f t="shared" si="12"/>
        <v>1350</v>
      </c>
    </row>
    <row r="685" spans="1:5">
      <c r="A685" s="399">
        <v>40045</v>
      </c>
      <c r="B685" s="393">
        <v>117925</v>
      </c>
      <c r="C685" s="394">
        <v>1821</v>
      </c>
      <c r="D685" s="397">
        <v>13500</v>
      </c>
      <c r="E685" s="400">
        <f t="shared" si="12"/>
        <v>1350</v>
      </c>
    </row>
    <row r="686" spans="1:5">
      <c r="A686" s="399">
        <v>40046</v>
      </c>
      <c r="B686" s="393">
        <v>118200</v>
      </c>
      <c r="C686" s="394">
        <v>1845</v>
      </c>
      <c r="D686" s="397">
        <v>13500</v>
      </c>
      <c r="E686" s="400">
        <f t="shared" si="12"/>
        <v>1350</v>
      </c>
    </row>
    <row r="687" spans="1:5">
      <c r="A687" s="399">
        <v>40049</v>
      </c>
      <c r="B687" s="393">
        <v>118925</v>
      </c>
      <c r="C687" s="394">
        <v>1945.5</v>
      </c>
      <c r="D687" s="397">
        <v>13700</v>
      </c>
      <c r="E687" s="400">
        <f t="shared" si="12"/>
        <v>1370</v>
      </c>
    </row>
    <row r="688" spans="1:5">
      <c r="A688" s="399">
        <v>40050</v>
      </c>
      <c r="B688" s="393">
        <v>119000</v>
      </c>
      <c r="C688" s="394">
        <v>2006</v>
      </c>
      <c r="D688" s="397">
        <v>14100</v>
      </c>
      <c r="E688" s="400">
        <f t="shared" si="12"/>
        <v>1410</v>
      </c>
    </row>
    <row r="689" spans="1:5">
      <c r="A689" s="399">
        <v>40051</v>
      </c>
      <c r="B689" s="393">
        <v>119150</v>
      </c>
      <c r="C689" s="394">
        <v>2077</v>
      </c>
      <c r="D689" s="397">
        <v>14400</v>
      </c>
      <c r="E689" s="400">
        <f t="shared" si="12"/>
        <v>1440</v>
      </c>
    </row>
    <row r="690" spans="1:5">
      <c r="A690" s="399">
        <v>40052</v>
      </c>
      <c r="B690" s="393">
        <v>120775</v>
      </c>
      <c r="C690" s="394">
        <v>2020.5</v>
      </c>
      <c r="D690" s="397">
        <v>14900</v>
      </c>
      <c r="E690" s="400">
        <f t="shared" si="12"/>
        <v>1490</v>
      </c>
    </row>
    <row r="691" spans="1:5">
      <c r="A691" s="399">
        <v>40053</v>
      </c>
      <c r="B691" s="393">
        <v>120950</v>
      </c>
      <c r="C691" s="394">
        <v>2118</v>
      </c>
      <c r="D691" s="397">
        <v>14900</v>
      </c>
      <c r="E691" s="400">
        <f t="shared" si="12"/>
        <v>1490</v>
      </c>
    </row>
    <row r="692" spans="1:5">
      <c r="A692" s="399">
        <v>40057</v>
      </c>
      <c r="B692" s="393">
        <v>121225</v>
      </c>
      <c r="C692" s="394">
        <v>2072</v>
      </c>
      <c r="D692" s="397">
        <v>15100</v>
      </c>
      <c r="E692" s="400">
        <f t="shared" si="12"/>
        <v>1510</v>
      </c>
    </row>
    <row r="693" spans="1:5">
      <c r="A693" s="399">
        <v>40058</v>
      </c>
      <c r="B693" s="393">
        <v>121200</v>
      </c>
      <c r="C693" s="394">
        <v>2060</v>
      </c>
      <c r="D693" s="397">
        <v>15100</v>
      </c>
      <c r="E693" s="400">
        <f t="shared" si="12"/>
        <v>1510</v>
      </c>
    </row>
    <row r="694" spans="1:5">
      <c r="A694" s="399">
        <v>40059</v>
      </c>
      <c r="B694" s="393">
        <v>121575</v>
      </c>
      <c r="C694" s="394">
        <v>2224</v>
      </c>
      <c r="D694" s="397">
        <v>15000</v>
      </c>
      <c r="E694" s="400">
        <f t="shared" si="12"/>
        <v>1500</v>
      </c>
    </row>
    <row r="695" spans="1:5">
      <c r="A695" s="399">
        <v>40060</v>
      </c>
      <c r="B695" s="393">
        <v>121475</v>
      </c>
      <c r="C695" s="394">
        <v>2255</v>
      </c>
      <c r="D695" s="397">
        <v>15800</v>
      </c>
      <c r="E695" s="400">
        <f t="shared" si="12"/>
        <v>1580</v>
      </c>
    </row>
    <row r="696" spans="1:5">
      <c r="A696" s="399">
        <v>40063</v>
      </c>
      <c r="B696" s="393">
        <v>121725</v>
      </c>
      <c r="C696" s="394">
        <v>2352.5</v>
      </c>
      <c r="D696" s="397">
        <v>16000</v>
      </c>
      <c r="E696" s="400">
        <f t="shared" si="12"/>
        <v>1600</v>
      </c>
    </row>
    <row r="697" spans="1:5">
      <c r="A697" s="399">
        <v>40064</v>
      </c>
      <c r="B697" s="393">
        <v>121775</v>
      </c>
      <c r="C697" s="394">
        <v>2447.5</v>
      </c>
      <c r="D697" s="397">
        <v>16100</v>
      </c>
      <c r="E697" s="400">
        <f t="shared" si="12"/>
        <v>1610</v>
      </c>
    </row>
    <row r="698" spans="1:5">
      <c r="A698" s="399">
        <v>40065</v>
      </c>
      <c r="B698" s="393">
        <v>122625</v>
      </c>
      <c r="C698" s="394">
        <v>2440</v>
      </c>
      <c r="D698" s="397">
        <v>16400</v>
      </c>
      <c r="E698" s="400">
        <f t="shared" si="12"/>
        <v>1640</v>
      </c>
    </row>
    <row r="699" spans="1:5">
      <c r="A699" s="399">
        <v>40066</v>
      </c>
      <c r="B699" s="393">
        <v>122925</v>
      </c>
      <c r="C699" s="394">
        <v>2181</v>
      </c>
      <c r="D699" s="397">
        <v>16400</v>
      </c>
      <c r="E699" s="400">
        <f t="shared" si="12"/>
        <v>1640</v>
      </c>
    </row>
    <row r="700" spans="1:5">
      <c r="A700" s="399">
        <v>40067</v>
      </c>
      <c r="B700" s="393">
        <v>123075</v>
      </c>
      <c r="C700" s="394">
        <v>2109.5</v>
      </c>
      <c r="D700" s="397">
        <v>15400</v>
      </c>
      <c r="E700" s="400">
        <f t="shared" si="12"/>
        <v>1540</v>
      </c>
    </row>
    <row r="701" spans="1:5">
      <c r="A701" s="399">
        <v>40070</v>
      </c>
      <c r="B701" s="393">
        <v>122975</v>
      </c>
      <c r="C701" s="394">
        <v>2045.5</v>
      </c>
      <c r="D701" s="397">
        <v>15200</v>
      </c>
      <c r="E701" s="400">
        <f t="shared" si="12"/>
        <v>1520</v>
      </c>
    </row>
    <row r="702" spans="1:5">
      <c r="A702" s="399">
        <v>40071</v>
      </c>
      <c r="B702" s="393">
        <v>122725</v>
      </c>
      <c r="C702" s="394">
        <v>2113</v>
      </c>
      <c r="D702" s="397">
        <v>15250</v>
      </c>
      <c r="E702" s="400">
        <f t="shared" si="12"/>
        <v>1525</v>
      </c>
    </row>
    <row r="703" spans="1:5">
      <c r="A703" s="399">
        <v>40072</v>
      </c>
      <c r="B703" s="393">
        <v>123300</v>
      </c>
      <c r="C703" s="394">
        <v>2220.5</v>
      </c>
      <c r="D703" s="397">
        <v>15400</v>
      </c>
      <c r="E703" s="400">
        <f t="shared" si="12"/>
        <v>1540</v>
      </c>
    </row>
    <row r="704" spans="1:5">
      <c r="A704" s="399">
        <v>40073</v>
      </c>
      <c r="B704" s="393">
        <v>124150</v>
      </c>
      <c r="C704" s="394">
        <v>2241</v>
      </c>
      <c r="D704" s="397">
        <v>15900</v>
      </c>
      <c r="E704" s="400">
        <f t="shared" si="12"/>
        <v>1590</v>
      </c>
    </row>
    <row r="705" spans="1:5">
      <c r="A705" s="399">
        <v>40074</v>
      </c>
      <c r="B705" s="393">
        <v>124900</v>
      </c>
      <c r="C705" s="394">
        <v>2171</v>
      </c>
      <c r="D705" s="397">
        <v>15900</v>
      </c>
      <c r="E705" s="400">
        <f t="shared" si="12"/>
        <v>1590</v>
      </c>
    </row>
    <row r="706" spans="1:5">
      <c r="A706" s="399">
        <v>40077</v>
      </c>
      <c r="B706" s="393">
        <v>124750</v>
      </c>
      <c r="C706" s="394">
        <v>2135.5</v>
      </c>
      <c r="D706" s="397">
        <v>15600</v>
      </c>
      <c r="E706" s="400">
        <f t="shared" si="12"/>
        <v>1560</v>
      </c>
    </row>
    <row r="707" spans="1:5">
      <c r="A707" s="399">
        <v>40078</v>
      </c>
      <c r="B707" s="393">
        <v>125550</v>
      </c>
      <c r="C707" s="394">
        <v>2234</v>
      </c>
      <c r="D707" s="397">
        <v>15500</v>
      </c>
      <c r="E707" s="400">
        <f t="shared" ref="E707:E770" si="13">D707/10</f>
        <v>1550</v>
      </c>
    </row>
    <row r="708" spans="1:5">
      <c r="A708" s="399">
        <v>40079</v>
      </c>
      <c r="B708" s="393">
        <v>125350</v>
      </c>
      <c r="C708" s="394">
        <v>2213</v>
      </c>
      <c r="D708" s="397">
        <v>15800</v>
      </c>
      <c r="E708" s="400">
        <f t="shared" si="13"/>
        <v>1580</v>
      </c>
    </row>
    <row r="709" spans="1:5">
      <c r="A709" s="399">
        <v>40080</v>
      </c>
      <c r="B709" s="393">
        <v>125175</v>
      </c>
      <c r="C709" s="394">
        <v>2200</v>
      </c>
      <c r="D709" s="397">
        <v>15600</v>
      </c>
      <c r="E709" s="400">
        <f t="shared" si="13"/>
        <v>1560</v>
      </c>
    </row>
    <row r="710" spans="1:5">
      <c r="A710" s="399">
        <v>40081</v>
      </c>
      <c r="B710" s="393">
        <v>125850</v>
      </c>
      <c r="C710" s="394">
        <v>2175</v>
      </c>
      <c r="D710" s="397">
        <v>15400</v>
      </c>
      <c r="E710" s="400">
        <f t="shared" si="13"/>
        <v>1540</v>
      </c>
    </row>
    <row r="711" spans="1:5">
      <c r="A711" s="399">
        <v>40084</v>
      </c>
      <c r="B711" s="393">
        <v>125850</v>
      </c>
      <c r="C711" s="394">
        <v>2150</v>
      </c>
      <c r="D711" s="397">
        <v>15500</v>
      </c>
      <c r="E711" s="400">
        <f t="shared" si="13"/>
        <v>1550</v>
      </c>
    </row>
    <row r="712" spans="1:5">
      <c r="A712" s="399">
        <v>40085</v>
      </c>
      <c r="B712" s="393">
        <v>126125</v>
      </c>
      <c r="C712" s="394">
        <v>2184</v>
      </c>
      <c r="D712" s="397">
        <v>15500</v>
      </c>
      <c r="E712" s="400">
        <f t="shared" si="13"/>
        <v>1550</v>
      </c>
    </row>
    <row r="713" spans="1:5">
      <c r="A713" s="399">
        <v>40086</v>
      </c>
      <c r="B713" s="393">
        <v>126925</v>
      </c>
      <c r="C713" s="394">
        <v>2276</v>
      </c>
      <c r="D713" s="397">
        <v>15600</v>
      </c>
      <c r="E713" s="400">
        <f t="shared" si="13"/>
        <v>1560</v>
      </c>
    </row>
    <row r="714" spans="1:5">
      <c r="A714" s="399">
        <v>40087</v>
      </c>
      <c r="B714" s="393">
        <v>127775</v>
      </c>
      <c r="C714" s="394">
        <v>2192</v>
      </c>
      <c r="D714" s="397">
        <v>15600</v>
      </c>
      <c r="E714" s="400">
        <f t="shared" ref="E714:E719" si="14">D714/10</f>
        <v>1560</v>
      </c>
    </row>
    <row r="715" spans="1:5">
      <c r="A715" s="399">
        <v>40088</v>
      </c>
      <c r="B715" s="393">
        <v>127600</v>
      </c>
      <c r="C715" s="394">
        <v>2085</v>
      </c>
      <c r="D715" s="397">
        <v>15600</v>
      </c>
      <c r="E715" s="400">
        <f t="shared" si="14"/>
        <v>1560</v>
      </c>
    </row>
    <row r="716" spans="1:5">
      <c r="A716" s="399">
        <v>40091</v>
      </c>
      <c r="B716" s="393">
        <v>127600</v>
      </c>
      <c r="C716" s="394">
        <v>2115</v>
      </c>
      <c r="D716" s="397">
        <v>15600</v>
      </c>
      <c r="E716" s="400">
        <f t="shared" si="14"/>
        <v>1560</v>
      </c>
    </row>
    <row r="717" spans="1:5">
      <c r="A717" s="399">
        <v>40092</v>
      </c>
      <c r="B717" s="393">
        <v>127475</v>
      </c>
      <c r="C717" s="394">
        <v>2128</v>
      </c>
      <c r="D717" s="397">
        <v>15600</v>
      </c>
      <c r="E717" s="400">
        <f t="shared" si="14"/>
        <v>1560</v>
      </c>
    </row>
    <row r="718" spans="1:5">
      <c r="A718" s="399">
        <v>40093</v>
      </c>
      <c r="B718" s="393">
        <v>127875</v>
      </c>
      <c r="C718" s="394">
        <v>2142</v>
      </c>
      <c r="D718" s="397">
        <v>15600</v>
      </c>
      <c r="E718" s="400">
        <f t="shared" si="14"/>
        <v>1560</v>
      </c>
    </row>
    <row r="719" spans="1:5">
      <c r="A719" s="399">
        <v>40094</v>
      </c>
      <c r="B719" s="393">
        <v>127875</v>
      </c>
      <c r="C719" s="394">
        <v>2221</v>
      </c>
      <c r="D719" s="397">
        <v>15600</v>
      </c>
      <c r="E719" s="400">
        <f t="shared" si="14"/>
        <v>1560</v>
      </c>
    </row>
    <row r="720" spans="1:5">
      <c r="A720" s="399">
        <v>40095</v>
      </c>
      <c r="B720" s="393">
        <v>128200</v>
      </c>
      <c r="C720" s="394">
        <v>2250</v>
      </c>
      <c r="D720" s="397">
        <v>15600</v>
      </c>
      <c r="E720" s="400">
        <f t="shared" si="13"/>
        <v>1560</v>
      </c>
    </row>
    <row r="721" spans="1:5">
      <c r="A721" s="399">
        <v>40098</v>
      </c>
      <c r="B721" s="393">
        <v>128175</v>
      </c>
      <c r="C721" s="394">
        <v>2263</v>
      </c>
      <c r="D721" s="397">
        <v>15500</v>
      </c>
      <c r="E721" s="400">
        <f t="shared" si="13"/>
        <v>1550</v>
      </c>
    </row>
    <row r="722" spans="1:5">
      <c r="A722" s="399">
        <v>40099</v>
      </c>
      <c r="B722" s="393">
        <v>128175</v>
      </c>
      <c r="C722" s="394">
        <v>2301</v>
      </c>
      <c r="D722" s="397">
        <v>15700</v>
      </c>
      <c r="E722" s="400">
        <f t="shared" si="13"/>
        <v>1570</v>
      </c>
    </row>
    <row r="723" spans="1:5">
      <c r="A723" s="399">
        <v>40100</v>
      </c>
      <c r="B723" s="393">
        <v>128975</v>
      </c>
      <c r="C723" s="394">
        <v>2169</v>
      </c>
      <c r="D723" s="397">
        <v>15500</v>
      </c>
      <c r="E723" s="400">
        <f t="shared" si="13"/>
        <v>1550</v>
      </c>
    </row>
    <row r="724" spans="1:5">
      <c r="A724" s="399">
        <v>40101</v>
      </c>
      <c r="B724" s="393">
        <v>128975</v>
      </c>
      <c r="C724" s="394">
        <v>2140</v>
      </c>
      <c r="D724" s="397">
        <v>15600</v>
      </c>
      <c r="E724" s="400">
        <f t="shared" si="13"/>
        <v>1560</v>
      </c>
    </row>
    <row r="725" spans="1:5">
      <c r="A725" s="399">
        <v>40102</v>
      </c>
      <c r="B725" s="393">
        <v>129175</v>
      </c>
      <c r="C725" s="394">
        <v>2180</v>
      </c>
      <c r="D725" s="397">
        <v>15600</v>
      </c>
      <c r="E725" s="400">
        <f t="shared" si="13"/>
        <v>1560</v>
      </c>
    </row>
    <row r="726" spans="1:5">
      <c r="A726" s="399">
        <v>40105</v>
      </c>
      <c r="B726" s="393">
        <v>129025</v>
      </c>
      <c r="C726" s="394">
        <v>2191</v>
      </c>
      <c r="D726" s="397">
        <v>15600</v>
      </c>
      <c r="E726" s="400">
        <f t="shared" si="13"/>
        <v>1560</v>
      </c>
    </row>
    <row r="727" spans="1:5">
      <c r="A727" s="399">
        <v>40106</v>
      </c>
      <c r="B727" s="393">
        <v>129050</v>
      </c>
      <c r="C727" s="394">
        <v>2315</v>
      </c>
      <c r="D727" s="397">
        <v>15700</v>
      </c>
      <c r="E727" s="400">
        <f t="shared" si="13"/>
        <v>1570</v>
      </c>
    </row>
    <row r="728" spans="1:5">
      <c r="A728" s="399">
        <v>40107</v>
      </c>
      <c r="B728" s="393">
        <v>129525</v>
      </c>
      <c r="C728" s="394">
        <v>2246</v>
      </c>
      <c r="D728" s="397">
        <v>15700</v>
      </c>
      <c r="E728" s="400">
        <f t="shared" si="13"/>
        <v>1570</v>
      </c>
    </row>
    <row r="729" spans="1:5">
      <c r="A729" s="399">
        <v>40108</v>
      </c>
      <c r="B729" s="393">
        <v>129100</v>
      </c>
      <c r="C729" s="394">
        <v>2410.5</v>
      </c>
      <c r="D729" s="397">
        <v>15900</v>
      </c>
      <c r="E729" s="400">
        <f t="shared" si="13"/>
        <v>1590</v>
      </c>
    </row>
    <row r="730" spans="1:5">
      <c r="A730" s="399">
        <v>40109</v>
      </c>
      <c r="B730" s="393">
        <v>130400</v>
      </c>
      <c r="C730" s="394">
        <v>2405.5</v>
      </c>
      <c r="D730" s="397">
        <v>15900</v>
      </c>
      <c r="E730" s="400">
        <f t="shared" si="13"/>
        <v>1590</v>
      </c>
    </row>
    <row r="731" spans="1:5">
      <c r="A731" s="399">
        <v>40112</v>
      </c>
      <c r="B731" s="393">
        <v>130250</v>
      </c>
      <c r="C731" s="394">
        <v>2376</v>
      </c>
      <c r="D731" s="397">
        <v>15900</v>
      </c>
      <c r="E731" s="400">
        <f t="shared" si="13"/>
        <v>1590</v>
      </c>
    </row>
    <row r="732" spans="1:5">
      <c r="A732" s="399">
        <v>40113</v>
      </c>
      <c r="B732" s="393">
        <v>130000</v>
      </c>
      <c r="C732" s="394">
        <v>2305</v>
      </c>
      <c r="D732" s="397">
        <v>15900</v>
      </c>
      <c r="E732" s="400">
        <f t="shared" si="13"/>
        <v>1590</v>
      </c>
    </row>
    <row r="733" spans="1:5">
      <c r="A733" s="399">
        <v>40114</v>
      </c>
      <c r="B733" s="393">
        <v>129825</v>
      </c>
      <c r="C733" s="394">
        <v>2243</v>
      </c>
      <c r="D733" s="397">
        <v>15850</v>
      </c>
      <c r="E733" s="400">
        <f t="shared" si="13"/>
        <v>1585</v>
      </c>
    </row>
    <row r="734" spans="1:5">
      <c r="A734" s="399">
        <v>40115</v>
      </c>
      <c r="B734" s="393">
        <v>129675</v>
      </c>
      <c r="C734" s="394">
        <v>2297</v>
      </c>
      <c r="D734" s="397">
        <v>15700</v>
      </c>
      <c r="E734" s="400">
        <f t="shared" si="13"/>
        <v>1570</v>
      </c>
    </row>
    <row r="735" spans="1:5">
      <c r="A735" s="399">
        <v>40116</v>
      </c>
      <c r="B735" s="393">
        <v>129850</v>
      </c>
      <c r="C735" s="394">
        <v>2322</v>
      </c>
      <c r="D735" s="397">
        <v>15750</v>
      </c>
      <c r="E735" s="400">
        <f t="shared" si="13"/>
        <v>1575</v>
      </c>
    </row>
    <row r="736" spans="1:5">
      <c r="A736" s="399">
        <v>40119</v>
      </c>
      <c r="B736" s="393">
        <v>129600</v>
      </c>
      <c r="C736" s="394">
        <v>2260</v>
      </c>
      <c r="D736" s="397">
        <v>15750</v>
      </c>
      <c r="E736" s="400">
        <f t="shared" si="13"/>
        <v>1575</v>
      </c>
    </row>
    <row r="737" spans="1:5">
      <c r="A737" s="399">
        <v>40120</v>
      </c>
      <c r="B737" s="393">
        <v>129650</v>
      </c>
      <c r="C737" s="394">
        <v>2250.5</v>
      </c>
      <c r="D737" s="397">
        <v>15700</v>
      </c>
      <c r="E737" s="400">
        <f t="shared" si="13"/>
        <v>1570</v>
      </c>
    </row>
    <row r="738" spans="1:5">
      <c r="A738" s="399">
        <v>40121</v>
      </c>
      <c r="B738" s="393">
        <v>130125</v>
      </c>
      <c r="C738" s="394">
        <v>2312</v>
      </c>
      <c r="D738" s="397">
        <v>15700</v>
      </c>
      <c r="E738" s="400">
        <f t="shared" si="13"/>
        <v>1570</v>
      </c>
    </row>
    <row r="739" spans="1:5">
      <c r="A739" s="399">
        <v>40122</v>
      </c>
      <c r="B739" s="393">
        <v>130925</v>
      </c>
      <c r="C739" s="394">
        <v>2320</v>
      </c>
      <c r="D739" s="397">
        <v>15700</v>
      </c>
      <c r="E739" s="400">
        <f t="shared" si="13"/>
        <v>1570</v>
      </c>
    </row>
    <row r="740" spans="1:5">
      <c r="A740" s="399">
        <v>40123</v>
      </c>
      <c r="B740" s="393">
        <v>130800</v>
      </c>
      <c r="C740" s="394">
        <v>2320</v>
      </c>
      <c r="D740" s="397">
        <v>15700</v>
      </c>
      <c r="E740" s="400">
        <f t="shared" si="13"/>
        <v>1570</v>
      </c>
    </row>
    <row r="741" spans="1:5">
      <c r="A741" s="399">
        <v>40126</v>
      </c>
      <c r="B741" s="393">
        <v>131025</v>
      </c>
      <c r="C741" s="394">
        <v>2278</v>
      </c>
      <c r="D741" s="397">
        <v>15600</v>
      </c>
      <c r="E741" s="400">
        <f t="shared" si="13"/>
        <v>1560</v>
      </c>
    </row>
    <row r="742" spans="1:5">
      <c r="A742" s="399">
        <v>40127</v>
      </c>
      <c r="B742" s="393">
        <v>131350</v>
      </c>
      <c r="C742" s="394">
        <v>2258</v>
      </c>
      <c r="D742" s="397">
        <v>15500</v>
      </c>
      <c r="E742" s="400">
        <f t="shared" si="13"/>
        <v>1550</v>
      </c>
    </row>
    <row r="743" spans="1:5">
      <c r="A743" s="399">
        <v>40128</v>
      </c>
      <c r="B743" s="393">
        <v>131800</v>
      </c>
      <c r="C743" s="394">
        <v>2312.5</v>
      </c>
      <c r="D743" s="397">
        <v>15500</v>
      </c>
      <c r="E743" s="400">
        <f t="shared" si="13"/>
        <v>1550</v>
      </c>
    </row>
    <row r="744" spans="1:5">
      <c r="A744" s="399">
        <v>40129</v>
      </c>
      <c r="B744" s="393">
        <v>132075</v>
      </c>
      <c r="C744" s="394">
        <v>2251</v>
      </c>
      <c r="D744" s="397">
        <v>15500</v>
      </c>
      <c r="E744" s="400">
        <f t="shared" si="13"/>
        <v>1550</v>
      </c>
    </row>
    <row r="745" spans="1:5">
      <c r="A745" s="399">
        <v>40130</v>
      </c>
      <c r="B745" s="393">
        <v>132250</v>
      </c>
      <c r="C745" s="394">
        <v>2241</v>
      </c>
      <c r="D745" s="397">
        <v>15450</v>
      </c>
      <c r="E745" s="400">
        <f t="shared" si="13"/>
        <v>1545</v>
      </c>
    </row>
    <row r="746" spans="1:5">
      <c r="A746" s="399">
        <v>40133</v>
      </c>
      <c r="B746" s="393">
        <v>132225</v>
      </c>
      <c r="C746" s="394">
        <v>2290.5</v>
      </c>
      <c r="D746" s="397">
        <v>15500</v>
      </c>
      <c r="E746" s="400">
        <f t="shared" si="13"/>
        <v>1550</v>
      </c>
    </row>
    <row r="747" spans="1:5">
      <c r="A747" s="399">
        <v>40134</v>
      </c>
      <c r="B747" s="393">
        <v>132400</v>
      </c>
      <c r="C747" s="394">
        <v>2331</v>
      </c>
      <c r="D747" s="397">
        <v>15700</v>
      </c>
      <c r="E747" s="400">
        <f t="shared" si="13"/>
        <v>1570</v>
      </c>
    </row>
    <row r="748" spans="1:5">
      <c r="A748" s="399">
        <v>40135</v>
      </c>
      <c r="B748" s="393">
        <v>133025</v>
      </c>
      <c r="C748" s="394">
        <v>2405</v>
      </c>
      <c r="D748" s="397">
        <v>15700</v>
      </c>
      <c r="E748" s="400">
        <f t="shared" si="13"/>
        <v>1570</v>
      </c>
    </row>
    <row r="749" spans="1:5">
      <c r="A749" s="399">
        <v>40136</v>
      </c>
      <c r="B749" s="393">
        <v>134800</v>
      </c>
      <c r="C749" s="394">
        <v>2335</v>
      </c>
      <c r="D749" s="397">
        <v>15700</v>
      </c>
      <c r="E749" s="400">
        <f t="shared" si="13"/>
        <v>1570</v>
      </c>
    </row>
    <row r="750" spans="1:5">
      <c r="A750" s="399">
        <v>40137</v>
      </c>
      <c r="B750" s="393">
        <v>135125</v>
      </c>
      <c r="C750" s="394">
        <v>2309</v>
      </c>
      <c r="D750" s="397">
        <v>15600</v>
      </c>
      <c r="E750" s="400">
        <f t="shared" si="13"/>
        <v>1560</v>
      </c>
    </row>
    <row r="751" spans="1:5">
      <c r="A751" s="399">
        <v>40140</v>
      </c>
      <c r="B751" s="393">
        <v>135125</v>
      </c>
      <c r="C751" s="394">
        <v>2375.5</v>
      </c>
      <c r="D751" s="397">
        <v>15750</v>
      </c>
      <c r="E751" s="400">
        <f t="shared" si="13"/>
        <v>1575</v>
      </c>
    </row>
    <row r="752" spans="1:5">
      <c r="A752" s="399">
        <v>40141</v>
      </c>
      <c r="B752" s="393">
        <v>135825</v>
      </c>
      <c r="C752" s="394">
        <v>2358</v>
      </c>
      <c r="D752" s="397">
        <v>15900</v>
      </c>
      <c r="E752" s="400">
        <f t="shared" si="13"/>
        <v>1590</v>
      </c>
    </row>
    <row r="753" spans="1:5">
      <c r="A753" s="399">
        <v>40142</v>
      </c>
      <c r="B753" s="393">
        <v>136925</v>
      </c>
      <c r="C753" s="394">
        <v>2354</v>
      </c>
      <c r="D753" s="397">
        <v>15900</v>
      </c>
      <c r="E753" s="400">
        <f t="shared" si="13"/>
        <v>1590</v>
      </c>
    </row>
    <row r="754" spans="1:5">
      <c r="A754" s="399">
        <v>40143</v>
      </c>
      <c r="B754" s="393">
        <v>137025</v>
      </c>
      <c r="C754" s="394">
        <v>2344</v>
      </c>
      <c r="D754" s="397">
        <v>16000</v>
      </c>
      <c r="E754" s="400">
        <f t="shared" si="13"/>
        <v>1600</v>
      </c>
    </row>
    <row r="755" spans="1:5">
      <c r="A755" s="399">
        <v>40144</v>
      </c>
      <c r="B755" s="393">
        <v>137275</v>
      </c>
      <c r="C755" s="394">
        <v>2289</v>
      </c>
      <c r="D755" s="397">
        <v>16000</v>
      </c>
      <c r="E755" s="400">
        <f t="shared" si="13"/>
        <v>1600</v>
      </c>
    </row>
    <row r="756" spans="1:5">
      <c r="A756" s="399">
        <v>40147</v>
      </c>
      <c r="B756" s="393">
        <v>137850</v>
      </c>
      <c r="C756" s="394">
        <v>2290</v>
      </c>
      <c r="D756" s="397">
        <v>15900</v>
      </c>
      <c r="E756" s="400">
        <f t="shared" si="13"/>
        <v>1590</v>
      </c>
    </row>
    <row r="757" spans="1:5">
      <c r="A757" s="399">
        <v>40148</v>
      </c>
      <c r="B757" s="393">
        <v>138450</v>
      </c>
      <c r="C757" s="394">
        <v>2343</v>
      </c>
      <c r="D757" s="397">
        <v>15950</v>
      </c>
      <c r="E757" s="400">
        <f t="shared" si="13"/>
        <v>1595</v>
      </c>
    </row>
    <row r="758" spans="1:5">
      <c r="A758" s="399">
        <v>40149</v>
      </c>
      <c r="B758" s="393">
        <v>138600</v>
      </c>
      <c r="C758" s="394">
        <v>2445</v>
      </c>
      <c r="D758" s="397">
        <v>16100</v>
      </c>
      <c r="E758" s="400">
        <f t="shared" si="13"/>
        <v>1610</v>
      </c>
    </row>
    <row r="759" spans="1:5">
      <c r="A759" s="399">
        <v>40150</v>
      </c>
      <c r="B759" s="393">
        <v>139225</v>
      </c>
      <c r="C759" s="394">
        <v>2413</v>
      </c>
      <c r="D759" s="397">
        <v>16200</v>
      </c>
      <c r="E759" s="400">
        <f t="shared" si="13"/>
        <v>1620</v>
      </c>
    </row>
    <row r="760" spans="1:5">
      <c r="A760" s="399">
        <v>40151</v>
      </c>
      <c r="B760" s="393">
        <v>139575</v>
      </c>
      <c r="C760" s="394">
        <v>2345</v>
      </c>
      <c r="D760" s="397">
        <v>16100</v>
      </c>
      <c r="E760" s="400">
        <f t="shared" si="13"/>
        <v>1610</v>
      </c>
    </row>
    <row r="761" spans="1:5">
      <c r="A761" s="399">
        <v>40154</v>
      </c>
      <c r="B761" s="393">
        <v>140350</v>
      </c>
      <c r="C761" s="394">
        <v>2297</v>
      </c>
      <c r="D761" s="397">
        <v>16000</v>
      </c>
      <c r="E761" s="400">
        <f t="shared" si="13"/>
        <v>1600</v>
      </c>
    </row>
    <row r="762" spans="1:5">
      <c r="A762" s="399">
        <v>40155</v>
      </c>
      <c r="B762" s="393">
        <v>140725</v>
      </c>
      <c r="C762" s="394">
        <v>2256</v>
      </c>
      <c r="D762" s="397">
        <v>15850</v>
      </c>
      <c r="E762" s="400">
        <f t="shared" si="13"/>
        <v>1585</v>
      </c>
    </row>
    <row r="763" spans="1:5">
      <c r="A763" s="399">
        <v>40156</v>
      </c>
      <c r="B763" s="393">
        <v>140800</v>
      </c>
      <c r="C763" s="394">
        <v>2275</v>
      </c>
      <c r="D763" s="397">
        <v>15650</v>
      </c>
      <c r="E763" s="400">
        <f t="shared" si="13"/>
        <v>1565</v>
      </c>
    </row>
    <row r="764" spans="1:5">
      <c r="A764" s="399">
        <v>40157</v>
      </c>
      <c r="B764" s="393">
        <v>140750</v>
      </c>
      <c r="C764" s="394">
        <v>2260</v>
      </c>
      <c r="D764" s="397">
        <v>15650</v>
      </c>
      <c r="E764" s="400">
        <f t="shared" si="13"/>
        <v>1565</v>
      </c>
    </row>
    <row r="765" spans="1:5">
      <c r="A765" s="399">
        <v>40158</v>
      </c>
      <c r="B765" s="393">
        <v>140975</v>
      </c>
      <c r="C765" s="394">
        <v>2290</v>
      </c>
      <c r="D765" s="397">
        <v>15650</v>
      </c>
      <c r="E765" s="400">
        <f t="shared" si="13"/>
        <v>1565</v>
      </c>
    </row>
    <row r="766" spans="1:5">
      <c r="A766" s="399">
        <v>40161</v>
      </c>
      <c r="B766" s="393">
        <v>140925</v>
      </c>
      <c r="C766" s="394">
        <v>2291</v>
      </c>
      <c r="D766" s="397">
        <v>15700</v>
      </c>
      <c r="E766" s="400">
        <f t="shared" si="13"/>
        <v>1570</v>
      </c>
    </row>
    <row r="767" spans="1:5">
      <c r="A767" s="399">
        <v>40162</v>
      </c>
      <c r="B767" s="393">
        <v>140925</v>
      </c>
      <c r="C767" s="394">
        <v>2294</v>
      </c>
      <c r="D767" s="397">
        <v>15700</v>
      </c>
      <c r="E767" s="400">
        <f t="shared" si="13"/>
        <v>1570</v>
      </c>
    </row>
    <row r="768" spans="1:5">
      <c r="A768" s="399">
        <v>40163</v>
      </c>
      <c r="B768" s="393">
        <v>141575</v>
      </c>
      <c r="C768" s="394">
        <v>2368</v>
      </c>
      <c r="D768" s="397">
        <v>15700</v>
      </c>
      <c r="E768" s="400">
        <f t="shared" si="13"/>
        <v>1570</v>
      </c>
    </row>
    <row r="769" spans="1:5">
      <c r="A769" s="399">
        <v>40164</v>
      </c>
      <c r="B769" s="393">
        <v>141925</v>
      </c>
      <c r="C769" s="394">
        <v>2332</v>
      </c>
      <c r="D769" s="397">
        <v>15750</v>
      </c>
      <c r="E769" s="400">
        <f t="shared" si="13"/>
        <v>1575</v>
      </c>
    </row>
    <row r="770" spans="1:5">
      <c r="A770" s="399">
        <v>40165</v>
      </c>
      <c r="B770" s="393">
        <v>142175</v>
      </c>
      <c r="C770" s="394">
        <v>2314.5</v>
      </c>
      <c r="D770" s="397">
        <v>15650</v>
      </c>
      <c r="E770" s="400">
        <f t="shared" si="13"/>
        <v>1565</v>
      </c>
    </row>
    <row r="771" spans="1:5">
      <c r="A771" s="399">
        <v>40168</v>
      </c>
      <c r="B771" s="393">
        <v>142975</v>
      </c>
      <c r="C771" s="394">
        <v>2320</v>
      </c>
      <c r="D771" s="397">
        <v>15625</v>
      </c>
      <c r="E771" s="400">
        <f t="shared" ref="E771:E834" si="15">D771/10</f>
        <v>1562.5</v>
      </c>
    </row>
    <row r="772" spans="1:5">
      <c r="A772" s="399">
        <v>40169</v>
      </c>
      <c r="B772" s="393">
        <v>143175</v>
      </c>
      <c r="C772" s="394">
        <v>2271</v>
      </c>
      <c r="D772" s="397">
        <v>15600</v>
      </c>
      <c r="E772" s="400">
        <f t="shared" si="15"/>
        <v>1560</v>
      </c>
    </row>
    <row r="773" spans="1:5">
      <c r="A773" s="399">
        <v>40170</v>
      </c>
      <c r="B773" s="393">
        <v>144175</v>
      </c>
      <c r="C773" s="394">
        <v>2300</v>
      </c>
      <c r="D773" s="397">
        <v>15550</v>
      </c>
      <c r="E773" s="400">
        <f t="shared" si="15"/>
        <v>1555</v>
      </c>
    </row>
    <row r="774" spans="1:5">
      <c r="A774" s="399">
        <v>40171</v>
      </c>
      <c r="B774" s="393">
        <v>144275</v>
      </c>
      <c r="C774" s="394">
        <v>2327</v>
      </c>
      <c r="D774" s="397">
        <v>15600</v>
      </c>
      <c r="E774" s="400">
        <f t="shared" si="15"/>
        <v>1560</v>
      </c>
    </row>
    <row r="775" spans="1:5">
      <c r="A775" s="399">
        <v>40172</v>
      </c>
      <c r="B775" s="393">
        <v>144275</v>
      </c>
      <c r="C775" s="394">
        <v>2327</v>
      </c>
      <c r="D775" s="397">
        <v>15600</v>
      </c>
      <c r="E775" s="400">
        <f t="shared" si="15"/>
        <v>1560</v>
      </c>
    </row>
    <row r="776" spans="1:5">
      <c r="A776" s="399">
        <v>40175</v>
      </c>
      <c r="B776" s="393">
        <v>144275</v>
      </c>
      <c r="C776" s="394">
        <v>2327</v>
      </c>
      <c r="D776" s="397">
        <v>15600</v>
      </c>
      <c r="E776" s="400">
        <f t="shared" si="15"/>
        <v>1560</v>
      </c>
    </row>
    <row r="777" spans="1:5">
      <c r="A777" s="399">
        <v>40176</v>
      </c>
      <c r="B777" s="393">
        <v>145225</v>
      </c>
      <c r="C777" s="394">
        <v>2365.5</v>
      </c>
      <c r="D777" s="397">
        <v>15650</v>
      </c>
      <c r="E777" s="400">
        <f t="shared" si="15"/>
        <v>1565</v>
      </c>
    </row>
    <row r="778" spans="1:5">
      <c r="A778" s="399">
        <v>40177</v>
      </c>
      <c r="B778" s="393">
        <v>146075</v>
      </c>
      <c r="C778" s="394">
        <v>2397</v>
      </c>
      <c r="D778" s="397">
        <v>15750</v>
      </c>
      <c r="E778" s="400">
        <f t="shared" si="15"/>
        <v>1575</v>
      </c>
    </row>
    <row r="779" spans="1:5">
      <c r="A779" s="399">
        <v>40178</v>
      </c>
      <c r="B779" s="393">
        <v>146500</v>
      </c>
      <c r="C779" s="394">
        <v>2395</v>
      </c>
      <c r="D779" s="397">
        <v>16000</v>
      </c>
      <c r="E779" s="400">
        <f t="shared" si="15"/>
        <v>1600</v>
      </c>
    </row>
    <row r="780" spans="1:5">
      <c r="A780" s="399">
        <v>40182</v>
      </c>
      <c r="B780" s="393">
        <v>146775</v>
      </c>
      <c r="C780" s="394">
        <v>2451.5</v>
      </c>
      <c r="D780" s="397">
        <v>16000</v>
      </c>
      <c r="E780" s="400">
        <f t="shared" si="15"/>
        <v>1600</v>
      </c>
    </row>
    <row r="781" spans="1:5">
      <c r="A781" s="399">
        <v>40183</v>
      </c>
      <c r="B781" s="393">
        <v>147175</v>
      </c>
      <c r="C781" s="394">
        <v>2440</v>
      </c>
      <c r="D781" s="397">
        <v>16050</v>
      </c>
      <c r="E781" s="400">
        <f t="shared" si="15"/>
        <v>1605</v>
      </c>
    </row>
    <row r="782" spans="1:5">
      <c r="A782" s="399">
        <v>40184</v>
      </c>
      <c r="B782" s="393">
        <v>147850</v>
      </c>
      <c r="C782" s="394">
        <v>2582</v>
      </c>
      <c r="D782" s="397">
        <v>16200</v>
      </c>
      <c r="E782" s="400">
        <f t="shared" si="15"/>
        <v>1620</v>
      </c>
    </row>
    <row r="783" spans="1:5">
      <c r="A783" s="399">
        <v>40185</v>
      </c>
      <c r="B783" s="393">
        <v>149150</v>
      </c>
      <c r="C783" s="394">
        <v>2591</v>
      </c>
      <c r="D783" s="397">
        <v>16500</v>
      </c>
      <c r="E783" s="400">
        <f t="shared" si="15"/>
        <v>1650</v>
      </c>
    </row>
    <row r="784" spans="1:5">
      <c r="A784" s="399">
        <v>40186</v>
      </c>
      <c r="B784" s="393">
        <v>149375</v>
      </c>
      <c r="C784" s="394">
        <v>2524</v>
      </c>
      <c r="D784" s="397">
        <v>16500</v>
      </c>
      <c r="E784" s="400">
        <f t="shared" si="15"/>
        <v>1650</v>
      </c>
    </row>
    <row r="785" spans="1:5">
      <c r="A785" s="399">
        <v>40189</v>
      </c>
      <c r="B785" s="393">
        <v>150100</v>
      </c>
      <c r="C785" s="394">
        <v>2576</v>
      </c>
      <c r="D785" s="397">
        <v>16500</v>
      </c>
      <c r="E785" s="400">
        <f t="shared" si="15"/>
        <v>1650</v>
      </c>
    </row>
    <row r="786" spans="1:5">
      <c r="A786" s="399">
        <v>40190</v>
      </c>
      <c r="B786" s="393">
        <v>150150</v>
      </c>
      <c r="C786" s="394">
        <v>2414.5</v>
      </c>
      <c r="D786" s="397">
        <v>16800</v>
      </c>
      <c r="E786" s="400">
        <f t="shared" si="15"/>
        <v>1680</v>
      </c>
    </row>
    <row r="787" spans="1:5">
      <c r="A787" s="399">
        <v>40191</v>
      </c>
      <c r="B787" s="393">
        <v>150150</v>
      </c>
      <c r="C787" s="394">
        <v>2435</v>
      </c>
      <c r="D787" s="397">
        <v>16500</v>
      </c>
      <c r="E787" s="400">
        <f t="shared" si="15"/>
        <v>1650</v>
      </c>
    </row>
    <row r="788" spans="1:5">
      <c r="A788" s="399">
        <v>40192</v>
      </c>
      <c r="B788" s="393">
        <v>150300</v>
      </c>
      <c r="C788" s="394">
        <v>2451</v>
      </c>
      <c r="D788" s="397">
        <v>16600</v>
      </c>
      <c r="E788" s="400">
        <f t="shared" si="15"/>
        <v>1660</v>
      </c>
    </row>
    <row r="789" spans="1:5">
      <c r="A789" s="399">
        <v>40193</v>
      </c>
      <c r="B789" s="393">
        <v>150750</v>
      </c>
      <c r="C789" s="394">
        <v>2440</v>
      </c>
      <c r="D789" s="397">
        <v>16600</v>
      </c>
      <c r="E789" s="400">
        <f t="shared" si="15"/>
        <v>1660</v>
      </c>
    </row>
    <row r="790" spans="1:5">
      <c r="A790" s="399">
        <v>40196</v>
      </c>
      <c r="B790" s="393">
        <v>151350</v>
      </c>
      <c r="C790" s="394">
        <v>2451.5</v>
      </c>
      <c r="D790" s="397">
        <v>16600</v>
      </c>
      <c r="E790" s="400">
        <f t="shared" si="15"/>
        <v>1660</v>
      </c>
    </row>
    <row r="791" spans="1:5">
      <c r="A791" s="399">
        <v>40197</v>
      </c>
      <c r="B791" s="393">
        <v>151425</v>
      </c>
      <c r="C791" s="394">
        <v>2420.5</v>
      </c>
      <c r="D791" s="397">
        <v>16800</v>
      </c>
      <c r="E791" s="400">
        <f t="shared" si="15"/>
        <v>1680</v>
      </c>
    </row>
    <row r="792" spans="1:5">
      <c r="A792" s="399">
        <v>40198</v>
      </c>
      <c r="B792" s="393">
        <v>152175</v>
      </c>
      <c r="C792" s="394">
        <v>2405.5</v>
      </c>
      <c r="D792" s="397">
        <v>16800</v>
      </c>
      <c r="E792" s="400">
        <f t="shared" si="15"/>
        <v>1680</v>
      </c>
    </row>
    <row r="793" spans="1:5">
      <c r="A793" s="399">
        <v>40199</v>
      </c>
      <c r="B793" s="393">
        <v>153175</v>
      </c>
      <c r="C793" s="394">
        <v>2273</v>
      </c>
      <c r="D793" s="397">
        <v>16600</v>
      </c>
      <c r="E793" s="400">
        <f t="shared" si="15"/>
        <v>1660</v>
      </c>
    </row>
    <row r="794" spans="1:5">
      <c r="A794" s="399">
        <v>40200</v>
      </c>
      <c r="B794" s="393">
        <v>153475</v>
      </c>
      <c r="C794" s="394">
        <v>2227</v>
      </c>
      <c r="D794" s="397">
        <v>16400</v>
      </c>
      <c r="E794" s="400">
        <f t="shared" si="15"/>
        <v>1640</v>
      </c>
    </row>
    <row r="795" spans="1:5">
      <c r="A795" s="399">
        <v>40203</v>
      </c>
      <c r="B795" s="393">
        <v>153700</v>
      </c>
      <c r="C795" s="394">
        <v>2235</v>
      </c>
      <c r="D795" s="397">
        <v>16150</v>
      </c>
      <c r="E795" s="400">
        <f t="shared" si="15"/>
        <v>1615</v>
      </c>
    </row>
    <row r="796" spans="1:5">
      <c r="A796" s="399">
        <v>40204</v>
      </c>
      <c r="B796" s="393">
        <v>154050</v>
      </c>
      <c r="C796" s="394">
        <v>2165.5</v>
      </c>
      <c r="D796" s="397">
        <v>16150</v>
      </c>
      <c r="E796" s="400">
        <f t="shared" si="15"/>
        <v>1615</v>
      </c>
    </row>
    <row r="797" spans="1:5">
      <c r="A797" s="399">
        <v>40205</v>
      </c>
      <c r="B797" s="393">
        <v>155775</v>
      </c>
      <c r="C797" s="394">
        <v>2140</v>
      </c>
      <c r="D797" s="397">
        <v>16050</v>
      </c>
      <c r="E797" s="400">
        <f t="shared" si="15"/>
        <v>1605</v>
      </c>
    </row>
    <row r="798" spans="1:5">
      <c r="A798" s="399">
        <v>40206</v>
      </c>
      <c r="B798" s="393">
        <v>156125</v>
      </c>
      <c r="C798" s="394">
        <v>2089.5</v>
      </c>
      <c r="D798" s="397">
        <v>15600</v>
      </c>
      <c r="E798" s="400">
        <f t="shared" si="15"/>
        <v>1560</v>
      </c>
    </row>
    <row r="799" spans="1:5">
      <c r="A799" s="399">
        <v>40207</v>
      </c>
      <c r="B799" s="393">
        <v>157300</v>
      </c>
      <c r="C799" s="394">
        <v>2055</v>
      </c>
      <c r="D799" s="397">
        <v>15200</v>
      </c>
      <c r="E799" s="400">
        <f t="shared" si="15"/>
        <v>1520</v>
      </c>
    </row>
    <row r="800" spans="1:5">
      <c r="A800" s="399">
        <v>40210</v>
      </c>
      <c r="B800" s="393">
        <v>157500</v>
      </c>
      <c r="C800" s="394">
        <v>2001</v>
      </c>
      <c r="D800" s="397">
        <v>15150</v>
      </c>
      <c r="E800" s="400">
        <f t="shared" si="15"/>
        <v>1515</v>
      </c>
    </row>
    <row r="801" spans="1:5">
      <c r="A801" s="399">
        <v>40211</v>
      </c>
      <c r="B801" s="393">
        <v>157725</v>
      </c>
      <c r="C801" s="394">
        <v>2095</v>
      </c>
      <c r="D801" s="397">
        <v>15150</v>
      </c>
      <c r="E801" s="400">
        <f t="shared" si="15"/>
        <v>1515</v>
      </c>
    </row>
    <row r="802" spans="1:5">
      <c r="A802" s="399">
        <v>40212</v>
      </c>
      <c r="B802" s="393">
        <v>157975</v>
      </c>
      <c r="C802" s="394">
        <v>2110</v>
      </c>
      <c r="D802" s="397">
        <v>15350</v>
      </c>
      <c r="E802" s="400">
        <f t="shared" si="15"/>
        <v>1535</v>
      </c>
    </row>
    <row r="803" spans="1:5">
      <c r="A803" s="399">
        <v>40213</v>
      </c>
      <c r="B803" s="393">
        <v>158025</v>
      </c>
      <c r="C803" s="394">
        <v>2005</v>
      </c>
      <c r="D803" s="397">
        <v>15550</v>
      </c>
      <c r="E803" s="400">
        <f t="shared" si="15"/>
        <v>1555</v>
      </c>
    </row>
    <row r="804" spans="1:5">
      <c r="A804" s="399">
        <v>40214</v>
      </c>
      <c r="B804" s="393">
        <v>158375</v>
      </c>
      <c r="C804" s="394">
        <v>1925</v>
      </c>
      <c r="D804" s="397">
        <v>15200</v>
      </c>
      <c r="E804" s="400">
        <f t="shared" si="15"/>
        <v>1520</v>
      </c>
    </row>
    <row r="805" spans="1:5">
      <c r="A805" s="399">
        <v>40217</v>
      </c>
      <c r="B805" s="393">
        <v>157875</v>
      </c>
      <c r="C805" s="394">
        <v>1935</v>
      </c>
      <c r="D805" s="397">
        <v>15300</v>
      </c>
      <c r="E805" s="400">
        <f t="shared" si="15"/>
        <v>1530</v>
      </c>
    </row>
    <row r="806" spans="1:5">
      <c r="A806" s="399">
        <v>40218</v>
      </c>
      <c r="B806" s="393">
        <v>157875</v>
      </c>
      <c r="C806" s="394">
        <v>1972</v>
      </c>
      <c r="D806" s="397">
        <v>15350</v>
      </c>
      <c r="E806" s="400">
        <f t="shared" si="15"/>
        <v>1535</v>
      </c>
    </row>
    <row r="807" spans="1:5">
      <c r="A807" s="399">
        <v>40219</v>
      </c>
      <c r="B807" s="393">
        <v>157525</v>
      </c>
      <c r="C807" s="394">
        <v>2079.5</v>
      </c>
      <c r="D807" s="397">
        <v>15600</v>
      </c>
      <c r="E807" s="400">
        <f t="shared" si="15"/>
        <v>1560</v>
      </c>
    </row>
    <row r="808" spans="1:5">
      <c r="A808" s="399">
        <v>40220</v>
      </c>
      <c r="B808" s="393">
        <v>158075</v>
      </c>
      <c r="C808" s="394">
        <v>2065</v>
      </c>
      <c r="D808" s="397">
        <v>15700</v>
      </c>
      <c r="E808" s="400">
        <f t="shared" si="15"/>
        <v>1570</v>
      </c>
    </row>
    <row r="809" spans="1:5">
      <c r="A809" s="399">
        <v>40221</v>
      </c>
      <c r="B809" s="393">
        <v>159225</v>
      </c>
      <c r="C809" s="394">
        <v>2080</v>
      </c>
      <c r="D809" s="397">
        <v>15800</v>
      </c>
      <c r="E809" s="400">
        <f t="shared" si="15"/>
        <v>1580</v>
      </c>
    </row>
    <row r="810" spans="1:5">
      <c r="A810" s="399">
        <v>40224</v>
      </c>
      <c r="B810" s="393">
        <v>159200</v>
      </c>
      <c r="C810" s="394">
        <v>2135</v>
      </c>
      <c r="D810" s="397">
        <v>15800</v>
      </c>
      <c r="E810" s="400">
        <f>D810/10</f>
        <v>1580</v>
      </c>
    </row>
    <row r="811" spans="1:5">
      <c r="A811" s="399">
        <v>40225</v>
      </c>
      <c r="B811" s="393">
        <v>159525</v>
      </c>
      <c r="C811" s="394">
        <v>2196</v>
      </c>
      <c r="D811" s="397">
        <v>15800</v>
      </c>
      <c r="E811" s="400">
        <f>D811/10</f>
        <v>1580</v>
      </c>
    </row>
    <row r="812" spans="1:5">
      <c r="A812" s="399">
        <v>40226</v>
      </c>
      <c r="B812" s="393">
        <v>160200</v>
      </c>
      <c r="C812" s="394">
        <v>2275</v>
      </c>
      <c r="D812" s="397">
        <v>15800</v>
      </c>
      <c r="E812" s="400">
        <f>D812/10</f>
        <v>1580</v>
      </c>
    </row>
    <row r="813" spans="1:5">
      <c r="A813" s="399">
        <v>40227</v>
      </c>
      <c r="B813" s="393">
        <v>160250</v>
      </c>
      <c r="C813" s="394">
        <v>2240</v>
      </c>
      <c r="D813" s="397">
        <v>15800</v>
      </c>
      <c r="E813" s="400">
        <f>D813/10</f>
        <v>1580</v>
      </c>
    </row>
    <row r="814" spans="1:5">
      <c r="A814" s="399">
        <v>40228</v>
      </c>
      <c r="B814" s="393">
        <v>160250</v>
      </c>
      <c r="C814" s="394">
        <v>2289.5</v>
      </c>
      <c r="D814" s="397">
        <v>15800</v>
      </c>
      <c r="E814" s="400">
        <f>D814/10</f>
        <v>1580</v>
      </c>
    </row>
    <row r="815" spans="1:5">
      <c r="A815" s="399">
        <v>40231</v>
      </c>
      <c r="B815" s="393">
        <v>160600</v>
      </c>
      <c r="C815" s="394">
        <v>2319.5</v>
      </c>
      <c r="D815" s="397">
        <v>16150</v>
      </c>
      <c r="E815" s="400">
        <f t="shared" si="15"/>
        <v>1615</v>
      </c>
    </row>
    <row r="816" spans="1:5">
      <c r="A816" s="399">
        <v>40232</v>
      </c>
      <c r="B816" s="393">
        <v>160700</v>
      </c>
      <c r="C816" s="394">
        <v>2295</v>
      </c>
      <c r="D816" s="397">
        <v>16300</v>
      </c>
      <c r="E816" s="400">
        <f t="shared" si="15"/>
        <v>1630</v>
      </c>
    </row>
    <row r="817" spans="1:5">
      <c r="A817" s="399">
        <v>40233</v>
      </c>
      <c r="B817" s="393">
        <v>161975</v>
      </c>
      <c r="C817" s="394">
        <v>2167.5</v>
      </c>
      <c r="D817" s="397">
        <v>16100</v>
      </c>
      <c r="E817" s="400">
        <f t="shared" si="15"/>
        <v>1610</v>
      </c>
    </row>
    <row r="818" spans="1:5">
      <c r="A818" s="399">
        <v>40234</v>
      </c>
      <c r="B818" s="393">
        <v>163025</v>
      </c>
      <c r="C818" s="394">
        <v>2150</v>
      </c>
      <c r="D818" s="397">
        <v>16000</v>
      </c>
      <c r="E818" s="400">
        <f t="shared" si="15"/>
        <v>1600</v>
      </c>
    </row>
    <row r="819" spans="1:5">
      <c r="A819" s="399">
        <v>40235</v>
      </c>
      <c r="B819" s="393">
        <v>165075</v>
      </c>
      <c r="C819" s="394">
        <v>2138.5</v>
      </c>
      <c r="D819" s="397">
        <v>15800</v>
      </c>
      <c r="E819" s="400">
        <f t="shared" si="15"/>
        <v>1580</v>
      </c>
    </row>
    <row r="820" spans="1:5">
      <c r="A820" s="399">
        <v>40238</v>
      </c>
      <c r="B820" s="393">
        <v>167200</v>
      </c>
      <c r="C820" s="394">
        <v>2151.5</v>
      </c>
      <c r="D820" s="397">
        <v>15800</v>
      </c>
      <c r="E820" s="400">
        <f t="shared" si="15"/>
        <v>1580</v>
      </c>
    </row>
    <row r="821" spans="1:5">
      <c r="A821" s="399">
        <v>40239</v>
      </c>
      <c r="B821" s="393">
        <v>167725</v>
      </c>
      <c r="C821" s="394">
        <v>2150</v>
      </c>
      <c r="D821" s="397">
        <v>15700</v>
      </c>
      <c r="E821" s="400">
        <f t="shared" si="15"/>
        <v>1570</v>
      </c>
    </row>
    <row r="822" spans="1:5">
      <c r="A822" s="399">
        <v>40240</v>
      </c>
      <c r="B822" s="393">
        <v>167975</v>
      </c>
      <c r="C822" s="394">
        <v>2201</v>
      </c>
      <c r="D822" s="397">
        <v>15700</v>
      </c>
      <c r="E822" s="400">
        <f t="shared" si="15"/>
        <v>1570</v>
      </c>
    </row>
    <row r="823" spans="1:5">
      <c r="A823" s="399">
        <v>40241</v>
      </c>
      <c r="B823" s="393">
        <v>168675</v>
      </c>
      <c r="C823" s="394">
        <v>2196.5</v>
      </c>
      <c r="D823" s="397">
        <v>15700</v>
      </c>
      <c r="E823" s="400">
        <f t="shared" si="15"/>
        <v>1570</v>
      </c>
    </row>
    <row r="824" spans="1:5">
      <c r="A824" s="399">
        <v>40242</v>
      </c>
      <c r="B824" s="393">
        <v>169975</v>
      </c>
      <c r="C824" s="394">
        <v>2178</v>
      </c>
      <c r="D824" s="397">
        <v>15700</v>
      </c>
      <c r="E824" s="400">
        <f t="shared" si="15"/>
        <v>1570</v>
      </c>
    </row>
    <row r="825" spans="1:5">
      <c r="A825" s="399">
        <v>40245</v>
      </c>
      <c r="B825" s="393">
        <v>170525</v>
      </c>
      <c r="C825" s="394">
        <v>2240.5</v>
      </c>
      <c r="D825" s="397">
        <v>15800</v>
      </c>
      <c r="E825" s="400">
        <f t="shared" si="15"/>
        <v>1580</v>
      </c>
    </row>
    <row r="826" spans="1:5">
      <c r="A826" s="399">
        <v>40246</v>
      </c>
      <c r="B826" s="393">
        <v>170350</v>
      </c>
      <c r="C826" s="394">
        <v>2206</v>
      </c>
      <c r="D826" s="397">
        <v>15800</v>
      </c>
      <c r="E826" s="400">
        <f t="shared" si="15"/>
        <v>1580</v>
      </c>
    </row>
    <row r="827" spans="1:5">
      <c r="A827" s="399">
        <v>40247</v>
      </c>
      <c r="B827" s="393">
        <v>170475</v>
      </c>
      <c r="C827" s="394">
        <v>2282.5</v>
      </c>
      <c r="D827" s="397">
        <v>15800</v>
      </c>
      <c r="E827" s="400">
        <f t="shared" si="15"/>
        <v>1580</v>
      </c>
    </row>
    <row r="828" spans="1:5">
      <c r="A828" s="399">
        <v>40248</v>
      </c>
      <c r="B828" s="393">
        <v>170225</v>
      </c>
      <c r="C828" s="394">
        <v>2241</v>
      </c>
      <c r="D828" s="397">
        <v>15700</v>
      </c>
      <c r="E828" s="400">
        <f t="shared" si="15"/>
        <v>1570</v>
      </c>
    </row>
    <row r="829" spans="1:5">
      <c r="A829" s="399">
        <v>40249</v>
      </c>
      <c r="B829" s="393">
        <v>170150</v>
      </c>
      <c r="C829" s="394">
        <v>2251</v>
      </c>
      <c r="D829" s="397">
        <v>15800</v>
      </c>
      <c r="E829" s="400">
        <f t="shared" si="15"/>
        <v>1580</v>
      </c>
    </row>
    <row r="830" spans="1:5">
      <c r="A830" s="399">
        <v>40252</v>
      </c>
      <c r="B830" s="393">
        <v>170425</v>
      </c>
      <c r="C830" s="394">
        <v>2185</v>
      </c>
      <c r="D830" s="397">
        <v>15700</v>
      </c>
      <c r="E830" s="400">
        <f t="shared" si="15"/>
        <v>1570</v>
      </c>
    </row>
    <row r="831" spans="1:5">
      <c r="A831" s="399">
        <v>40253</v>
      </c>
      <c r="B831" s="393">
        <v>170300</v>
      </c>
      <c r="C831" s="394">
        <v>2194.5</v>
      </c>
      <c r="D831" s="397">
        <v>15600</v>
      </c>
      <c r="E831" s="400">
        <f t="shared" si="15"/>
        <v>1560</v>
      </c>
    </row>
    <row r="832" spans="1:5">
      <c r="A832" s="399">
        <v>40254</v>
      </c>
      <c r="B832" s="393">
        <v>170375</v>
      </c>
      <c r="C832" s="394">
        <v>2245</v>
      </c>
      <c r="D832" s="397">
        <v>15700</v>
      </c>
      <c r="E832" s="400">
        <f t="shared" si="15"/>
        <v>1570</v>
      </c>
    </row>
    <row r="833" spans="1:5">
      <c r="A833" s="399">
        <v>40255</v>
      </c>
      <c r="B833" s="393">
        <v>170350</v>
      </c>
      <c r="C833" s="394">
        <v>2222.5</v>
      </c>
      <c r="D833" s="397">
        <v>15750</v>
      </c>
      <c r="E833" s="400">
        <f t="shared" si="15"/>
        <v>1575</v>
      </c>
    </row>
    <row r="834" spans="1:5">
      <c r="A834" s="399">
        <v>40256</v>
      </c>
      <c r="B834" s="393">
        <v>171000</v>
      </c>
      <c r="C834" s="394">
        <v>2210.5</v>
      </c>
      <c r="D834" s="397">
        <v>15750</v>
      </c>
      <c r="E834" s="400">
        <f t="shared" si="15"/>
        <v>1575</v>
      </c>
    </row>
    <row r="835" spans="1:5">
      <c r="A835" s="399">
        <v>40259</v>
      </c>
      <c r="B835" s="393">
        <v>171375</v>
      </c>
      <c r="C835" s="394">
        <v>2140</v>
      </c>
      <c r="D835" s="397">
        <v>15700</v>
      </c>
      <c r="E835" s="400">
        <f t="shared" ref="E835:E898" si="16">D835/10</f>
        <v>1570</v>
      </c>
    </row>
    <row r="836" spans="1:5">
      <c r="A836" s="399">
        <v>40260</v>
      </c>
      <c r="B836" s="393">
        <v>171850</v>
      </c>
      <c r="C836" s="394">
        <v>2136</v>
      </c>
      <c r="D836" s="397">
        <v>15600</v>
      </c>
      <c r="E836" s="400">
        <f t="shared" si="16"/>
        <v>1560</v>
      </c>
    </row>
    <row r="837" spans="1:5">
      <c r="A837" s="399">
        <v>40261</v>
      </c>
      <c r="B837" s="393">
        <v>171600</v>
      </c>
      <c r="C837" s="394">
        <v>2001</v>
      </c>
      <c r="D837" s="397">
        <v>15550</v>
      </c>
      <c r="E837" s="400">
        <f t="shared" si="16"/>
        <v>1555</v>
      </c>
    </row>
    <row r="838" spans="1:5">
      <c r="A838" s="399">
        <v>40262</v>
      </c>
      <c r="B838" s="393">
        <v>172000</v>
      </c>
      <c r="C838" s="394">
        <v>2025.5</v>
      </c>
      <c r="D838" s="397">
        <v>15400</v>
      </c>
      <c r="E838" s="400">
        <f t="shared" si="16"/>
        <v>1540</v>
      </c>
    </row>
    <row r="839" spans="1:5">
      <c r="A839" s="399">
        <v>40263</v>
      </c>
      <c r="B839" s="393">
        <v>172250</v>
      </c>
      <c r="C839" s="394">
        <v>2090</v>
      </c>
      <c r="D839" s="397">
        <v>15450</v>
      </c>
      <c r="E839" s="400">
        <f t="shared" si="16"/>
        <v>1545</v>
      </c>
    </row>
    <row r="840" spans="1:5">
      <c r="A840" s="399">
        <v>40265</v>
      </c>
      <c r="B840" s="393">
        <v>174525</v>
      </c>
      <c r="C840" s="394">
        <v>2153</v>
      </c>
      <c r="D840" s="397">
        <v>15550</v>
      </c>
      <c r="E840" s="400">
        <f t="shared" si="16"/>
        <v>1555</v>
      </c>
    </row>
    <row r="841" spans="1:5">
      <c r="A841" s="399">
        <v>40267</v>
      </c>
      <c r="B841" s="393">
        <v>175725</v>
      </c>
      <c r="C841" s="394">
        <v>2137</v>
      </c>
      <c r="D841" s="397">
        <v>15600</v>
      </c>
      <c r="E841" s="400">
        <f t="shared" si="16"/>
        <v>1560</v>
      </c>
    </row>
    <row r="842" spans="1:5">
      <c r="A842" s="399">
        <v>40268</v>
      </c>
      <c r="B842" s="393">
        <v>175850</v>
      </c>
      <c r="C842" s="394">
        <v>2120</v>
      </c>
      <c r="D842" s="397">
        <v>15600</v>
      </c>
      <c r="E842" s="400">
        <f t="shared" si="16"/>
        <v>1560</v>
      </c>
    </row>
    <row r="843" spans="1:5">
      <c r="A843" s="399">
        <v>40269</v>
      </c>
      <c r="B843" s="393">
        <v>176325</v>
      </c>
      <c r="C843" s="394">
        <v>2182.5</v>
      </c>
      <c r="D843" s="397">
        <v>15600</v>
      </c>
      <c r="E843" s="400">
        <f t="shared" si="16"/>
        <v>1560</v>
      </c>
    </row>
    <row r="844" spans="1:5">
      <c r="A844" s="399">
        <v>40270</v>
      </c>
      <c r="B844" s="393">
        <v>176325</v>
      </c>
      <c r="C844" s="394">
        <v>2182.5</v>
      </c>
      <c r="D844" s="397">
        <v>15700</v>
      </c>
      <c r="E844" s="400">
        <f t="shared" si="16"/>
        <v>1570</v>
      </c>
    </row>
    <row r="845" spans="1:5">
      <c r="A845" s="399">
        <v>40273</v>
      </c>
      <c r="B845" s="393">
        <v>176325</v>
      </c>
      <c r="C845" s="394">
        <v>2182.5</v>
      </c>
      <c r="D845" s="397">
        <v>15700</v>
      </c>
      <c r="E845" s="400">
        <f>D845/10</f>
        <v>1570</v>
      </c>
    </row>
    <row r="846" spans="1:5">
      <c r="A846" s="399">
        <v>40274</v>
      </c>
      <c r="B846" s="393">
        <v>175725</v>
      </c>
      <c r="C846" s="394">
        <v>2228</v>
      </c>
      <c r="D846" s="397">
        <v>15700</v>
      </c>
      <c r="E846" s="400">
        <f t="shared" si="16"/>
        <v>1570</v>
      </c>
    </row>
    <row r="847" spans="1:5">
      <c r="A847" s="399">
        <v>40275</v>
      </c>
      <c r="B847" s="393">
        <v>175600</v>
      </c>
      <c r="C847" s="394">
        <v>2262.5</v>
      </c>
      <c r="D847" s="397">
        <v>15800</v>
      </c>
      <c r="E847" s="400">
        <f t="shared" si="16"/>
        <v>1580</v>
      </c>
    </row>
    <row r="848" spans="1:5">
      <c r="A848" s="399">
        <v>40276</v>
      </c>
      <c r="B848" s="393">
        <v>175025</v>
      </c>
      <c r="C848" s="394">
        <v>2225</v>
      </c>
      <c r="D848" s="397">
        <v>15800</v>
      </c>
      <c r="E848" s="400">
        <f t="shared" si="16"/>
        <v>1580</v>
      </c>
    </row>
    <row r="849" spans="1:5">
      <c r="A849" s="399">
        <v>40277</v>
      </c>
      <c r="B849" s="393">
        <v>174400</v>
      </c>
      <c r="C849" s="394">
        <v>2280</v>
      </c>
      <c r="D849" s="397">
        <v>15700</v>
      </c>
      <c r="E849" s="400">
        <f t="shared" si="16"/>
        <v>1570</v>
      </c>
    </row>
    <row r="850" spans="1:5">
      <c r="A850" s="399">
        <v>40280</v>
      </c>
      <c r="B850" s="393">
        <v>173750</v>
      </c>
      <c r="C850" s="394">
        <v>2315</v>
      </c>
      <c r="D850" s="397">
        <v>15900</v>
      </c>
      <c r="E850" s="400">
        <f t="shared" si="16"/>
        <v>1590</v>
      </c>
    </row>
    <row r="851" spans="1:5">
      <c r="A851" s="399">
        <v>40281</v>
      </c>
      <c r="B851" s="393">
        <v>173575</v>
      </c>
      <c r="C851" s="394">
        <v>2305.5</v>
      </c>
      <c r="D851" s="397">
        <v>15950</v>
      </c>
      <c r="E851" s="400">
        <f t="shared" si="16"/>
        <v>1595</v>
      </c>
    </row>
    <row r="852" spans="1:5">
      <c r="A852" s="399">
        <v>40282</v>
      </c>
      <c r="B852" s="393">
        <v>180425</v>
      </c>
      <c r="C852" s="394">
        <v>2333.5</v>
      </c>
      <c r="D852" s="397">
        <v>15950</v>
      </c>
      <c r="E852" s="400">
        <f t="shared" si="16"/>
        <v>1595</v>
      </c>
    </row>
    <row r="853" spans="1:5">
      <c r="A853" s="399">
        <v>40283</v>
      </c>
      <c r="B853" s="393">
        <v>180075</v>
      </c>
      <c r="C853" s="394">
        <v>2290</v>
      </c>
      <c r="D853" s="397">
        <v>15950</v>
      </c>
      <c r="E853" s="400">
        <f t="shared" si="16"/>
        <v>1595</v>
      </c>
    </row>
    <row r="854" spans="1:5">
      <c r="A854" s="399">
        <v>40284</v>
      </c>
      <c r="B854" s="393">
        <v>180125</v>
      </c>
      <c r="C854" s="394">
        <v>2368</v>
      </c>
      <c r="D854" s="397">
        <v>15800</v>
      </c>
      <c r="E854" s="400">
        <f t="shared" si="16"/>
        <v>1580</v>
      </c>
    </row>
    <row r="855" spans="1:5">
      <c r="A855" s="399">
        <v>40287</v>
      </c>
      <c r="B855" s="393">
        <v>179950</v>
      </c>
      <c r="C855" s="394">
        <v>2187.5</v>
      </c>
      <c r="D855" s="397">
        <v>15650</v>
      </c>
      <c r="E855" s="400">
        <f t="shared" si="16"/>
        <v>1565</v>
      </c>
    </row>
    <row r="856" spans="1:5">
      <c r="A856" s="399">
        <v>40288</v>
      </c>
      <c r="B856" s="393">
        <v>179600</v>
      </c>
      <c r="C856" s="394">
        <v>2264</v>
      </c>
      <c r="D856" s="397">
        <v>15600</v>
      </c>
      <c r="E856" s="400">
        <f t="shared" si="16"/>
        <v>1560</v>
      </c>
    </row>
    <row r="857" spans="1:5">
      <c r="A857" s="399">
        <v>40289</v>
      </c>
      <c r="B857" s="393">
        <v>179150</v>
      </c>
      <c r="C857" s="394">
        <v>2295</v>
      </c>
      <c r="D857" s="397">
        <v>15700</v>
      </c>
      <c r="E857" s="400">
        <f t="shared" si="16"/>
        <v>1570</v>
      </c>
    </row>
    <row r="858" spans="1:5">
      <c r="A858" s="399">
        <v>40290</v>
      </c>
      <c r="B858" s="393">
        <v>179000</v>
      </c>
      <c r="C858" s="394">
        <v>2275.5</v>
      </c>
      <c r="D858" s="397">
        <v>15700</v>
      </c>
      <c r="E858" s="400">
        <f t="shared" si="16"/>
        <v>1570</v>
      </c>
    </row>
    <row r="859" spans="1:5">
      <c r="A859" s="399">
        <v>40291</v>
      </c>
      <c r="B859" s="393">
        <v>179625</v>
      </c>
      <c r="C859" s="394">
        <v>2253.5</v>
      </c>
      <c r="D859" s="397">
        <v>15700</v>
      </c>
      <c r="E859" s="400">
        <f t="shared" si="16"/>
        <v>1570</v>
      </c>
    </row>
    <row r="860" spans="1:5">
      <c r="A860" s="399">
        <v>40294</v>
      </c>
      <c r="B860" s="393">
        <v>179575</v>
      </c>
      <c r="C860" s="394">
        <v>2310.5</v>
      </c>
      <c r="D860" s="397">
        <v>15700</v>
      </c>
      <c r="E860" s="400">
        <f t="shared" si="16"/>
        <v>1570</v>
      </c>
    </row>
    <row r="861" spans="1:5">
      <c r="A861" s="399">
        <v>40295</v>
      </c>
      <c r="B861" s="393">
        <v>179775</v>
      </c>
      <c r="C861" s="394">
        <v>2291</v>
      </c>
      <c r="D861" s="397">
        <v>15850</v>
      </c>
      <c r="E861" s="400">
        <f t="shared" si="16"/>
        <v>1585</v>
      </c>
    </row>
    <row r="862" spans="1:5">
      <c r="A862" s="399">
        <v>40296</v>
      </c>
      <c r="B862" s="393">
        <v>180075</v>
      </c>
      <c r="C862" s="394">
        <v>2225</v>
      </c>
      <c r="D862" s="397">
        <v>15700</v>
      </c>
      <c r="E862" s="400">
        <f t="shared" si="16"/>
        <v>1570</v>
      </c>
    </row>
    <row r="863" spans="1:5">
      <c r="A863" s="399">
        <v>40297</v>
      </c>
      <c r="B863" s="393">
        <v>180075</v>
      </c>
      <c r="C863" s="394">
        <v>2229</v>
      </c>
      <c r="D863" s="397">
        <v>15700</v>
      </c>
      <c r="E863" s="400">
        <f t="shared" si="16"/>
        <v>1570</v>
      </c>
    </row>
    <row r="864" spans="1:5">
      <c r="A864" s="399">
        <v>40298</v>
      </c>
      <c r="B864" s="393">
        <v>180850</v>
      </c>
      <c r="C864" s="394">
        <v>2176</v>
      </c>
      <c r="D864" s="397">
        <v>15650</v>
      </c>
      <c r="E864" s="400">
        <f t="shared" si="16"/>
        <v>1565</v>
      </c>
    </row>
    <row r="865" spans="1:5">
      <c r="A865" s="399">
        <v>40301</v>
      </c>
      <c r="B865" s="393">
        <v>180850</v>
      </c>
      <c r="C865" s="394">
        <v>2176</v>
      </c>
      <c r="D865" s="397">
        <v>15650</v>
      </c>
      <c r="E865" s="400">
        <f>D865/10</f>
        <v>1565</v>
      </c>
    </row>
    <row r="866" spans="1:5">
      <c r="A866" s="399">
        <v>40302</v>
      </c>
      <c r="B866" s="393">
        <v>182125</v>
      </c>
      <c r="C866" s="394">
        <v>2129.5</v>
      </c>
      <c r="D866" s="397">
        <v>15650</v>
      </c>
      <c r="E866" s="400">
        <f t="shared" si="16"/>
        <v>1565</v>
      </c>
    </row>
    <row r="867" spans="1:5">
      <c r="A867" s="399">
        <v>40303</v>
      </c>
      <c r="B867" s="393">
        <v>182525</v>
      </c>
      <c r="C867" s="394">
        <v>1962</v>
      </c>
      <c r="D867" s="397">
        <v>15500</v>
      </c>
      <c r="E867" s="400">
        <f t="shared" si="16"/>
        <v>1550</v>
      </c>
    </row>
    <row r="868" spans="1:5">
      <c r="A868" s="399">
        <v>40304</v>
      </c>
      <c r="B868" s="393">
        <v>182725</v>
      </c>
      <c r="C868" s="394">
        <v>1965</v>
      </c>
      <c r="D868" s="397">
        <v>15350</v>
      </c>
      <c r="E868" s="400">
        <f t="shared" si="16"/>
        <v>1535</v>
      </c>
    </row>
    <row r="869" spans="1:5">
      <c r="A869" s="399">
        <v>40305</v>
      </c>
      <c r="B869" s="393">
        <v>182975</v>
      </c>
      <c r="C869" s="394">
        <v>1979</v>
      </c>
      <c r="D869" s="397">
        <v>15350</v>
      </c>
      <c r="E869" s="400">
        <f t="shared" si="16"/>
        <v>1535</v>
      </c>
    </row>
    <row r="870" spans="1:5">
      <c r="A870" s="399">
        <v>40308</v>
      </c>
      <c r="B870" s="393">
        <v>182950</v>
      </c>
      <c r="C870" s="394">
        <v>2081</v>
      </c>
      <c r="D870" s="397">
        <v>15350</v>
      </c>
      <c r="E870" s="400">
        <f t="shared" si="16"/>
        <v>1535</v>
      </c>
    </row>
    <row r="871" spans="1:5">
      <c r="A871" s="399">
        <v>40309</v>
      </c>
      <c r="B871" s="393">
        <v>184575</v>
      </c>
      <c r="C871" s="394">
        <v>1976</v>
      </c>
      <c r="D871" s="397">
        <v>15450</v>
      </c>
      <c r="E871" s="400">
        <f t="shared" si="16"/>
        <v>1545</v>
      </c>
    </row>
    <row r="872" spans="1:5">
      <c r="A872" s="399">
        <v>40310</v>
      </c>
      <c r="B872" s="393">
        <v>184825</v>
      </c>
      <c r="C872" s="394">
        <v>2026</v>
      </c>
      <c r="D872" s="397">
        <v>15400</v>
      </c>
      <c r="E872" s="400">
        <f t="shared" si="16"/>
        <v>1540</v>
      </c>
    </row>
    <row r="873" spans="1:5">
      <c r="A873" s="399">
        <v>40311</v>
      </c>
      <c r="B873" s="393">
        <v>185100</v>
      </c>
      <c r="C873" s="394">
        <v>2016.5</v>
      </c>
      <c r="D873" s="397">
        <v>15350</v>
      </c>
      <c r="E873" s="400">
        <f t="shared" si="16"/>
        <v>1535</v>
      </c>
    </row>
    <row r="874" spans="1:5">
      <c r="A874" s="399">
        <v>40312</v>
      </c>
      <c r="B874" s="393">
        <v>185050</v>
      </c>
      <c r="C874" s="394">
        <v>1952</v>
      </c>
      <c r="D874" s="397">
        <v>15350</v>
      </c>
      <c r="E874" s="400">
        <f t="shared" si="16"/>
        <v>1535</v>
      </c>
    </row>
    <row r="875" spans="1:5">
      <c r="A875" s="399">
        <v>40315</v>
      </c>
      <c r="B875" s="393">
        <v>185375</v>
      </c>
      <c r="C875" s="394">
        <v>1864</v>
      </c>
      <c r="D875" s="397">
        <v>15200</v>
      </c>
      <c r="E875" s="400">
        <f t="shared" si="16"/>
        <v>1520</v>
      </c>
    </row>
    <row r="876" spans="1:5">
      <c r="A876" s="399">
        <v>40316</v>
      </c>
      <c r="B876" s="393">
        <v>186800</v>
      </c>
      <c r="C876" s="394">
        <v>1795.5</v>
      </c>
      <c r="D876" s="397">
        <v>14700</v>
      </c>
      <c r="E876" s="400">
        <f t="shared" si="16"/>
        <v>1470</v>
      </c>
    </row>
    <row r="877" spans="1:5">
      <c r="A877" s="399">
        <v>40317</v>
      </c>
      <c r="B877" s="393">
        <v>186700</v>
      </c>
      <c r="C877" s="394">
        <v>1721</v>
      </c>
      <c r="D877" s="397">
        <v>14700</v>
      </c>
      <c r="E877" s="400">
        <f t="shared" si="16"/>
        <v>1470</v>
      </c>
    </row>
    <row r="878" spans="1:5">
      <c r="A878" s="399">
        <v>40318</v>
      </c>
      <c r="B878" s="393">
        <v>186700</v>
      </c>
      <c r="C878" s="394">
        <v>1720</v>
      </c>
      <c r="D878" s="397">
        <v>14700</v>
      </c>
      <c r="E878" s="400">
        <f t="shared" si="16"/>
        <v>1470</v>
      </c>
    </row>
    <row r="879" spans="1:5">
      <c r="A879" s="399">
        <v>40319</v>
      </c>
      <c r="B879" s="393">
        <v>186650</v>
      </c>
      <c r="C879" s="394">
        <v>1722.5</v>
      </c>
      <c r="D879" s="397">
        <v>14700</v>
      </c>
      <c r="E879" s="400">
        <f t="shared" si="16"/>
        <v>1470</v>
      </c>
    </row>
    <row r="880" spans="1:5">
      <c r="A880" s="399">
        <v>40322</v>
      </c>
      <c r="B880" s="393">
        <v>186800</v>
      </c>
      <c r="C880" s="394">
        <v>1779</v>
      </c>
      <c r="D880" s="397">
        <v>14800</v>
      </c>
      <c r="E880" s="400">
        <f t="shared" si="16"/>
        <v>1480</v>
      </c>
    </row>
    <row r="881" spans="1:5">
      <c r="A881" s="399">
        <v>40323</v>
      </c>
      <c r="B881" s="393">
        <v>190125</v>
      </c>
      <c r="C881" s="394">
        <v>1724</v>
      </c>
      <c r="D881" s="397">
        <v>14900</v>
      </c>
      <c r="E881" s="400">
        <f t="shared" si="16"/>
        <v>1490</v>
      </c>
    </row>
    <row r="882" spans="1:5">
      <c r="A882" s="399">
        <v>40324</v>
      </c>
      <c r="B882" s="393">
        <v>189825</v>
      </c>
      <c r="C882" s="394">
        <v>1760</v>
      </c>
      <c r="D882" s="397">
        <v>14750</v>
      </c>
      <c r="E882" s="400">
        <f t="shared" si="16"/>
        <v>1475</v>
      </c>
    </row>
    <row r="883" spans="1:5">
      <c r="A883" s="399">
        <v>40325</v>
      </c>
      <c r="B883" s="393">
        <v>190400</v>
      </c>
      <c r="C883" s="394">
        <v>1777</v>
      </c>
      <c r="D883" s="397">
        <v>14650</v>
      </c>
      <c r="E883" s="400">
        <f t="shared" si="16"/>
        <v>1465</v>
      </c>
    </row>
    <row r="884" spans="1:5">
      <c r="A884" s="399">
        <v>40326</v>
      </c>
      <c r="B884" s="393">
        <v>190600</v>
      </c>
      <c r="C884" s="394">
        <v>1821</v>
      </c>
      <c r="D884" s="397">
        <v>14800</v>
      </c>
      <c r="E884" s="400">
        <f t="shared" si="16"/>
        <v>1480</v>
      </c>
    </row>
    <row r="885" spans="1:5">
      <c r="A885" s="399">
        <v>40329</v>
      </c>
      <c r="B885" s="393">
        <v>190600</v>
      </c>
      <c r="C885" s="394">
        <v>1821</v>
      </c>
      <c r="D885" s="397">
        <v>14800</v>
      </c>
      <c r="E885" s="400">
        <f t="shared" si="16"/>
        <v>1480</v>
      </c>
    </row>
    <row r="886" spans="1:5">
      <c r="A886" s="399">
        <v>40330</v>
      </c>
      <c r="B886" s="393">
        <v>192675</v>
      </c>
      <c r="C886" s="394">
        <v>1751</v>
      </c>
      <c r="D886" s="397">
        <v>14700</v>
      </c>
      <c r="E886" s="400">
        <f t="shared" si="16"/>
        <v>1470</v>
      </c>
    </row>
    <row r="887" spans="1:5">
      <c r="A887" s="399">
        <v>40331</v>
      </c>
      <c r="B887" s="393">
        <v>192225</v>
      </c>
      <c r="C887" s="394">
        <v>1709.5</v>
      </c>
      <c r="D887" s="397">
        <v>14600</v>
      </c>
      <c r="E887" s="400">
        <f t="shared" si="16"/>
        <v>1460</v>
      </c>
    </row>
    <row r="888" spans="1:5">
      <c r="A888" s="399">
        <v>40332</v>
      </c>
      <c r="B888" s="393">
        <v>192200</v>
      </c>
      <c r="C888" s="394">
        <v>1640.5</v>
      </c>
      <c r="D888" s="397">
        <v>14550</v>
      </c>
      <c r="E888" s="400">
        <f t="shared" si="16"/>
        <v>1455</v>
      </c>
    </row>
    <row r="889" spans="1:5">
      <c r="A889" s="399">
        <v>40333</v>
      </c>
      <c r="B889" s="393">
        <v>191925</v>
      </c>
      <c r="C889" s="394">
        <v>1621</v>
      </c>
      <c r="D889" s="397">
        <v>14450</v>
      </c>
      <c r="E889" s="400">
        <f t="shared" si="16"/>
        <v>1445</v>
      </c>
    </row>
    <row r="890" spans="1:5">
      <c r="A890" s="399">
        <v>40336</v>
      </c>
      <c r="B890" s="393">
        <v>192650</v>
      </c>
      <c r="C890" s="394">
        <v>1558.5</v>
      </c>
      <c r="D890" s="397">
        <v>14100</v>
      </c>
      <c r="E890" s="400">
        <f t="shared" si="16"/>
        <v>1410</v>
      </c>
    </row>
    <row r="891" spans="1:5">
      <c r="A891" s="399">
        <v>40337</v>
      </c>
      <c r="B891" s="393">
        <v>192225</v>
      </c>
      <c r="C891" s="394">
        <v>1562.5</v>
      </c>
      <c r="D891" s="397">
        <v>13800</v>
      </c>
      <c r="E891" s="400">
        <f t="shared" si="16"/>
        <v>1380</v>
      </c>
    </row>
    <row r="892" spans="1:5">
      <c r="A892" s="399">
        <v>40338</v>
      </c>
      <c r="B892" s="393">
        <v>192950</v>
      </c>
      <c r="C892" s="394">
        <v>1655</v>
      </c>
      <c r="D892" s="397">
        <v>13800</v>
      </c>
      <c r="E892" s="400">
        <f t="shared" si="16"/>
        <v>1380</v>
      </c>
    </row>
    <row r="893" spans="1:5">
      <c r="A893" s="399">
        <v>40339</v>
      </c>
      <c r="B893" s="393">
        <v>192375</v>
      </c>
      <c r="C893" s="394">
        <v>1655.5</v>
      </c>
      <c r="D893" s="397">
        <v>13850</v>
      </c>
      <c r="E893" s="400">
        <f t="shared" si="16"/>
        <v>1385</v>
      </c>
    </row>
    <row r="894" spans="1:5">
      <c r="A894" s="399">
        <v>40340</v>
      </c>
      <c r="B894" s="393">
        <v>192825</v>
      </c>
      <c r="C894" s="394">
        <v>1676</v>
      </c>
      <c r="D894" s="397">
        <v>14100</v>
      </c>
      <c r="E894" s="400">
        <f t="shared" si="16"/>
        <v>1410</v>
      </c>
    </row>
    <row r="895" spans="1:5">
      <c r="A895" s="399">
        <v>40343</v>
      </c>
      <c r="B895" s="393">
        <v>193000</v>
      </c>
      <c r="C895" s="394">
        <v>1674</v>
      </c>
      <c r="D895" s="397">
        <v>14100</v>
      </c>
      <c r="E895" s="400">
        <f>D895/10</f>
        <v>1410</v>
      </c>
    </row>
    <row r="896" spans="1:5">
      <c r="A896" s="399">
        <v>40344</v>
      </c>
      <c r="B896" s="393">
        <v>192600</v>
      </c>
      <c r="C896" s="394">
        <v>1685</v>
      </c>
      <c r="D896" s="397">
        <v>14100</v>
      </c>
      <c r="E896" s="400">
        <f>D896/10</f>
        <v>1410</v>
      </c>
    </row>
    <row r="897" spans="1:5">
      <c r="A897" s="399">
        <v>40345</v>
      </c>
      <c r="B897" s="393">
        <v>191700</v>
      </c>
      <c r="C897" s="394">
        <v>1701</v>
      </c>
      <c r="D897" s="397">
        <v>14100</v>
      </c>
      <c r="E897" s="400">
        <f>D897/10</f>
        <v>1410</v>
      </c>
    </row>
    <row r="898" spans="1:5">
      <c r="A898" s="399">
        <v>40346</v>
      </c>
      <c r="B898" s="393">
        <v>190850</v>
      </c>
      <c r="C898" s="394">
        <v>1715</v>
      </c>
      <c r="D898" s="397">
        <v>14400</v>
      </c>
      <c r="E898" s="400">
        <f t="shared" si="16"/>
        <v>1440</v>
      </c>
    </row>
    <row r="899" spans="1:5">
      <c r="A899" s="399">
        <v>40347</v>
      </c>
      <c r="B899" s="393">
        <v>189800</v>
      </c>
      <c r="C899" s="394">
        <v>1706.5</v>
      </c>
      <c r="D899" s="397">
        <v>14300</v>
      </c>
      <c r="E899" s="400">
        <f t="shared" ref="E899:E962" si="17">D899/10</f>
        <v>1430</v>
      </c>
    </row>
    <row r="900" spans="1:5">
      <c r="A900" s="399">
        <v>40350</v>
      </c>
      <c r="B900" s="393">
        <v>189425</v>
      </c>
      <c r="C900" s="394">
        <v>1786</v>
      </c>
      <c r="D900" s="397">
        <v>14400</v>
      </c>
      <c r="E900" s="400">
        <f t="shared" si="17"/>
        <v>1440</v>
      </c>
    </row>
    <row r="901" spans="1:5">
      <c r="A901" s="399">
        <v>40351</v>
      </c>
      <c r="B901" s="393">
        <v>188900</v>
      </c>
      <c r="C901" s="394">
        <v>1766</v>
      </c>
      <c r="D901" s="397">
        <v>14700</v>
      </c>
      <c r="E901" s="400">
        <f t="shared" si="17"/>
        <v>1470</v>
      </c>
    </row>
    <row r="902" spans="1:5">
      <c r="A902" s="399">
        <v>40352</v>
      </c>
      <c r="B902" s="393">
        <v>188800</v>
      </c>
      <c r="C902" s="394">
        <v>1782</v>
      </c>
      <c r="D902" s="397">
        <v>14900</v>
      </c>
      <c r="E902" s="400">
        <f t="shared" si="17"/>
        <v>1490</v>
      </c>
    </row>
    <row r="903" spans="1:5">
      <c r="A903" s="399">
        <v>40353</v>
      </c>
      <c r="B903" s="393">
        <v>189225</v>
      </c>
      <c r="C903" s="394">
        <v>1780.5</v>
      </c>
      <c r="D903" s="397">
        <v>14900</v>
      </c>
      <c r="E903" s="400">
        <f t="shared" si="17"/>
        <v>1490</v>
      </c>
    </row>
    <row r="904" spans="1:5">
      <c r="A904" s="399">
        <v>40354</v>
      </c>
      <c r="B904" s="393">
        <v>188800</v>
      </c>
      <c r="C904" s="394">
        <v>1802</v>
      </c>
      <c r="D904" s="397">
        <v>14950</v>
      </c>
      <c r="E904" s="400">
        <f t="shared" si="17"/>
        <v>1495</v>
      </c>
    </row>
    <row r="905" spans="1:5">
      <c r="A905" s="399">
        <v>40357</v>
      </c>
      <c r="B905" s="393">
        <v>189425</v>
      </c>
      <c r="C905" s="394">
        <v>1828</v>
      </c>
      <c r="D905" s="397">
        <v>14950</v>
      </c>
      <c r="E905" s="400">
        <f t="shared" si="17"/>
        <v>1495</v>
      </c>
    </row>
    <row r="906" spans="1:5">
      <c r="A906" s="399">
        <v>40358</v>
      </c>
      <c r="B906" s="393">
        <v>189550</v>
      </c>
      <c r="C906" s="394">
        <v>1741.5</v>
      </c>
      <c r="D906" s="397">
        <v>14950</v>
      </c>
      <c r="E906" s="400">
        <f t="shared" si="17"/>
        <v>1495</v>
      </c>
    </row>
    <row r="907" spans="1:5">
      <c r="A907" s="399">
        <v>40359</v>
      </c>
      <c r="B907" s="393">
        <v>189950</v>
      </c>
      <c r="C907" s="394">
        <v>1690</v>
      </c>
      <c r="D907" s="397">
        <v>14700</v>
      </c>
      <c r="E907" s="400">
        <f t="shared" si="17"/>
        <v>1470</v>
      </c>
    </row>
    <row r="908" spans="1:5">
      <c r="A908" s="399">
        <v>40360</v>
      </c>
      <c r="B908" s="393">
        <v>190475</v>
      </c>
      <c r="C908" s="394">
        <v>1692.5</v>
      </c>
      <c r="D908" s="397">
        <v>14700</v>
      </c>
      <c r="E908" s="400">
        <f t="shared" si="17"/>
        <v>1470</v>
      </c>
    </row>
    <row r="909" spans="1:5">
      <c r="A909" s="399">
        <v>40361</v>
      </c>
      <c r="B909" s="393">
        <v>189700</v>
      </c>
      <c r="C909" s="394">
        <v>1736</v>
      </c>
      <c r="D909" s="397">
        <v>14600</v>
      </c>
      <c r="E909" s="400">
        <f t="shared" si="17"/>
        <v>1460</v>
      </c>
    </row>
    <row r="910" spans="1:5">
      <c r="A910" s="399">
        <v>40364</v>
      </c>
      <c r="B910" s="393">
        <v>189625</v>
      </c>
      <c r="C910" s="394">
        <v>1731.5</v>
      </c>
      <c r="D910" s="397">
        <v>14700</v>
      </c>
      <c r="E910" s="400">
        <f t="shared" si="17"/>
        <v>1470</v>
      </c>
    </row>
    <row r="911" spans="1:5">
      <c r="A911" s="399">
        <v>40365</v>
      </c>
      <c r="B911" s="393">
        <v>189350</v>
      </c>
      <c r="C911" s="394">
        <v>1755</v>
      </c>
      <c r="D911" s="397">
        <v>14700</v>
      </c>
      <c r="E911" s="400">
        <f t="shared" si="17"/>
        <v>1470</v>
      </c>
    </row>
    <row r="912" spans="1:5">
      <c r="A912" s="399">
        <v>40366</v>
      </c>
      <c r="B912" s="393">
        <v>189850</v>
      </c>
      <c r="C912" s="394">
        <v>1756</v>
      </c>
      <c r="D912" s="397">
        <v>14750</v>
      </c>
      <c r="E912" s="400">
        <f t="shared" si="17"/>
        <v>1475</v>
      </c>
    </row>
    <row r="913" spans="1:5">
      <c r="A913" s="399">
        <v>40367</v>
      </c>
      <c r="B913" s="393">
        <v>189350</v>
      </c>
      <c r="C913" s="394">
        <v>1804</v>
      </c>
      <c r="D913" s="397">
        <v>14750</v>
      </c>
      <c r="E913" s="400">
        <f t="shared" si="17"/>
        <v>1475</v>
      </c>
    </row>
    <row r="914" spans="1:5">
      <c r="A914" s="399">
        <v>40368</v>
      </c>
      <c r="B914" s="393">
        <v>189025</v>
      </c>
      <c r="C914" s="394">
        <v>1808</v>
      </c>
      <c r="D914" s="397">
        <v>14800</v>
      </c>
      <c r="E914" s="400">
        <f t="shared" si="17"/>
        <v>1480</v>
      </c>
    </row>
    <row r="915" spans="1:5">
      <c r="A915" s="399">
        <v>40371</v>
      </c>
      <c r="B915" s="393">
        <v>189075</v>
      </c>
      <c r="C915" s="394">
        <v>1807</v>
      </c>
      <c r="D915" s="397">
        <v>14900</v>
      </c>
      <c r="E915" s="400">
        <f t="shared" si="17"/>
        <v>1490</v>
      </c>
    </row>
    <row r="916" spans="1:5">
      <c r="A916" s="399">
        <v>40372</v>
      </c>
      <c r="B916" s="393">
        <v>188700</v>
      </c>
      <c r="C916" s="394">
        <v>1766.5</v>
      </c>
      <c r="D916" s="397">
        <v>14800</v>
      </c>
      <c r="E916" s="400">
        <f t="shared" si="17"/>
        <v>1480</v>
      </c>
    </row>
    <row r="917" spans="1:5">
      <c r="A917" s="399">
        <v>40373</v>
      </c>
      <c r="B917" s="393">
        <v>188150</v>
      </c>
      <c r="C917" s="394">
        <v>1814</v>
      </c>
      <c r="D917" s="397">
        <v>14850</v>
      </c>
      <c r="E917" s="400">
        <f t="shared" si="17"/>
        <v>1485</v>
      </c>
    </row>
    <row r="918" spans="1:5">
      <c r="A918" s="399">
        <v>40374</v>
      </c>
      <c r="B918" s="393">
        <v>187700</v>
      </c>
      <c r="C918" s="394">
        <v>1801</v>
      </c>
      <c r="D918" s="397">
        <v>14850</v>
      </c>
      <c r="E918" s="400">
        <f t="shared" si="17"/>
        <v>1485</v>
      </c>
    </row>
    <row r="919" spans="1:5">
      <c r="A919" s="399">
        <v>40375</v>
      </c>
      <c r="B919" s="393">
        <v>186975</v>
      </c>
      <c r="C919" s="394">
        <v>1789</v>
      </c>
      <c r="D919" s="397">
        <v>14850</v>
      </c>
      <c r="E919" s="400">
        <f t="shared" si="17"/>
        <v>1485</v>
      </c>
    </row>
    <row r="920" spans="1:5">
      <c r="A920" s="399">
        <v>40378</v>
      </c>
      <c r="B920" s="393">
        <v>186775</v>
      </c>
      <c r="C920" s="394">
        <v>1751.5</v>
      </c>
      <c r="D920" s="397">
        <v>14850</v>
      </c>
      <c r="E920" s="400">
        <f t="shared" si="17"/>
        <v>1485</v>
      </c>
    </row>
    <row r="921" spans="1:5">
      <c r="A921" s="399">
        <v>40379</v>
      </c>
      <c r="B921" s="393">
        <v>185775</v>
      </c>
      <c r="C921" s="394">
        <v>1762</v>
      </c>
      <c r="D921" s="397">
        <v>14900</v>
      </c>
      <c r="E921" s="400">
        <f t="shared" si="17"/>
        <v>1490</v>
      </c>
    </row>
    <row r="922" spans="1:5">
      <c r="A922" s="399">
        <v>40380</v>
      </c>
      <c r="B922" s="393">
        <v>184625</v>
      </c>
      <c r="C922" s="394">
        <v>1844</v>
      </c>
      <c r="D922" s="397">
        <v>15000</v>
      </c>
      <c r="E922" s="400">
        <f t="shared" si="17"/>
        <v>1500</v>
      </c>
    </row>
    <row r="923" spans="1:5">
      <c r="A923" s="399">
        <v>40381</v>
      </c>
      <c r="B923" s="393">
        <v>184200</v>
      </c>
      <c r="C923" s="394">
        <v>1894</v>
      </c>
      <c r="D923" s="397">
        <v>15100</v>
      </c>
      <c r="E923" s="400">
        <f t="shared" si="17"/>
        <v>1510</v>
      </c>
    </row>
    <row r="924" spans="1:5">
      <c r="A924" s="399">
        <v>40382</v>
      </c>
      <c r="B924" s="393">
        <v>183225</v>
      </c>
      <c r="C924" s="394">
        <v>1930.5</v>
      </c>
      <c r="D924" s="397">
        <v>15250</v>
      </c>
      <c r="E924" s="400">
        <f t="shared" si="17"/>
        <v>1525</v>
      </c>
    </row>
    <row r="925" spans="1:5">
      <c r="A925" s="399">
        <v>40385</v>
      </c>
      <c r="B925" s="393">
        <v>182800</v>
      </c>
      <c r="C925" s="394">
        <v>1960</v>
      </c>
      <c r="D925" s="397">
        <v>15400</v>
      </c>
      <c r="E925" s="400">
        <f t="shared" si="17"/>
        <v>1540</v>
      </c>
    </row>
    <row r="926" spans="1:5">
      <c r="A926" s="399">
        <v>40386</v>
      </c>
      <c r="B926" s="393">
        <v>183175</v>
      </c>
      <c r="C926" s="394">
        <v>1975</v>
      </c>
      <c r="D926" s="397">
        <v>15600</v>
      </c>
      <c r="E926" s="400">
        <f t="shared" si="17"/>
        <v>1560</v>
      </c>
    </row>
    <row r="927" spans="1:5">
      <c r="A927" s="399">
        <v>40387</v>
      </c>
      <c r="B927" s="393">
        <v>183350</v>
      </c>
      <c r="C927" s="394">
        <v>1968</v>
      </c>
      <c r="D927" s="397">
        <v>15800</v>
      </c>
      <c r="E927" s="400">
        <f t="shared" si="17"/>
        <v>1580</v>
      </c>
    </row>
    <row r="928" spans="1:5">
      <c r="A928" s="399">
        <v>40388</v>
      </c>
      <c r="B928" s="393">
        <v>183825</v>
      </c>
      <c r="C928" s="394">
        <v>2003</v>
      </c>
      <c r="D928" s="397">
        <v>15900</v>
      </c>
      <c r="E928" s="400">
        <f t="shared" si="17"/>
        <v>1590</v>
      </c>
    </row>
    <row r="929" spans="1:5">
      <c r="A929" s="399">
        <v>40389</v>
      </c>
      <c r="B929" s="393">
        <v>184150</v>
      </c>
      <c r="C929" s="394">
        <v>2065</v>
      </c>
      <c r="D929" s="397">
        <v>15900</v>
      </c>
      <c r="E929" s="400">
        <f t="shared" si="17"/>
        <v>1590</v>
      </c>
    </row>
    <row r="930" spans="1:5">
      <c r="A930" s="399">
        <v>40392</v>
      </c>
      <c r="B930" s="393">
        <v>183950</v>
      </c>
      <c r="C930" s="394">
        <v>2085</v>
      </c>
      <c r="D930" s="397">
        <v>16000</v>
      </c>
      <c r="E930" s="400">
        <f t="shared" si="17"/>
        <v>1600</v>
      </c>
    </row>
    <row r="931" spans="1:5">
      <c r="A931" s="399">
        <v>40393</v>
      </c>
      <c r="B931" s="393">
        <v>184850</v>
      </c>
      <c r="C931" s="394">
        <v>2175.5</v>
      </c>
      <c r="D931" s="397">
        <v>16400</v>
      </c>
      <c r="E931" s="400">
        <f t="shared" si="17"/>
        <v>1640</v>
      </c>
    </row>
    <row r="932" spans="1:5">
      <c r="A932" s="399">
        <v>40394</v>
      </c>
      <c r="B932" s="393">
        <v>184975</v>
      </c>
      <c r="C932" s="394">
        <v>2183</v>
      </c>
      <c r="D932" s="397">
        <v>16400</v>
      </c>
      <c r="E932" s="400">
        <f t="shared" si="17"/>
        <v>1640</v>
      </c>
    </row>
    <row r="933" spans="1:5">
      <c r="A933" s="399">
        <v>40395</v>
      </c>
      <c r="B933" s="393">
        <v>187225</v>
      </c>
      <c r="C933" s="394">
        <v>2190.5</v>
      </c>
      <c r="D933" s="397">
        <v>16400</v>
      </c>
      <c r="E933" s="400">
        <f t="shared" si="17"/>
        <v>1640</v>
      </c>
    </row>
    <row r="934" spans="1:5">
      <c r="A934" s="399">
        <v>40396</v>
      </c>
      <c r="B934" s="393">
        <v>187975</v>
      </c>
      <c r="C934" s="394">
        <v>2167.5</v>
      </c>
      <c r="D934" s="397">
        <v>16250</v>
      </c>
      <c r="E934" s="400">
        <f t="shared" si="17"/>
        <v>1625</v>
      </c>
    </row>
    <row r="935" spans="1:5">
      <c r="A935" s="399">
        <v>40399</v>
      </c>
      <c r="B935" s="393">
        <v>189975</v>
      </c>
      <c r="C935" s="394">
        <v>2171</v>
      </c>
      <c r="D935" s="397">
        <v>16250</v>
      </c>
      <c r="E935" s="400">
        <f t="shared" si="17"/>
        <v>1625</v>
      </c>
    </row>
    <row r="936" spans="1:5">
      <c r="A936" s="399">
        <v>40400</v>
      </c>
      <c r="B936" s="393">
        <v>189975</v>
      </c>
      <c r="C936" s="394">
        <v>2100.5</v>
      </c>
      <c r="D936" s="397">
        <v>16250</v>
      </c>
      <c r="E936" s="400">
        <f t="shared" si="17"/>
        <v>1625</v>
      </c>
    </row>
    <row r="937" spans="1:5">
      <c r="A937" s="399">
        <v>40401</v>
      </c>
      <c r="B937" s="393">
        <v>190425</v>
      </c>
      <c r="C937" s="394">
        <v>2047</v>
      </c>
      <c r="D937" s="397">
        <v>16200</v>
      </c>
      <c r="E937" s="400">
        <f t="shared" si="17"/>
        <v>1620</v>
      </c>
    </row>
    <row r="938" spans="1:5">
      <c r="A938" s="399">
        <v>40402</v>
      </c>
      <c r="B938" s="393">
        <v>190425</v>
      </c>
      <c r="C938" s="394">
        <v>2028</v>
      </c>
      <c r="D938" s="397">
        <v>16200</v>
      </c>
      <c r="E938" s="400">
        <f t="shared" si="17"/>
        <v>1620</v>
      </c>
    </row>
    <row r="939" spans="1:5">
      <c r="A939" s="399">
        <v>40403</v>
      </c>
      <c r="B939" s="393">
        <v>190250</v>
      </c>
      <c r="C939" s="394">
        <v>2065.5</v>
      </c>
      <c r="D939" s="397">
        <v>16200</v>
      </c>
      <c r="E939" s="400">
        <f t="shared" si="17"/>
        <v>1620</v>
      </c>
    </row>
    <row r="940" spans="1:5">
      <c r="A940" s="399">
        <v>40406</v>
      </c>
      <c r="B940" s="393">
        <v>189975</v>
      </c>
      <c r="C940" s="394">
        <v>2040.5</v>
      </c>
      <c r="D940" s="397">
        <v>16150</v>
      </c>
      <c r="E940" s="400">
        <f t="shared" si="17"/>
        <v>1615</v>
      </c>
    </row>
    <row r="941" spans="1:5">
      <c r="A941" s="399">
        <v>40407</v>
      </c>
      <c r="B941" s="393">
        <v>192400</v>
      </c>
      <c r="C941" s="394">
        <v>2113</v>
      </c>
      <c r="D941" s="397">
        <v>16200</v>
      </c>
      <c r="E941" s="400">
        <f t="shared" si="17"/>
        <v>1620</v>
      </c>
    </row>
    <row r="942" spans="1:5">
      <c r="A942" s="399">
        <v>40408</v>
      </c>
      <c r="B942" s="393">
        <v>192475</v>
      </c>
      <c r="C942" s="394">
        <v>2119</v>
      </c>
      <c r="D942" s="397">
        <v>16250</v>
      </c>
      <c r="E942" s="400">
        <f t="shared" si="17"/>
        <v>1625</v>
      </c>
    </row>
    <row r="943" spans="1:5">
      <c r="A943" s="399">
        <v>40409</v>
      </c>
      <c r="B943" s="393">
        <v>192500</v>
      </c>
      <c r="C943" s="394">
        <v>2103.5</v>
      </c>
      <c r="D943" s="397">
        <v>16300</v>
      </c>
      <c r="E943" s="400">
        <f t="shared" si="17"/>
        <v>1630</v>
      </c>
    </row>
    <row r="944" spans="1:5">
      <c r="A944" s="399">
        <v>40410</v>
      </c>
      <c r="B944" s="393">
        <v>192525</v>
      </c>
      <c r="C944" s="394">
        <v>2040</v>
      </c>
      <c r="D944" s="397">
        <v>16250</v>
      </c>
      <c r="E944" s="400">
        <f t="shared" si="17"/>
        <v>1625</v>
      </c>
    </row>
    <row r="945" spans="1:5">
      <c r="A945" s="399">
        <v>40413</v>
      </c>
      <c r="B945" s="393">
        <v>192700</v>
      </c>
      <c r="C945" s="394">
        <v>2021.5</v>
      </c>
      <c r="D945" s="397">
        <v>16100</v>
      </c>
      <c r="E945" s="400">
        <f t="shared" si="17"/>
        <v>1610</v>
      </c>
    </row>
    <row r="946" spans="1:5">
      <c r="A946" s="399">
        <v>40414</v>
      </c>
      <c r="B946" s="393">
        <v>192850</v>
      </c>
      <c r="C946" s="394">
        <v>1991</v>
      </c>
      <c r="D946" s="397">
        <v>16050</v>
      </c>
      <c r="E946" s="400">
        <f t="shared" si="17"/>
        <v>1605</v>
      </c>
    </row>
    <row r="947" spans="1:5">
      <c r="A947" s="399">
        <v>40415</v>
      </c>
      <c r="B947" s="393">
        <v>192850</v>
      </c>
      <c r="C947" s="394">
        <v>1937</v>
      </c>
      <c r="D947" s="397">
        <v>15900</v>
      </c>
      <c r="E947" s="400">
        <f t="shared" si="17"/>
        <v>1590</v>
      </c>
    </row>
    <row r="948" spans="1:5">
      <c r="A948" s="399">
        <v>40416</v>
      </c>
      <c r="B948" s="393">
        <v>192450</v>
      </c>
      <c r="C948" s="394">
        <v>1980.5</v>
      </c>
      <c r="D948" s="397">
        <v>15900</v>
      </c>
      <c r="E948" s="400">
        <f t="shared" si="17"/>
        <v>1590</v>
      </c>
    </row>
    <row r="949" spans="1:5">
      <c r="A949" s="399">
        <v>40417</v>
      </c>
      <c r="B949" s="393">
        <v>192150</v>
      </c>
      <c r="C949" s="394">
        <v>2010</v>
      </c>
      <c r="D949" s="397">
        <v>15950</v>
      </c>
      <c r="E949" s="400">
        <f t="shared" si="17"/>
        <v>1595</v>
      </c>
    </row>
    <row r="950" spans="1:5">
      <c r="A950" s="399">
        <v>40420</v>
      </c>
      <c r="B950" s="393">
        <v>192150</v>
      </c>
      <c r="C950" s="394">
        <v>2010</v>
      </c>
      <c r="D950" s="397">
        <v>16100</v>
      </c>
      <c r="E950" s="400">
        <f t="shared" si="17"/>
        <v>1610</v>
      </c>
    </row>
    <row r="951" spans="1:5">
      <c r="A951" s="399">
        <v>40421</v>
      </c>
      <c r="B951" s="393">
        <v>191500</v>
      </c>
      <c r="C951" s="394">
        <v>2010.5</v>
      </c>
      <c r="D951" s="397">
        <v>16200</v>
      </c>
      <c r="E951" s="400">
        <f t="shared" si="17"/>
        <v>1620</v>
      </c>
    </row>
    <row r="952" spans="1:5">
      <c r="A952" s="399">
        <v>40422</v>
      </c>
      <c r="B952" s="393">
        <v>191100</v>
      </c>
      <c r="C952" s="394">
        <v>2089</v>
      </c>
      <c r="D952" s="397">
        <v>16200</v>
      </c>
      <c r="E952" s="400">
        <f t="shared" si="17"/>
        <v>1620</v>
      </c>
    </row>
    <row r="953" spans="1:5">
      <c r="A953" s="399">
        <v>40423</v>
      </c>
      <c r="B953" s="393">
        <v>191800</v>
      </c>
      <c r="C953" s="394">
        <v>2130</v>
      </c>
      <c r="D953" s="397">
        <v>16300</v>
      </c>
      <c r="E953" s="400">
        <f t="shared" si="17"/>
        <v>1630</v>
      </c>
    </row>
    <row r="954" spans="1:5">
      <c r="A954" s="399">
        <v>40424</v>
      </c>
      <c r="B954" s="393">
        <v>191400</v>
      </c>
      <c r="C954" s="394">
        <v>2137</v>
      </c>
      <c r="D954" s="397">
        <v>16300</v>
      </c>
      <c r="E954" s="400">
        <f t="shared" si="17"/>
        <v>1630</v>
      </c>
    </row>
    <row r="955" spans="1:5">
      <c r="A955" s="399">
        <v>40427</v>
      </c>
      <c r="B955" s="393">
        <v>191000</v>
      </c>
      <c r="C955" s="394">
        <v>2160</v>
      </c>
      <c r="D955" s="397">
        <v>16350</v>
      </c>
      <c r="E955" s="400">
        <f t="shared" si="17"/>
        <v>1635</v>
      </c>
    </row>
    <row r="956" spans="1:5">
      <c r="A956" s="399">
        <v>40428</v>
      </c>
      <c r="B956" s="393">
        <v>191025</v>
      </c>
      <c r="C956" s="394">
        <v>2126</v>
      </c>
      <c r="D956" s="397">
        <v>16400</v>
      </c>
      <c r="E956" s="400">
        <f t="shared" si="17"/>
        <v>1640</v>
      </c>
    </row>
    <row r="957" spans="1:5">
      <c r="A957" s="399">
        <v>40429</v>
      </c>
      <c r="B957" s="393">
        <v>190975</v>
      </c>
      <c r="C957" s="394">
        <v>2151</v>
      </c>
      <c r="D957" s="397">
        <v>16350</v>
      </c>
      <c r="E957" s="400">
        <f t="shared" si="17"/>
        <v>1635</v>
      </c>
    </row>
    <row r="958" spans="1:5">
      <c r="A958" s="399">
        <v>40430</v>
      </c>
      <c r="B958" s="393">
        <v>191000</v>
      </c>
      <c r="C958" s="394">
        <v>2162</v>
      </c>
      <c r="D958" s="397">
        <v>16400</v>
      </c>
      <c r="E958" s="400">
        <f t="shared" si="17"/>
        <v>1640</v>
      </c>
    </row>
    <row r="959" spans="1:5">
      <c r="A959" s="399">
        <v>40431</v>
      </c>
      <c r="B959" s="393">
        <v>191000</v>
      </c>
      <c r="C959" s="394">
        <v>2170</v>
      </c>
      <c r="D959" s="397">
        <v>16300</v>
      </c>
      <c r="E959" s="400">
        <f t="shared" si="17"/>
        <v>1630</v>
      </c>
    </row>
    <row r="960" spans="1:5">
      <c r="A960" s="399">
        <v>40434</v>
      </c>
      <c r="B960" s="393">
        <v>190625</v>
      </c>
      <c r="C960" s="394">
        <v>2186</v>
      </c>
      <c r="D960" s="397">
        <v>16300</v>
      </c>
      <c r="E960" s="400">
        <f t="shared" si="17"/>
        <v>1630</v>
      </c>
    </row>
    <row r="961" spans="1:5">
      <c r="A961" s="399">
        <v>40435</v>
      </c>
      <c r="B961" s="393">
        <v>190150</v>
      </c>
      <c r="C961" s="394">
        <v>2189</v>
      </c>
      <c r="D961" s="397">
        <v>16500</v>
      </c>
      <c r="E961" s="400">
        <f t="shared" si="17"/>
        <v>1650</v>
      </c>
    </row>
    <row r="962" spans="1:5">
      <c r="A962" s="399">
        <v>40436</v>
      </c>
      <c r="B962" s="393">
        <v>189825</v>
      </c>
      <c r="C962" s="394">
        <v>2196.5</v>
      </c>
      <c r="D962" s="397">
        <v>16500</v>
      </c>
      <c r="E962" s="400">
        <f t="shared" si="17"/>
        <v>1650</v>
      </c>
    </row>
    <row r="963" spans="1:5">
      <c r="A963" s="399">
        <v>40437</v>
      </c>
      <c r="B963" s="393">
        <v>192025</v>
      </c>
      <c r="C963" s="394">
        <v>2191.5</v>
      </c>
      <c r="D963" s="397">
        <v>16450</v>
      </c>
      <c r="E963" s="400">
        <f t="shared" ref="E963:E1026" si="18">D963/10</f>
        <v>1645</v>
      </c>
    </row>
    <row r="964" spans="1:5">
      <c r="A964" s="399">
        <v>40438</v>
      </c>
      <c r="B964" s="393">
        <v>191750</v>
      </c>
      <c r="C964" s="394">
        <v>2208.5</v>
      </c>
      <c r="D964" s="397">
        <v>16400</v>
      </c>
      <c r="E964" s="400">
        <f t="shared" si="18"/>
        <v>1640</v>
      </c>
    </row>
    <row r="965" spans="1:5">
      <c r="A965" s="399">
        <v>40441</v>
      </c>
      <c r="B965" s="393">
        <v>191850</v>
      </c>
      <c r="C965" s="394">
        <v>2188</v>
      </c>
      <c r="D965" s="397">
        <v>16400</v>
      </c>
      <c r="E965" s="400">
        <f t="shared" si="18"/>
        <v>1640</v>
      </c>
    </row>
    <row r="966" spans="1:5">
      <c r="A966" s="399">
        <v>40442</v>
      </c>
      <c r="B966" s="393">
        <v>191900</v>
      </c>
      <c r="C966" s="394">
        <v>2126</v>
      </c>
      <c r="D966" s="397">
        <v>16400</v>
      </c>
      <c r="E966" s="400">
        <f>D966/10</f>
        <v>1640</v>
      </c>
    </row>
    <row r="967" spans="1:5">
      <c r="A967" s="399">
        <v>40443</v>
      </c>
      <c r="B967" s="393">
        <v>191075</v>
      </c>
      <c r="C967" s="394">
        <v>2160.5</v>
      </c>
      <c r="D967" s="397">
        <v>16400</v>
      </c>
      <c r="E967" s="400">
        <f>D967/10</f>
        <v>1640</v>
      </c>
    </row>
    <row r="968" spans="1:5">
      <c r="A968" s="399">
        <v>40444</v>
      </c>
      <c r="B968" s="393">
        <v>191075</v>
      </c>
      <c r="C968" s="394">
        <v>2217.5</v>
      </c>
      <c r="D968" s="397">
        <v>16400</v>
      </c>
      <c r="E968" s="400">
        <f>D968/10</f>
        <v>1640</v>
      </c>
    </row>
    <row r="969" spans="1:5">
      <c r="A969" s="399">
        <v>40445</v>
      </c>
      <c r="B969" s="393">
        <v>190875</v>
      </c>
      <c r="C969" s="394">
        <v>2256</v>
      </c>
      <c r="D969" s="397">
        <v>16400</v>
      </c>
      <c r="E969" s="400">
        <f>D969/10</f>
        <v>1640</v>
      </c>
    </row>
    <row r="970" spans="1:5">
      <c r="A970" s="399">
        <v>40448</v>
      </c>
      <c r="B970" s="393">
        <v>190825</v>
      </c>
      <c r="C970" s="394">
        <v>2251</v>
      </c>
      <c r="D970" s="397">
        <v>16600</v>
      </c>
      <c r="E970" s="400">
        <f t="shared" si="18"/>
        <v>1660</v>
      </c>
    </row>
    <row r="971" spans="1:5">
      <c r="A971" s="399">
        <v>40449</v>
      </c>
      <c r="B971" s="393">
        <v>191625</v>
      </c>
      <c r="C971" s="394">
        <v>2223</v>
      </c>
      <c r="D971" s="397">
        <v>16600</v>
      </c>
      <c r="E971" s="400">
        <f t="shared" si="18"/>
        <v>1660</v>
      </c>
    </row>
    <row r="972" spans="1:5">
      <c r="A972" s="399">
        <v>40450</v>
      </c>
      <c r="B972" s="393">
        <v>191925</v>
      </c>
      <c r="C972" s="394">
        <v>2272.5</v>
      </c>
      <c r="D972" s="397">
        <v>16650</v>
      </c>
      <c r="E972" s="400">
        <f t="shared" si="18"/>
        <v>1665</v>
      </c>
    </row>
    <row r="973" spans="1:5">
      <c r="A973" s="399">
        <v>40451</v>
      </c>
      <c r="B973" s="393">
        <v>191700</v>
      </c>
      <c r="C973" s="394">
        <v>2262</v>
      </c>
      <c r="D973" s="397">
        <v>16650</v>
      </c>
      <c r="E973" s="400">
        <f t="shared" si="18"/>
        <v>1665</v>
      </c>
    </row>
    <row r="974" spans="1:5">
      <c r="A974" s="399">
        <v>40452</v>
      </c>
      <c r="B974" s="393">
        <v>194375</v>
      </c>
      <c r="C974" s="394">
        <v>2276.5</v>
      </c>
      <c r="D974" s="397">
        <v>16650</v>
      </c>
      <c r="E974" s="400">
        <f>D974/10</f>
        <v>1665</v>
      </c>
    </row>
    <row r="975" spans="1:5">
      <c r="A975" s="399">
        <v>40455</v>
      </c>
      <c r="B975" s="393">
        <v>197850</v>
      </c>
      <c r="C975" s="394">
        <v>2265.5</v>
      </c>
      <c r="D975" s="397">
        <v>16650</v>
      </c>
      <c r="E975" s="400">
        <f>D975/10</f>
        <v>1665</v>
      </c>
    </row>
    <row r="976" spans="1:5">
      <c r="A976" s="399">
        <v>40456</v>
      </c>
      <c r="B976" s="393">
        <v>197775</v>
      </c>
      <c r="C976" s="394">
        <v>2275</v>
      </c>
      <c r="D976" s="397">
        <v>16650</v>
      </c>
      <c r="E976" s="400">
        <f>D976/10</f>
        <v>1665</v>
      </c>
    </row>
    <row r="977" spans="1:5">
      <c r="A977" s="399">
        <v>40457</v>
      </c>
      <c r="B977" s="393">
        <v>199450</v>
      </c>
      <c r="C977" s="394">
        <v>2293.5</v>
      </c>
      <c r="D977" s="397">
        <v>16650</v>
      </c>
      <c r="E977" s="400">
        <f>D977/10</f>
        <v>1665</v>
      </c>
    </row>
    <row r="978" spans="1:5">
      <c r="A978" s="399">
        <v>40458</v>
      </c>
      <c r="B978" s="393">
        <v>199300</v>
      </c>
      <c r="C978" s="394">
        <v>2281</v>
      </c>
      <c r="D978" s="397">
        <v>16650</v>
      </c>
      <c r="E978" s="400">
        <f>D978/10</f>
        <v>1665</v>
      </c>
    </row>
    <row r="979" spans="1:5">
      <c r="A979" s="399">
        <v>40459</v>
      </c>
      <c r="B979" s="393">
        <v>198400</v>
      </c>
      <c r="C979" s="394">
        <v>2199</v>
      </c>
      <c r="D979" s="397">
        <v>16650</v>
      </c>
      <c r="E979" s="400">
        <f t="shared" si="18"/>
        <v>1665</v>
      </c>
    </row>
    <row r="980" spans="1:5">
      <c r="A980" s="399">
        <v>40462</v>
      </c>
      <c r="B980" s="393">
        <v>198450</v>
      </c>
      <c r="C980" s="394">
        <v>2270.5</v>
      </c>
      <c r="D980" s="397">
        <v>16750</v>
      </c>
      <c r="E980" s="400">
        <f t="shared" si="18"/>
        <v>1675</v>
      </c>
    </row>
    <row r="981" spans="1:5">
      <c r="A981" s="399">
        <v>40463</v>
      </c>
      <c r="B981" s="393">
        <v>198425</v>
      </c>
      <c r="C981" s="394">
        <v>2275</v>
      </c>
      <c r="D981" s="397">
        <v>16850</v>
      </c>
      <c r="E981" s="400">
        <f t="shared" si="18"/>
        <v>1685</v>
      </c>
    </row>
    <row r="982" spans="1:5">
      <c r="A982" s="399">
        <v>40464</v>
      </c>
      <c r="B982" s="393">
        <v>198425</v>
      </c>
      <c r="C982" s="394">
        <v>2408</v>
      </c>
      <c r="D982" s="397">
        <v>16850</v>
      </c>
      <c r="E982" s="400">
        <f t="shared" si="18"/>
        <v>1685</v>
      </c>
    </row>
    <row r="983" spans="1:5">
      <c r="A983" s="399">
        <v>40465</v>
      </c>
      <c r="B983" s="393">
        <v>197875</v>
      </c>
      <c r="C983" s="394">
        <v>2402</v>
      </c>
      <c r="D983" s="397">
        <v>17000</v>
      </c>
      <c r="E983" s="400">
        <f t="shared" si="18"/>
        <v>1700</v>
      </c>
    </row>
    <row r="984" spans="1:5">
      <c r="A984" s="399">
        <v>40466</v>
      </c>
      <c r="B984" s="393">
        <v>197700</v>
      </c>
      <c r="C984" s="394">
        <v>2377</v>
      </c>
      <c r="D984" s="397">
        <v>17050</v>
      </c>
      <c r="E984" s="400">
        <f t="shared" si="18"/>
        <v>1705</v>
      </c>
    </row>
    <row r="985" spans="1:5">
      <c r="A985" s="399">
        <v>40469</v>
      </c>
      <c r="B985" s="393">
        <v>197625</v>
      </c>
      <c r="C985" s="394">
        <v>2373</v>
      </c>
      <c r="D985" s="397">
        <v>17050</v>
      </c>
      <c r="E985" s="400">
        <f t="shared" si="18"/>
        <v>1705</v>
      </c>
    </row>
    <row r="986" spans="1:5">
      <c r="A986" s="399">
        <v>40470</v>
      </c>
      <c r="B986" s="393">
        <v>198300</v>
      </c>
      <c r="C986" s="394">
        <v>2377</v>
      </c>
      <c r="D986" s="397">
        <v>17100</v>
      </c>
      <c r="E986" s="400">
        <f t="shared" si="18"/>
        <v>1710</v>
      </c>
    </row>
    <row r="987" spans="1:5">
      <c r="A987" s="399">
        <v>40471</v>
      </c>
      <c r="B987" s="393">
        <v>198225</v>
      </c>
      <c r="C987" s="394">
        <v>2381</v>
      </c>
      <c r="D987" s="397">
        <v>17100</v>
      </c>
      <c r="E987" s="400">
        <f t="shared" si="18"/>
        <v>1710</v>
      </c>
    </row>
    <row r="988" spans="1:5">
      <c r="A988" s="399">
        <v>40472</v>
      </c>
      <c r="B988" s="393">
        <v>198075</v>
      </c>
      <c r="C988" s="394">
        <v>2475</v>
      </c>
      <c r="D988" s="397">
        <v>17150</v>
      </c>
      <c r="E988" s="400">
        <f t="shared" si="18"/>
        <v>1715</v>
      </c>
    </row>
    <row r="989" spans="1:5">
      <c r="A989" s="399">
        <v>40473</v>
      </c>
      <c r="B989" s="393">
        <v>197775</v>
      </c>
      <c r="C989" s="394">
        <v>2494</v>
      </c>
      <c r="D989" s="397">
        <v>17200</v>
      </c>
      <c r="E989" s="400">
        <f t="shared" si="18"/>
        <v>1720</v>
      </c>
    </row>
    <row r="990" spans="1:5">
      <c r="A990" s="399">
        <v>40476</v>
      </c>
      <c r="B990" s="393">
        <v>197725</v>
      </c>
      <c r="C990" s="394">
        <v>2560</v>
      </c>
      <c r="D990" s="397">
        <v>17400</v>
      </c>
      <c r="E990" s="400">
        <f t="shared" si="18"/>
        <v>1740</v>
      </c>
    </row>
    <row r="991" spans="1:5">
      <c r="A991" s="399">
        <v>40477</v>
      </c>
      <c r="B991" s="393">
        <v>198875</v>
      </c>
      <c r="C991" s="394">
        <v>2541</v>
      </c>
      <c r="D991" s="397">
        <v>17700</v>
      </c>
      <c r="E991" s="400">
        <f t="shared" si="18"/>
        <v>1770</v>
      </c>
    </row>
    <row r="992" spans="1:5">
      <c r="A992" s="399">
        <v>40478</v>
      </c>
      <c r="B992" s="393">
        <v>198700</v>
      </c>
      <c r="C992" s="394">
        <v>2532</v>
      </c>
      <c r="D992" s="397">
        <v>17700</v>
      </c>
      <c r="E992" s="400">
        <f t="shared" si="18"/>
        <v>1770</v>
      </c>
    </row>
    <row r="993" spans="1:5">
      <c r="A993" s="399">
        <v>40479</v>
      </c>
      <c r="B993" s="393">
        <v>199775</v>
      </c>
      <c r="C993" s="394">
        <v>2480</v>
      </c>
      <c r="D993" s="397">
        <v>17600</v>
      </c>
      <c r="E993" s="400">
        <f t="shared" si="18"/>
        <v>1760</v>
      </c>
    </row>
    <row r="994" spans="1:5">
      <c r="A994" s="399">
        <v>40480</v>
      </c>
      <c r="B994" s="393">
        <v>199725</v>
      </c>
      <c r="C994" s="394">
        <v>2437</v>
      </c>
      <c r="D994" s="397">
        <v>17550</v>
      </c>
      <c r="E994" s="400">
        <f t="shared" si="18"/>
        <v>1755</v>
      </c>
    </row>
    <row r="995" spans="1:5">
      <c r="A995" s="399">
        <v>40483</v>
      </c>
      <c r="B995" s="393">
        <v>199725</v>
      </c>
      <c r="C995" s="394">
        <v>2472.5</v>
      </c>
      <c r="D995" s="397">
        <v>17550</v>
      </c>
      <c r="E995" s="400">
        <f t="shared" si="18"/>
        <v>1755</v>
      </c>
    </row>
    <row r="996" spans="1:5">
      <c r="A996" s="399">
        <v>40484</v>
      </c>
      <c r="B996" s="393">
        <v>202450</v>
      </c>
      <c r="C996" s="394">
        <v>2476</v>
      </c>
      <c r="D996" s="397">
        <v>17550</v>
      </c>
      <c r="E996" s="400">
        <f t="shared" si="18"/>
        <v>1755</v>
      </c>
    </row>
    <row r="997" spans="1:5">
      <c r="A997" s="399">
        <v>40485</v>
      </c>
      <c r="B997" s="393">
        <v>202950</v>
      </c>
      <c r="C997" s="394">
        <v>2490</v>
      </c>
      <c r="D997" s="397">
        <v>17600</v>
      </c>
      <c r="E997" s="400">
        <f t="shared" si="18"/>
        <v>1760</v>
      </c>
    </row>
    <row r="998" spans="1:5">
      <c r="A998" s="399">
        <v>40486</v>
      </c>
      <c r="B998" s="393">
        <v>202525</v>
      </c>
      <c r="C998" s="394">
        <v>2500</v>
      </c>
      <c r="D998" s="397">
        <v>17550</v>
      </c>
      <c r="E998" s="400">
        <f t="shared" si="18"/>
        <v>1755</v>
      </c>
    </row>
    <row r="999" spans="1:5">
      <c r="A999" s="399">
        <v>40487</v>
      </c>
      <c r="B999" s="393">
        <v>203225</v>
      </c>
      <c r="C999" s="394">
        <v>2505</v>
      </c>
      <c r="D999" s="397">
        <v>17900</v>
      </c>
      <c r="E999" s="400">
        <f t="shared" si="18"/>
        <v>1790</v>
      </c>
    </row>
    <row r="1000" spans="1:5">
      <c r="A1000" s="399">
        <v>40490</v>
      </c>
      <c r="B1000" s="393">
        <v>202875</v>
      </c>
      <c r="C1000" s="394">
        <v>2484</v>
      </c>
      <c r="D1000" s="397">
        <v>17900</v>
      </c>
      <c r="E1000" s="400">
        <f t="shared" si="18"/>
        <v>1790</v>
      </c>
    </row>
    <row r="1001" spans="1:5">
      <c r="A1001" s="399">
        <v>40491</v>
      </c>
      <c r="B1001" s="393">
        <v>203100</v>
      </c>
      <c r="C1001" s="394">
        <v>2553.5</v>
      </c>
      <c r="D1001" s="397">
        <v>18000</v>
      </c>
      <c r="E1001" s="400">
        <f t="shared" si="18"/>
        <v>1800</v>
      </c>
    </row>
    <row r="1002" spans="1:5">
      <c r="A1002" s="399">
        <v>40492</v>
      </c>
      <c r="B1002" s="393">
        <v>203375</v>
      </c>
      <c r="C1002" s="394">
        <v>2575</v>
      </c>
      <c r="D1002" s="397">
        <v>18100</v>
      </c>
      <c r="E1002" s="400">
        <f t="shared" si="18"/>
        <v>1810</v>
      </c>
    </row>
    <row r="1003" spans="1:5">
      <c r="A1003" s="399">
        <v>40493</v>
      </c>
      <c r="B1003" s="393">
        <v>202975</v>
      </c>
      <c r="C1003" s="394">
        <v>2593.5</v>
      </c>
      <c r="D1003" s="397">
        <v>18100</v>
      </c>
      <c r="E1003" s="400">
        <f t="shared" si="18"/>
        <v>1810</v>
      </c>
    </row>
    <row r="1004" spans="1:5">
      <c r="A1004" s="399">
        <v>40494</v>
      </c>
      <c r="B1004" s="393">
        <v>202775</v>
      </c>
      <c r="C1004" s="394">
        <v>2534</v>
      </c>
      <c r="D1004" s="397">
        <v>18100</v>
      </c>
      <c r="E1004" s="400">
        <f t="shared" si="18"/>
        <v>1810</v>
      </c>
    </row>
    <row r="1005" spans="1:5">
      <c r="A1005" s="399">
        <v>40497</v>
      </c>
      <c r="B1005" s="393">
        <v>205450</v>
      </c>
      <c r="C1005" s="394">
        <v>2420</v>
      </c>
      <c r="D1005" s="397">
        <v>18000</v>
      </c>
      <c r="E1005" s="400">
        <f t="shared" si="18"/>
        <v>1800</v>
      </c>
    </row>
    <row r="1006" spans="1:5">
      <c r="A1006" s="399">
        <v>40498</v>
      </c>
      <c r="B1006" s="393">
        <v>205300</v>
      </c>
      <c r="C1006" s="394">
        <v>2384</v>
      </c>
      <c r="D1006" s="397">
        <v>17950</v>
      </c>
      <c r="E1006" s="400">
        <f t="shared" si="18"/>
        <v>1795</v>
      </c>
    </row>
    <row r="1007" spans="1:5">
      <c r="A1007" s="399">
        <v>40499</v>
      </c>
      <c r="B1007" s="393">
        <v>204950</v>
      </c>
      <c r="C1007" s="394">
        <v>2222</v>
      </c>
      <c r="D1007" s="397">
        <v>17600</v>
      </c>
      <c r="E1007" s="400">
        <f t="shared" si="18"/>
        <v>1760</v>
      </c>
    </row>
    <row r="1008" spans="1:5">
      <c r="A1008" s="399">
        <v>40500</v>
      </c>
      <c r="B1008" s="393">
        <v>204625</v>
      </c>
      <c r="C1008" s="394">
        <v>2306</v>
      </c>
      <c r="D1008" s="397">
        <v>17600</v>
      </c>
      <c r="E1008" s="400">
        <f t="shared" si="18"/>
        <v>1760</v>
      </c>
    </row>
    <row r="1009" spans="1:5">
      <c r="A1009" s="399">
        <v>40501</v>
      </c>
      <c r="B1009" s="393">
        <v>204075</v>
      </c>
      <c r="C1009" s="394">
        <v>2247</v>
      </c>
      <c r="D1009" s="397">
        <v>17600</v>
      </c>
      <c r="E1009" s="400">
        <f t="shared" si="18"/>
        <v>1760</v>
      </c>
    </row>
    <row r="1010" spans="1:5">
      <c r="A1010" s="399">
        <v>40504</v>
      </c>
      <c r="B1010" s="393">
        <v>203875</v>
      </c>
      <c r="C1010" s="394">
        <v>2226.5</v>
      </c>
      <c r="D1010" s="397">
        <v>17500</v>
      </c>
      <c r="E1010" s="400">
        <f t="shared" si="18"/>
        <v>1750</v>
      </c>
    </row>
    <row r="1011" spans="1:5">
      <c r="A1011" s="399">
        <v>40505</v>
      </c>
      <c r="B1011" s="393">
        <v>203625</v>
      </c>
      <c r="C1011" s="394">
        <v>2150</v>
      </c>
      <c r="D1011" s="397">
        <v>17400</v>
      </c>
      <c r="E1011" s="400">
        <f t="shared" si="18"/>
        <v>1740</v>
      </c>
    </row>
    <row r="1012" spans="1:5">
      <c r="A1012" s="399">
        <v>40506</v>
      </c>
      <c r="B1012" s="393">
        <v>203600</v>
      </c>
      <c r="C1012" s="394">
        <v>2199</v>
      </c>
      <c r="D1012" s="397">
        <v>17250</v>
      </c>
      <c r="E1012" s="400">
        <f t="shared" si="18"/>
        <v>1725</v>
      </c>
    </row>
    <row r="1013" spans="1:5">
      <c r="A1013" s="399">
        <v>40507</v>
      </c>
      <c r="B1013" s="393">
        <v>203350</v>
      </c>
      <c r="C1013" s="394">
        <v>2221</v>
      </c>
      <c r="D1013" s="397">
        <v>17250</v>
      </c>
      <c r="E1013" s="400">
        <f t="shared" si="18"/>
        <v>1725</v>
      </c>
    </row>
    <row r="1014" spans="1:5">
      <c r="A1014" s="399">
        <v>40508</v>
      </c>
      <c r="B1014" s="393">
        <v>203925</v>
      </c>
      <c r="C1014" s="394">
        <v>2264</v>
      </c>
      <c r="D1014" s="397">
        <v>17300</v>
      </c>
      <c r="E1014" s="400">
        <f t="shared" si="18"/>
        <v>1730</v>
      </c>
    </row>
    <row r="1015" spans="1:5">
      <c r="A1015" s="399">
        <v>40511</v>
      </c>
      <c r="B1015" s="393">
        <v>204200</v>
      </c>
      <c r="C1015" s="394">
        <v>2255</v>
      </c>
      <c r="D1015" s="397">
        <v>17250</v>
      </c>
      <c r="E1015" s="400">
        <f t="shared" si="18"/>
        <v>1725</v>
      </c>
    </row>
    <row r="1016" spans="1:5">
      <c r="A1016" s="399">
        <v>40512</v>
      </c>
      <c r="B1016" s="393">
        <v>204025</v>
      </c>
      <c r="C1016" s="394">
        <v>2210</v>
      </c>
      <c r="D1016" s="397">
        <v>17150</v>
      </c>
      <c r="E1016" s="400">
        <f t="shared" si="18"/>
        <v>1715</v>
      </c>
    </row>
    <row r="1017" spans="1:5">
      <c r="A1017" s="399">
        <v>40513</v>
      </c>
      <c r="B1017" s="393">
        <v>203875</v>
      </c>
      <c r="C1017" s="394">
        <v>2265</v>
      </c>
      <c r="D1017" s="397">
        <v>17150</v>
      </c>
      <c r="E1017" s="400">
        <f t="shared" si="18"/>
        <v>1715</v>
      </c>
    </row>
    <row r="1018" spans="1:5">
      <c r="A1018" s="399">
        <v>40514</v>
      </c>
      <c r="B1018" s="393">
        <v>203850</v>
      </c>
      <c r="C1018" s="394">
        <v>2292</v>
      </c>
      <c r="D1018" s="397">
        <v>17200</v>
      </c>
      <c r="E1018" s="400">
        <f t="shared" si="18"/>
        <v>1720</v>
      </c>
    </row>
    <row r="1019" spans="1:5">
      <c r="A1019" s="399">
        <v>40515</v>
      </c>
      <c r="B1019" s="393">
        <v>203675</v>
      </c>
      <c r="C1019" s="394">
        <v>2330.5</v>
      </c>
      <c r="D1019" s="397">
        <v>17250</v>
      </c>
      <c r="E1019" s="400">
        <f t="shared" si="18"/>
        <v>1725</v>
      </c>
    </row>
    <row r="1020" spans="1:5">
      <c r="A1020" s="399">
        <v>40518</v>
      </c>
      <c r="B1020" s="393">
        <v>203950</v>
      </c>
      <c r="C1020" s="394">
        <v>2320.5</v>
      </c>
      <c r="D1020" s="397">
        <v>17250</v>
      </c>
      <c r="E1020" s="400">
        <f t="shared" si="18"/>
        <v>1725</v>
      </c>
    </row>
    <row r="1021" spans="1:5">
      <c r="A1021" s="399">
        <v>40519</v>
      </c>
      <c r="B1021" s="393">
        <v>203550</v>
      </c>
      <c r="C1021" s="394">
        <v>2402</v>
      </c>
      <c r="D1021" s="397">
        <v>17250</v>
      </c>
      <c r="E1021" s="400">
        <f t="shared" si="18"/>
        <v>1725</v>
      </c>
    </row>
    <row r="1022" spans="1:5">
      <c r="A1022" s="399">
        <v>40520</v>
      </c>
      <c r="B1022" s="393">
        <v>203450</v>
      </c>
      <c r="C1022" s="394">
        <v>2362</v>
      </c>
      <c r="D1022" s="397">
        <v>17250</v>
      </c>
      <c r="E1022" s="400">
        <f t="shared" si="18"/>
        <v>1725</v>
      </c>
    </row>
    <row r="1023" spans="1:5">
      <c r="A1023" s="399">
        <v>40521</v>
      </c>
      <c r="B1023" s="393">
        <v>205250</v>
      </c>
      <c r="C1023" s="394">
        <v>2367.5</v>
      </c>
      <c r="D1023" s="397">
        <v>17200</v>
      </c>
      <c r="E1023" s="400">
        <f t="shared" si="18"/>
        <v>1720</v>
      </c>
    </row>
    <row r="1024" spans="1:5">
      <c r="A1024" s="399">
        <v>40522</v>
      </c>
      <c r="B1024" s="393">
        <v>204375</v>
      </c>
      <c r="C1024" s="394">
        <v>2402</v>
      </c>
      <c r="D1024" s="397">
        <v>17200</v>
      </c>
      <c r="E1024" s="400">
        <f t="shared" si="18"/>
        <v>1720</v>
      </c>
    </row>
    <row r="1025" spans="1:5">
      <c r="A1025" s="399">
        <v>40525</v>
      </c>
      <c r="B1025" s="393">
        <v>203175</v>
      </c>
      <c r="C1025" s="394">
        <v>2419.5</v>
      </c>
      <c r="D1025" s="397">
        <v>17200</v>
      </c>
      <c r="E1025" s="400">
        <f t="shared" si="18"/>
        <v>1720</v>
      </c>
    </row>
    <row r="1026" spans="1:5">
      <c r="A1026" s="399">
        <v>40526</v>
      </c>
      <c r="B1026" s="393">
        <v>203175</v>
      </c>
      <c r="C1026" s="394">
        <v>2440</v>
      </c>
      <c r="D1026" s="397">
        <v>17250</v>
      </c>
      <c r="E1026" s="400">
        <f t="shared" si="18"/>
        <v>1725</v>
      </c>
    </row>
    <row r="1027" spans="1:5">
      <c r="A1027" s="399">
        <v>40527</v>
      </c>
      <c r="B1027" s="393">
        <v>207050</v>
      </c>
      <c r="C1027" s="394">
        <v>2392</v>
      </c>
      <c r="D1027" s="397">
        <v>17250</v>
      </c>
      <c r="E1027" s="400">
        <f t="shared" ref="E1027:E1090" si="19">D1027/10</f>
        <v>1725</v>
      </c>
    </row>
    <row r="1028" spans="1:5">
      <c r="A1028" s="399">
        <v>40528</v>
      </c>
      <c r="B1028" s="393">
        <v>207775</v>
      </c>
      <c r="C1028" s="394">
        <v>2380</v>
      </c>
      <c r="D1028" s="397">
        <v>17100</v>
      </c>
      <c r="E1028" s="400">
        <f t="shared" si="19"/>
        <v>1710</v>
      </c>
    </row>
    <row r="1029" spans="1:5">
      <c r="A1029" s="399">
        <v>40529</v>
      </c>
      <c r="B1029" s="393">
        <v>207600</v>
      </c>
      <c r="C1029" s="394">
        <v>2378.5</v>
      </c>
      <c r="D1029" s="397">
        <v>17100</v>
      </c>
      <c r="E1029" s="400">
        <f t="shared" si="19"/>
        <v>1710</v>
      </c>
    </row>
    <row r="1030" spans="1:5">
      <c r="A1030" s="399">
        <v>40532</v>
      </c>
      <c r="B1030" s="393">
        <v>207750</v>
      </c>
      <c r="C1030" s="394">
        <v>2452</v>
      </c>
      <c r="D1030" s="397">
        <v>17150</v>
      </c>
      <c r="E1030" s="400">
        <f t="shared" si="19"/>
        <v>1715</v>
      </c>
    </row>
    <row r="1031" spans="1:5">
      <c r="A1031" s="399">
        <v>40533</v>
      </c>
      <c r="B1031" s="393">
        <v>207500</v>
      </c>
      <c r="C1031" s="394">
        <v>2470</v>
      </c>
      <c r="D1031" s="397">
        <v>17150</v>
      </c>
      <c r="E1031" s="400">
        <f t="shared" si="19"/>
        <v>1715</v>
      </c>
    </row>
    <row r="1032" spans="1:5">
      <c r="A1032" s="399">
        <v>40534</v>
      </c>
      <c r="B1032" s="393">
        <v>207800</v>
      </c>
      <c r="C1032" s="394">
        <v>2460</v>
      </c>
      <c r="D1032" s="397">
        <v>17150</v>
      </c>
      <c r="E1032" s="400">
        <f t="shared" si="19"/>
        <v>1715</v>
      </c>
    </row>
    <row r="1033" spans="1:5">
      <c r="A1033" s="399">
        <v>40535</v>
      </c>
      <c r="B1033" s="393">
        <v>207875</v>
      </c>
      <c r="C1033" s="394">
        <v>2417</v>
      </c>
      <c r="D1033" s="397">
        <v>17100</v>
      </c>
      <c r="E1033" s="400">
        <f t="shared" si="19"/>
        <v>1710</v>
      </c>
    </row>
    <row r="1034" spans="1:5">
      <c r="A1034" s="399">
        <v>40536</v>
      </c>
      <c r="B1034" s="393">
        <v>207850</v>
      </c>
      <c r="C1034" s="394">
        <v>2440</v>
      </c>
      <c r="D1034" s="397">
        <v>17000</v>
      </c>
      <c r="E1034" s="400">
        <f t="shared" si="19"/>
        <v>1700</v>
      </c>
    </row>
    <row r="1035" spans="1:5">
      <c r="A1035" s="399">
        <v>40539</v>
      </c>
      <c r="B1035" s="393">
        <v>207850</v>
      </c>
      <c r="C1035" s="394">
        <v>2440</v>
      </c>
      <c r="D1035" s="397">
        <v>17000</v>
      </c>
      <c r="E1035" s="400">
        <f>D1035/10</f>
        <v>1700</v>
      </c>
    </row>
    <row r="1036" spans="1:5">
      <c r="A1036" s="399">
        <v>40540</v>
      </c>
      <c r="B1036" s="393">
        <v>207850</v>
      </c>
      <c r="C1036" s="394">
        <v>2440</v>
      </c>
      <c r="D1036" s="397">
        <v>17000</v>
      </c>
      <c r="E1036" s="400">
        <f>D1036/10</f>
        <v>1700</v>
      </c>
    </row>
    <row r="1037" spans="1:5">
      <c r="A1037" s="399">
        <v>40541</v>
      </c>
      <c r="B1037" s="393">
        <v>207700</v>
      </c>
      <c r="C1037" s="394">
        <v>2535</v>
      </c>
      <c r="D1037" s="397">
        <v>17000</v>
      </c>
      <c r="E1037" s="400">
        <f t="shared" si="19"/>
        <v>1700</v>
      </c>
    </row>
    <row r="1038" spans="1:5">
      <c r="A1038" s="399">
        <v>40542</v>
      </c>
      <c r="B1038" s="393">
        <v>206850</v>
      </c>
      <c r="C1038" s="394">
        <v>2559</v>
      </c>
      <c r="D1038" s="397">
        <v>17050</v>
      </c>
      <c r="E1038" s="400">
        <f t="shared" si="19"/>
        <v>1705</v>
      </c>
    </row>
    <row r="1039" spans="1:5">
      <c r="A1039" s="399">
        <v>40543</v>
      </c>
      <c r="B1039" s="393">
        <v>208275</v>
      </c>
      <c r="C1039" s="394">
        <v>2587</v>
      </c>
      <c r="D1039" s="397">
        <v>17050</v>
      </c>
      <c r="E1039" s="400">
        <f t="shared" si="19"/>
        <v>1705</v>
      </c>
    </row>
    <row r="1040" spans="1:5">
      <c r="A1040" s="399">
        <v>40547</v>
      </c>
      <c r="B1040" s="393">
        <v>208550</v>
      </c>
      <c r="C1040" s="394">
        <v>2593</v>
      </c>
      <c r="D1040" s="397">
        <v>17100</v>
      </c>
      <c r="E1040" s="400">
        <f t="shared" si="19"/>
        <v>1710</v>
      </c>
    </row>
    <row r="1041" spans="1:5">
      <c r="A1041" s="399">
        <v>40548</v>
      </c>
      <c r="B1041" s="393">
        <v>209900</v>
      </c>
      <c r="C1041" s="394">
        <v>2569</v>
      </c>
      <c r="D1041" s="397">
        <v>17150</v>
      </c>
      <c r="E1041" s="400">
        <f t="shared" si="19"/>
        <v>1715</v>
      </c>
    </row>
    <row r="1042" spans="1:5">
      <c r="A1042" s="399">
        <v>40549</v>
      </c>
      <c r="B1042" s="393">
        <v>209850</v>
      </c>
      <c r="C1042" s="394">
        <v>2703</v>
      </c>
      <c r="D1042" s="397">
        <v>17250</v>
      </c>
      <c r="E1042" s="400">
        <f t="shared" si="19"/>
        <v>1725</v>
      </c>
    </row>
    <row r="1043" spans="1:5">
      <c r="A1043" s="399">
        <v>40550</v>
      </c>
      <c r="B1043" s="393">
        <v>209700</v>
      </c>
      <c r="C1043" s="394">
        <v>2660</v>
      </c>
      <c r="D1043" s="397">
        <v>17300</v>
      </c>
      <c r="E1043" s="400">
        <f t="shared" si="19"/>
        <v>1730</v>
      </c>
    </row>
    <row r="1044" spans="1:5">
      <c r="A1044" s="399">
        <v>40553</v>
      </c>
      <c r="B1044" s="393">
        <v>210375</v>
      </c>
      <c r="C1044" s="394">
        <v>2642</v>
      </c>
      <c r="D1044" s="397">
        <v>17450</v>
      </c>
      <c r="E1044" s="400">
        <f t="shared" si="19"/>
        <v>1745</v>
      </c>
    </row>
    <row r="1045" spans="1:5">
      <c r="A1045" s="399">
        <v>40554</v>
      </c>
      <c r="B1045" s="393">
        <v>211675</v>
      </c>
      <c r="C1045" s="394">
        <v>2630</v>
      </c>
      <c r="D1045" s="397">
        <v>17450</v>
      </c>
      <c r="E1045" s="400">
        <f t="shared" si="19"/>
        <v>1745</v>
      </c>
    </row>
    <row r="1046" spans="1:5">
      <c r="A1046" s="399">
        <v>40555</v>
      </c>
      <c r="B1046" s="393">
        <v>211975</v>
      </c>
      <c r="C1046" s="394">
        <v>2662</v>
      </c>
      <c r="D1046" s="397">
        <v>17450</v>
      </c>
      <c r="E1046" s="400">
        <f t="shared" si="19"/>
        <v>1745</v>
      </c>
    </row>
    <row r="1047" spans="1:5">
      <c r="A1047" s="399">
        <v>40556</v>
      </c>
      <c r="B1047" s="393">
        <v>211425</v>
      </c>
      <c r="C1047" s="394">
        <v>2699</v>
      </c>
      <c r="D1047" s="397">
        <v>17500</v>
      </c>
      <c r="E1047" s="400">
        <f t="shared" si="19"/>
        <v>1750</v>
      </c>
    </row>
    <row r="1048" spans="1:5">
      <c r="A1048" s="399">
        <v>40557</v>
      </c>
      <c r="B1048" s="393">
        <v>210975</v>
      </c>
      <c r="C1048" s="394">
        <v>2652</v>
      </c>
      <c r="D1048" s="397">
        <v>17500</v>
      </c>
      <c r="E1048" s="400">
        <f t="shared" si="19"/>
        <v>1750</v>
      </c>
    </row>
    <row r="1049" spans="1:5">
      <c r="A1049" s="399">
        <v>40560</v>
      </c>
      <c r="B1049" s="393">
        <v>214125</v>
      </c>
      <c r="C1049" s="394">
        <v>2720</v>
      </c>
      <c r="D1049" s="397">
        <v>17550</v>
      </c>
      <c r="E1049" s="400">
        <f t="shared" si="19"/>
        <v>1755</v>
      </c>
    </row>
    <row r="1050" spans="1:5">
      <c r="A1050" s="399">
        <v>40561</v>
      </c>
      <c r="B1050" s="393">
        <v>243950</v>
      </c>
      <c r="C1050" s="394">
        <v>2693</v>
      </c>
      <c r="D1050" s="397">
        <v>17500</v>
      </c>
      <c r="E1050" s="400">
        <f t="shared" si="19"/>
        <v>1750</v>
      </c>
    </row>
    <row r="1051" spans="1:5">
      <c r="A1051" s="399">
        <v>40562</v>
      </c>
      <c r="B1051" s="393">
        <v>261925</v>
      </c>
      <c r="C1051" s="394">
        <v>2650</v>
      </c>
      <c r="D1051" s="397">
        <v>17500</v>
      </c>
      <c r="E1051" s="400">
        <f t="shared" si="19"/>
        <v>1750</v>
      </c>
    </row>
    <row r="1052" spans="1:5">
      <c r="A1052" s="399">
        <v>40563</v>
      </c>
      <c r="B1052" s="393">
        <v>264350</v>
      </c>
      <c r="C1052" s="394">
        <v>2530</v>
      </c>
      <c r="D1052" s="397">
        <v>17400</v>
      </c>
      <c r="E1052" s="400">
        <f t="shared" si="19"/>
        <v>1740</v>
      </c>
    </row>
    <row r="1053" spans="1:5">
      <c r="A1053" s="399">
        <v>40564</v>
      </c>
      <c r="B1053" s="393">
        <v>264175</v>
      </c>
      <c r="C1053" s="394">
        <v>2550</v>
      </c>
      <c r="D1053" s="397">
        <v>17400</v>
      </c>
      <c r="E1053" s="400">
        <f t="shared" si="19"/>
        <v>1740</v>
      </c>
    </row>
    <row r="1054" spans="1:5">
      <c r="A1054" s="399">
        <v>40567</v>
      </c>
      <c r="B1054" s="393">
        <v>266775</v>
      </c>
      <c r="C1054" s="394">
        <v>2490</v>
      </c>
      <c r="D1054" s="397">
        <v>17350</v>
      </c>
      <c r="E1054" s="400">
        <f t="shared" si="19"/>
        <v>1735</v>
      </c>
    </row>
    <row r="1055" spans="1:5">
      <c r="A1055" s="399">
        <v>40568</v>
      </c>
      <c r="B1055" s="393">
        <v>271300</v>
      </c>
      <c r="C1055" s="394">
        <v>2535</v>
      </c>
      <c r="D1055" s="397">
        <v>17200</v>
      </c>
      <c r="E1055" s="400">
        <f t="shared" si="19"/>
        <v>1720</v>
      </c>
    </row>
    <row r="1056" spans="1:5">
      <c r="A1056" s="399">
        <v>40569</v>
      </c>
      <c r="B1056" s="393">
        <v>275300</v>
      </c>
      <c r="C1056" s="394">
        <v>2444</v>
      </c>
      <c r="D1056" s="397">
        <v>17200</v>
      </c>
      <c r="E1056" s="400">
        <f t="shared" si="19"/>
        <v>1720</v>
      </c>
    </row>
    <row r="1057" spans="1:5">
      <c r="A1057" s="399">
        <v>40570</v>
      </c>
      <c r="B1057" s="393">
        <v>276925</v>
      </c>
      <c r="C1057" s="394">
        <v>2490</v>
      </c>
      <c r="D1057" s="397">
        <v>17100</v>
      </c>
      <c r="E1057" s="400">
        <f t="shared" si="19"/>
        <v>1710</v>
      </c>
    </row>
    <row r="1058" spans="1:5">
      <c r="A1058" s="399">
        <v>40571</v>
      </c>
      <c r="B1058" s="393">
        <v>279025</v>
      </c>
      <c r="C1058" s="394">
        <v>2545</v>
      </c>
      <c r="D1058" s="397">
        <v>17100</v>
      </c>
      <c r="E1058" s="400">
        <f t="shared" si="19"/>
        <v>1710</v>
      </c>
    </row>
    <row r="1059" spans="1:5">
      <c r="A1059" s="399">
        <v>40574</v>
      </c>
      <c r="B1059" s="393">
        <v>279925</v>
      </c>
      <c r="C1059" s="394">
        <v>2576</v>
      </c>
      <c r="D1059" s="397">
        <v>17100</v>
      </c>
      <c r="E1059" s="400">
        <f t="shared" si="19"/>
        <v>1710</v>
      </c>
    </row>
    <row r="1060" spans="1:5">
      <c r="A1060" s="399">
        <v>40575</v>
      </c>
      <c r="B1060" s="393">
        <v>282700</v>
      </c>
      <c r="C1060" s="394">
        <v>2620</v>
      </c>
      <c r="D1060" s="397">
        <v>17200</v>
      </c>
      <c r="E1060" s="400">
        <f t="shared" si="19"/>
        <v>1720</v>
      </c>
    </row>
    <row r="1061" spans="1:5">
      <c r="A1061" s="399">
        <v>40576</v>
      </c>
      <c r="B1061" s="393">
        <v>284850</v>
      </c>
      <c r="C1061" s="394">
        <v>2613</v>
      </c>
      <c r="D1061" s="397">
        <v>17200</v>
      </c>
      <c r="E1061" s="400">
        <f>D1061/10</f>
        <v>1720</v>
      </c>
    </row>
    <row r="1062" spans="1:5">
      <c r="A1062" s="399">
        <v>40577</v>
      </c>
      <c r="B1062" s="393">
        <v>288925</v>
      </c>
      <c r="C1062" s="394">
        <v>2642</v>
      </c>
      <c r="D1062" s="397">
        <v>17200</v>
      </c>
      <c r="E1062" s="400">
        <f>D1062/10</f>
        <v>1720</v>
      </c>
    </row>
    <row r="1063" spans="1:5">
      <c r="A1063" s="399">
        <v>40578</v>
      </c>
      <c r="B1063" s="393">
        <v>289275</v>
      </c>
      <c r="C1063" s="394">
        <v>2638</v>
      </c>
      <c r="D1063" s="397">
        <v>17200</v>
      </c>
      <c r="E1063" s="400">
        <f>D1063/10</f>
        <v>1720</v>
      </c>
    </row>
    <row r="1064" spans="1:5">
      <c r="A1064" s="399">
        <v>40581</v>
      </c>
      <c r="B1064" s="393">
        <v>289400</v>
      </c>
      <c r="C1064" s="394">
        <v>2645</v>
      </c>
      <c r="D1064" s="397">
        <v>17200</v>
      </c>
      <c r="E1064" s="400">
        <f>D1064/10</f>
        <v>1720</v>
      </c>
    </row>
    <row r="1065" spans="1:5">
      <c r="A1065" s="399">
        <v>40582</v>
      </c>
      <c r="B1065" s="393">
        <v>291850</v>
      </c>
      <c r="C1065" s="394">
        <v>2568</v>
      </c>
      <c r="D1065" s="397">
        <v>17200</v>
      </c>
      <c r="E1065" s="400">
        <f>D1065/10</f>
        <v>1720</v>
      </c>
    </row>
    <row r="1066" spans="1:5">
      <c r="A1066" s="399">
        <v>40583</v>
      </c>
      <c r="B1066" s="393">
        <v>292975</v>
      </c>
      <c r="C1066" s="394">
        <v>2575</v>
      </c>
      <c r="D1066" s="397">
        <v>17250</v>
      </c>
      <c r="E1066" s="400">
        <f t="shared" si="19"/>
        <v>1725</v>
      </c>
    </row>
    <row r="1067" spans="1:5">
      <c r="A1067" s="399">
        <v>40584</v>
      </c>
      <c r="B1067" s="393">
        <v>294775</v>
      </c>
      <c r="C1067" s="394">
        <v>2505.5</v>
      </c>
      <c r="D1067" s="397">
        <v>17150</v>
      </c>
      <c r="E1067" s="400">
        <f t="shared" si="19"/>
        <v>1715</v>
      </c>
    </row>
    <row r="1068" spans="1:5">
      <c r="A1068" s="399">
        <v>40585</v>
      </c>
      <c r="B1068" s="393">
        <v>295050</v>
      </c>
      <c r="C1068" s="394">
        <v>2525</v>
      </c>
      <c r="D1068" s="397">
        <v>17200</v>
      </c>
      <c r="E1068" s="400">
        <f t="shared" si="19"/>
        <v>1720</v>
      </c>
    </row>
    <row r="1069" spans="1:5">
      <c r="A1069" s="399">
        <v>40588</v>
      </c>
      <c r="B1069" s="393">
        <v>295575</v>
      </c>
      <c r="C1069" s="394">
        <v>2631</v>
      </c>
      <c r="D1069" s="397">
        <v>17250</v>
      </c>
      <c r="E1069" s="400">
        <f t="shared" si="19"/>
        <v>1725</v>
      </c>
    </row>
    <row r="1070" spans="1:5">
      <c r="A1070" s="399">
        <v>40589</v>
      </c>
      <c r="B1070" s="393">
        <v>297500</v>
      </c>
      <c r="C1070" s="394">
        <v>2654</v>
      </c>
      <c r="D1070" s="397">
        <v>17300</v>
      </c>
      <c r="E1070" s="400">
        <f t="shared" si="19"/>
        <v>1730</v>
      </c>
    </row>
    <row r="1071" spans="1:5">
      <c r="A1071" s="399">
        <v>40590</v>
      </c>
      <c r="B1071" s="393">
        <v>297250</v>
      </c>
      <c r="C1071" s="394">
        <v>2619</v>
      </c>
      <c r="D1071" s="397">
        <v>17250</v>
      </c>
      <c r="E1071" s="400">
        <f t="shared" si="19"/>
        <v>1725</v>
      </c>
    </row>
    <row r="1072" spans="1:5">
      <c r="A1072" s="399">
        <v>40591</v>
      </c>
      <c r="B1072" s="393">
        <v>297200</v>
      </c>
      <c r="C1072" s="394">
        <v>2587</v>
      </c>
      <c r="D1072" s="397">
        <v>17250</v>
      </c>
      <c r="E1072" s="400">
        <f t="shared" si="19"/>
        <v>1725</v>
      </c>
    </row>
    <row r="1073" spans="1:5">
      <c r="A1073" s="399">
        <v>40592</v>
      </c>
      <c r="B1073" s="393">
        <v>296975</v>
      </c>
      <c r="C1073" s="394">
        <v>2613</v>
      </c>
      <c r="D1073" s="397">
        <v>17250</v>
      </c>
      <c r="E1073" s="400">
        <f t="shared" si="19"/>
        <v>1725</v>
      </c>
    </row>
    <row r="1074" spans="1:5">
      <c r="A1074" s="399">
        <v>40595</v>
      </c>
      <c r="B1074" s="393">
        <v>296750</v>
      </c>
      <c r="C1074" s="394">
        <v>2658</v>
      </c>
      <c r="D1074" s="397">
        <v>17350</v>
      </c>
      <c r="E1074" s="400">
        <f t="shared" si="19"/>
        <v>1735</v>
      </c>
    </row>
    <row r="1075" spans="1:5">
      <c r="A1075" s="399">
        <v>40596</v>
      </c>
      <c r="B1075" s="393">
        <v>295650</v>
      </c>
      <c r="C1075" s="394">
        <v>2563</v>
      </c>
      <c r="D1075" s="397">
        <v>17450</v>
      </c>
      <c r="E1075" s="400">
        <f t="shared" si="19"/>
        <v>1745</v>
      </c>
    </row>
    <row r="1076" spans="1:5">
      <c r="A1076" s="399">
        <v>40597</v>
      </c>
      <c r="B1076" s="393">
        <v>294850</v>
      </c>
      <c r="C1076" s="394">
        <v>2545</v>
      </c>
      <c r="D1076" s="397">
        <v>17450</v>
      </c>
      <c r="E1076" s="400">
        <f t="shared" si="19"/>
        <v>1745</v>
      </c>
    </row>
    <row r="1077" spans="1:5">
      <c r="A1077" s="399">
        <v>40598</v>
      </c>
      <c r="B1077" s="393">
        <v>294325</v>
      </c>
      <c r="C1077" s="394">
        <v>2485</v>
      </c>
      <c r="D1077" s="397">
        <v>17450</v>
      </c>
      <c r="E1077" s="400">
        <f t="shared" si="19"/>
        <v>1745</v>
      </c>
    </row>
    <row r="1078" spans="1:5">
      <c r="A1078" s="399">
        <v>40599</v>
      </c>
      <c r="B1078" s="393">
        <v>294575</v>
      </c>
      <c r="C1078" s="394">
        <v>2512</v>
      </c>
      <c r="D1078" s="397">
        <v>17450</v>
      </c>
      <c r="E1078" s="400">
        <f t="shared" si="19"/>
        <v>1745</v>
      </c>
    </row>
    <row r="1079" spans="1:5">
      <c r="A1079" s="399">
        <v>40602</v>
      </c>
      <c r="B1079" s="393">
        <v>294125</v>
      </c>
      <c r="C1079" s="394">
        <v>2535</v>
      </c>
      <c r="D1079" s="397">
        <v>17450</v>
      </c>
      <c r="E1079" s="400">
        <f t="shared" si="19"/>
        <v>1745</v>
      </c>
    </row>
    <row r="1080" spans="1:5">
      <c r="A1080" s="399">
        <v>40603</v>
      </c>
      <c r="B1080" s="393">
        <v>293850</v>
      </c>
      <c r="C1080" s="394">
        <v>2573</v>
      </c>
      <c r="D1080" s="397">
        <v>17500</v>
      </c>
      <c r="E1080" s="400">
        <f t="shared" si="19"/>
        <v>1750</v>
      </c>
    </row>
    <row r="1081" spans="1:5">
      <c r="A1081" s="399">
        <v>40604</v>
      </c>
      <c r="B1081" s="393">
        <v>293425</v>
      </c>
      <c r="C1081" s="394">
        <v>2532</v>
      </c>
      <c r="D1081" s="397">
        <v>17500</v>
      </c>
      <c r="E1081" s="400">
        <f t="shared" si="19"/>
        <v>1750</v>
      </c>
    </row>
    <row r="1082" spans="1:5">
      <c r="A1082" s="399">
        <v>40605</v>
      </c>
      <c r="B1082" s="393">
        <v>292725</v>
      </c>
      <c r="C1082" s="394">
        <v>2611.5</v>
      </c>
      <c r="D1082" s="397">
        <v>17500</v>
      </c>
      <c r="E1082" s="400">
        <f t="shared" si="19"/>
        <v>1750</v>
      </c>
    </row>
    <row r="1083" spans="1:5">
      <c r="A1083" s="399">
        <v>40606</v>
      </c>
      <c r="B1083" s="393">
        <v>291500</v>
      </c>
      <c r="C1083" s="394">
        <v>2672</v>
      </c>
      <c r="D1083" s="397">
        <v>17550</v>
      </c>
      <c r="E1083" s="400">
        <f t="shared" si="19"/>
        <v>1755</v>
      </c>
    </row>
    <row r="1084" spans="1:5">
      <c r="A1084" s="399">
        <v>40609</v>
      </c>
      <c r="B1084" s="393">
        <v>290100</v>
      </c>
      <c r="C1084" s="394">
        <v>2620</v>
      </c>
      <c r="D1084" s="397">
        <v>17550</v>
      </c>
      <c r="E1084" s="400">
        <f t="shared" si="19"/>
        <v>1755</v>
      </c>
    </row>
    <row r="1085" spans="1:5">
      <c r="A1085" s="399">
        <v>40610</v>
      </c>
      <c r="B1085" s="393">
        <v>289050</v>
      </c>
      <c r="C1085" s="394">
        <v>2559</v>
      </c>
      <c r="D1085" s="397">
        <v>17450</v>
      </c>
      <c r="E1085" s="400">
        <f t="shared" si="19"/>
        <v>1745</v>
      </c>
    </row>
    <row r="1086" spans="1:5">
      <c r="A1086" s="399">
        <v>40611</v>
      </c>
      <c r="B1086" s="393">
        <v>289525</v>
      </c>
      <c r="C1086" s="394">
        <v>2590</v>
      </c>
      <c r="D1086" s="397">
        <v>17450</v>
      </c>
      <c r="E1086" s="400">
        <f t="shared" si="19"/>
        <v>1745</v>
      </c>
    </row>
    <row r="1087" spans="1:5">
      <c r="A1087" s="399">
        <v>40612</v>
      </c>
      <c r="B1087" s="393">
        <v>289150</v>
      </c>
      <c r="C1087" s="394">
        <v>2459.5</v>
      </c>
      <c r="D1087" s="397">
        <v>17300</v>
      </c>
      <c r="E1087" s="400">
        <f t="shared" si="19"/>
        <v>1730</v>
      </c>
    </row>
    <row r="1088" spans="1:5">
      <c r="A1088" s="399">
        <v>40613</v>
      </c>
      <c r="B1088" s="393">
        <v>288250</v>
      </c>
      <c r="C1088" s="394">
        <v>2428.5</v>
      </c>
      <c r="D1088" s="397">
        <v>17250</v>
      </c>
      <c r="E1088" s="400">
        <f t="shared" si="19"/>
        <v>1725</v>
      </c>
    </row>
    <row r="1089" spans="1:5">
      <c r="A1089" s="399">
        <v>40616</v>
      </c>
      <c r="B1089" s="393">
        <v>288150</v>
      </c>
      <c r="C1089" s="394">
        <v>2506.5</v>
      </c>
      <c r="D1089" s="397">
        <v>17200</v>
      </c>
      <c r="E1089" s="400">
        <f t="shared" si="19"/>
        <v>1720</v>
      </c>
    </row>
    <row r="1090" spans="1:5">
      <c r="A1090" s="399">
        <v>40617</v>
      </c>
      <c r="B1090" s="393">
        <v>288800</v>
      </c>
      <c r="C1090" s="394">
        <v>2490</v>
      </c>
      <c r="D1090" s="397">
        <v>17250</v>
      </c>
      <c r="E1090" s="400">
        <f t="shared" si="19"/>
        <v>1725</v>
      </c>
    </row>
    <row r="1091" spans="1:5">
      <c r="A1091" s="399">
        <v>40618</v>
      </c>
      <c r="B1091" s="393">
        <v>289925</v>
      </c>
      <c r="C1091" s="394">
        <v>2593</v>
      </c>
      <c r="D1091" s="397">
        <v>17250</v>
      </c>
      <c r="E1091" s="400">
        <f t="shared" ref="E1091:E1154" si="20">D1091/10</f>
        <v>1725</v>
      </c>
    </row>
    <row r="1092" spans="1:5">
      <c r="A1092" s="399">
        <v>40619</v>
      </c>
      <c r="B1092" s="393">
        <v>289500</v>
      </c>
      <c r="C1092" s="394">
        <v>2690</v>
      </c>
      <c r="D1092" s="397">
        <v>17300</v>
      </c>
      <c r="E1092" s="400">
        <f t="shared" si="20"/>
        <v>1730</v>
      </c>
    </row>
    <row r="1093" spans="1:5">
      <c r="A1093" s="399">
        <v>40620</v>
      </c>
      <c r="B1093" s="393">
        <v>288650</v>
      </c>
      <c r="C1093" s="394">
        <v>2722</v>
      </c>
      <c r="D1093" s="397">
        <v>17400</v>
      </c>
      <c r="E1093" s="400">
        <f t="shared" si="20"/>
        <v>1740</v>
      </c>
    </row>
    <row r="1094" spans="1:5">
      <c r="A1094" s="399">
        <v>40623</v>
      </c>
      <c r="B1094" s="393">
        <v>287650</v>
      </c>
      <c r="C1094" s="394">
        <v>2712.5</v>
      </c>
      <c r="D1094" s="397">
        <v>17500</v>
      </c>
      <c r="E1094" s="400">
        <f t="shared" si="20"/>
        <v>1750</v>
      </c>
    </row>
    <row r="1095" spans="1:5">
      <c r="A1095" s="399">
        <v>40624</v>
      </c>
      <c r="B1095" s="393">
        <v>287050</v>
      </c>
      <c r="C1095" s="394">
        <v>2663</v>
      </c>
      <c r="D1095" s="397">
        <v>17500</v>
      </c>
      <c r="E1095" s="400">
        <f t="shared" si="20"/>
        <v>1750</v>
      </c>
    </row>
    <row r="1096" spans="1:5">
      <c r="A1096" s="399">
        <v>40625</v>
      </c>
      <c r="B1096" s="393">
        <v>286900</v>
      </c>
      <c r="C1096" s="394">
        <v>2730</v>
      </c>
      <c r="D1096" s="397">
        <v>17600</v>
      </c>
      <c r="E1096" s="400">
        <f t="shared" si="20"/>
        <v>1760</v>
      </c>
    </row>
    <row r="1097" spans="1:5">
      <c r="A1097" s="399">
        <v>40626</v>
      </c>
      <c r="B1097" s="393">
        <v>285625</v>
      </c>
      <c r="C1097" s="394">
        <v>2730</v>
      </c>
      <c r="D1097" s="397">
        <v>18100</v>
      </c>
      <c r="E1097" s="400">
        <f t="shared" si="20"/>
        <v>1810</v>
      </c>
    </row>
    <row r="1098" spans="1:5">
      <c r="A1098" s="399">
        <v>40627</v>
      </c>
      <c r="B1098" s="393">
        <v>283975</v>
      </c>
      <c r="C1098" s="394">
        <v>2705</v>
      </c>
      <c r="D1098" s="397">
        <v>17800</v>
      </c>
      <c r="E1098" s="400">
        <f t="shared" si="20"/>
        <v>1780</v>
      </c>
    </row>
    <row r="1099" spans="1:5">
      <c r="A1099" s="399">
        <v>40630</v>
      </c>
      <c r="B1099" s="393">
        <v>283800</v>
      </c>
      <c r="C1099" s="394">
        <v>2679</v>
      </c>
      <c r="D1099" s="397">
        <v>17700</v>
      </c>
      <c r="E1099" s="400">
        <f t="shared" si="20"/>
        <v>1770</v>
      </c>
    </row>
    <row r="1100" spans="1:5">
      <c r="A1100" s="399">
        <v>40631</v>
      </c>
      <c r="B1100" s="393">
        <v>283675</v>
      </c>
      <c r="C1100" s="394">
        <v>2670</v>
      </c>
      <c r="D1100" s="397">
        <v>17600</v>
      </c>
      <c r="E1100" s="400">
        <f t="shared" si="20"/>
        <v>1760</v>
      </c>
    </row>
    <row r="1101" spans="1:5">
      <c r="A1101" s="399">
        <v>40632</v>
      </c>
      <c r="B1101" s="393">
        <v>282425</v>
      </c>
      <c r="C1101" s="394">
        <v>2700</v>
      </c>
      <c r="D1101" s="397">
        <v>17600</v>
      </c>
      <c r="E1101" s="400">
        <f t="shared" si="20"/>
        <v>1760</v>
      </c>
    </row>
    <row r="1102" spans="1:5">
      <c r="A1102" s="399">
        <v>40633</v>
      </c>
      <c r="B1102" s="393">
        <v>281300</v>
      </c>
      <c r="C1102" s="394">
        <v>2720</v>
      </c>
      <c r="D1102" s="397">
        <v>17500</v>
      </c>
      <c r="E1102" s="400">
        <f t="shared" si="20"/>
        <v>1750</v>
      </c>
    </row>
    <row r="1103" spans="1:5">
      <c r="A1103" s="399">
        <v>40634</v>
      </c>
      <c r="B1103" s="393">
        <v>281500</v>
      </c>
      <c r="C1103" s="394">
        <v>2730.5</v>
      </c>
      <c r="D1103" s="397">
        <v>17500</v>
      </c>
      <c r="E1103" s="400">
        <f t="shared" si="20"/>
        <v>1750</v>
      </c>
    </row>
    <row r="1104" spans="1:5">
      <c r="A1104" s="399">
        <v>40637</v>
      </c>
      <c r="B1104" s="393">
        <v>281200</v>
      </c>
      <c r="C1104" s="394">
        <v>2840</v>
      </c>
      <c r="D1104" s="397">
        <v>17500</v>
      </c>
      <c r="E1104" s="400">
        <f>D1104/10</f>
        <v>1750</v>
      </c>
    </row>
    <row r="1105" spans="1:5">
      <c r="A1105" s="399">
        <v>40638</v>
      </c>
      <c r="B1105" s="393">
        <v>279425</v>
      </c>
      <c r="C1105" s="394">
        <v>2778</v>
      </c>
      <c r="D1105" s="397">
        <v>17500</v>
      </c>
      <c r="E1105" s="400">
        <f>D1105/10</f>
        <v>1750</v>
      </c>
    </row>
    <row r="1106" spans="1:5">
      <c r="A1106" s="399">
        <v>40639</v>
      </c>
      <c r="B1106" s="393">
        <v>278400</v>
      </c>
      <c r="C1106" s="394">
        <v>2815</v>
      </c>
      <c r="D1106" s="397">
        <v>17600</v>
      </c>
      <c r="E1106" s="400">
        <f t="shared" si="20"/>
        <v>1760</v>
      </c>
    </row>
    <row r="1107" spans="1:5">
      <c r="A1107" s="399">
        <v>40640</v>
      </c>
      <c r="B1107" s="393">
        <v>278125</v>
      </c>
      <c r="C1107" s="394">
        <v>2878</v>
      </c>
      <c r="D1107" s="397">
        <v>17600</v>
      </c>
      <c r="E1107" s="400">
        <f t="shared" si="20"/>
        <v>1760</v>
      </c>
    </row>
    <row r="1108" spans="1:5">
      <c r="A1108" s="399">
        <v>40641</v>
      </c>
      <c r="B1108" s="393">
        <v>277550</v>
      </c>
      <c r="C1108" s="394">
        <v>2905</v>
      </c>
      <c r="D1108" s="397">
        <v>17600</v>
      </c>
      <c r="E1108" s="400">
        <f t="shared" si="20"/>
        <v>1760</v>
      </c>
    </row>
    <row r="1109" spans="1:5">
      <c r="A1109" s="399">
        <v>40644</v>
      </c>
      <c r="B1109" s="393">
        <v>276575</v>
      </c>
      <c r="C1109" s="394">
        <v>2939</v>
      </c>
      <c r="D1109" s="397">
        <v>17700</v>
      </c>
      <c r="E1109" s="400">
        <f t="shared" si="20"/>
        <v>1770</v>
      </c>
    </row>
    <row r="1110" spans="1:5">
      <c r="A1110" s="399">
        <v>40645</v>
      </c>
      <c r="B1110" s="393">
        <v>275450</v>
      </c>
      <c r="C1110" s="394">
        <v>2880</v>
      </c>
      <c r="D1110" s="397">
        <v>17600</v>
      </c>
      <c r="E1110" s="400">
        <f t="shared" si="20"/>
        <v>1760</v>
      </c>
    </row>
    <row r="1111" spans="1:5">
      <c r="A1111" s="399">
        <v>40646</v>
      </c>
      <c r="B1111" s="393">
        <v>280400</v>
      </c>
      <c r="C1111" s="394">
        <v>2817.5</v>
      </c>
      <c r="D1111" s="397">
        <v>17450</v>
      </c>
      <c r="E1111" s="400">
        <f t="shared" si="20"/>
        <v>1745</v>
      </c>
    </row>
    <row r="1112" spans="1:5">
      <c r="A1112" s="399">
        <v>40647</v>
      </c>
      <c r="B1112" s="393">
        <v>283850</v>
      </c>
      <c r="C1112" s="394">
        <v>2683</v>
      </c>
      <c r="D1112" s="397">
        <v>17400</v>
      </c>
      <c r="E1112" s="400">
        <f t="shared" si="20"/>
        <v>1740</v>
      </c>
    </row>
    <row r="1113" spans="1:5">
      <c r="A1113" s="399">
        <v>40648</v>
      </c>
      <c r="B1113" s="393">
        <v>287075</v>
      </c>
      <c r="C1113" s="394">
        <v>2732</v>
      </c>
      <c r="D1113" s="397">
        <v>17400</v>
      </c>
      <c r="E1113" s="400">
        <f t="shared" si="20"/>
        <v>1740</v>
      </c>
    </row>
    <row r="1114" spans="1:5">
      <c r="A1114" s="399">
        <v>40651</v>
      </c>
      <c r="B1114" s="393">
        <v>291775</v>
      </c>
      <c r="C1114" s="394">
        <v>2720</v>
      </c>
      <c r="D1114" s="397">
        <v>17300</v>
      </c>
      <c r="E1114" s="400">
        <f t="shared" si="20"/>
        <v>1730</v>
      </c>
    </row>
    <row r="1115" spans="1:5">
      <c r="A1115" s="399">
        <v>40652</v>
      </c>
      <c r="B1115" s="393">
        <v>298425</v>
      </c>
      <c r="C1115" s="394">
        <v>2598</v>
      </c>
      <c r="D1115" s="397">
        <v>17200</v>
      </c>
      <c r="E1115" s="400">
        <f t="shared" si="20"/>
        <v>1720</v>
      </c>
    </row>
    <row r="1116" spans="1:5">
      <c r="A1116" s="399">
        <v>40653</v>
      </c>
      <c r="B1116" s="393">
        <v>301950</v>
      </c>
      <c r="C1116" s="394">
        <v>2661</v>
      </c>
      <c r="D1116" s="397">
        <v>17050</v>
      </c>
      <c r="E1116" s="400">
        <f t="shared" si="20"/>
        <v>1705</v>
      </c>
    </row>
    <row r="1117" spans="1:5">
      <c r="A1117" s="399">
        <v>40654</v>
      </c>
      <c r="B1117" s="393">
        <v>304625</v>
      </c>
      <c r="C1117" s="394">
        <v>2670</v>
      </c>
      <c r="D1117" s="397">
        <v>17100</v>
      </c>
      <c r="E1117" s="400">
        <f t="shared" si="20"/>
        <v>1710</v>
      </c>
    </row>
    <row r="1118" spans="1:5">
      <c r="A1118" s="399">
        <v>40655</v>
      </c>
      <c r="B1118" s="393">
        <v>304625</v>
      </c>
      <c r="C1118" s="394">
        <v>2670</v>
      </c>
      <c r="D1118" s="397">
        <v>17100</v>
      </c>
      <c r="E1118" s="400">
        <f>D1118/10</f>
        <v>1710</v>
      </c>
    </row>
    <row r="1119" spans="1:5">
      <c r="A1119" s="399">
        <v>40658</v>
      </c>
      <c r="B1119" s="393">
        <v>304625</v>
      </c>
      <c r="C1119" s="394">
        <v>2670</v>
      </c>
      <c r="D1119" s="397">
        <v>17100</v>
      </c>
      <c r="E1119" s="400">
        <f>D1119/10</f>
        <v>1710</v>
      </c>
    </row>
    <row r="1120" spans="1:5">
      <c r="A1120" s="399">
        <v>40659</v>
      </c>
      <c r="B1120" s="393">
        <v>304500</v>
      </c>
      <c r="C1120" s="394">
        <v>2582.5</v>
      </c>
      <c r="D1120" s="397">
        <v>16600</v>
      </c>
      <c r="E1120" s="400">
        <f t="shared" si="20"/>
        <v>1660</v>
      </c>
    </row>
    <row r="1121" spans="1:5">
      <c r="A1121" s="399">
        <v>40660</v>
      </c>
      <c r="B1121" s="393">
        <v>307375</v>
      </c>
      <c r="C1121" s="394">
        <v>2580</v>
      </c>
      <c r="D1121" s="397">
        <v>16700</v>
      </c>
      <c r="E1121" s="400">
        <f t="shared" si="20"/>
        <v>1670</v>
      </c>
    </row>
    <row r="1122" spans="1:5">
      <c r="A1122" s="399">
        <v>40661</v>
      </c>
      <c r="B1122" s="393">
        <v>308375</v>
      </c>
      <c r="C1122" s="394">
        <v>2531</v>
      </c>
      <c r="D1122" s="397">
        <v>16700</v>
      </c>
      <c r="E1122" s="400">
        <f t="shared" si="20"/>
        <v>1670</v>
      </c>
    </row>
    <row r="1123" spans="1:5">
      <c r="A1123" s="399">
        <v>40662</v>
      </c>
      <c r="B1123" s="393">
        <v>308375</v>
      </c>
      <c r="C1123" s="394">
        <v>2531</v>
      </c>
      <c r="D1123" s="397">
        <v>16650</v>
      </c>
      <c r="E1123" s="400">
        <f t="shared" si="20"/>
        <v>1665</v>
      </c>
    </row>
    <row r="1124" spans="1:5">
      <c r="A1124" s="399">
        <v>40665</v>
      </c>
      <c r="B1124" s="393">
        <v>308375</v>
      </c>
      <c r="C1124" s="394">
        <v>2531</v>
      </c>
      <c r="D1124" s="397">
        <v>16650</v>
      </c>
      <c r="E1124" s="400">
        <f>D1124/10</f>
        <v>1665</v>
      </c>
    </row>
    <row r="1125" spans="1:5">
      <c r="A1125" s="399">
        <v>40666</v>
      </c>
      <c r="B1125" s="393">
        <v>310250</v>
      </c>
      <c r="C1125" s="394">
        <v>2545</v>
      </c>
      <c r="D1125" s="397">
        <v>16600</v>
      </c>
      <c r="E1125" s="400">
        <f t="shared" si="20"/>
        <v>1660</v>
      </c>
    </row>
    <row r="1126" spans="1:5">
      <c r="A1126" s="399">
        <v>40667</v>
      </c>
      <c r="B1126" s="393">
        <v>311050</v>
      </c>
      <c r="C1126" s="394">
        <v>2519</v>
      </c>
      <c r="D1126" s="397">
        <v>16600</v>
      </c>
      <c r="E1126" s="400">
        <f t="shared" si="20"/>
        <v>1660</v>
      </c>
    </row>
    <row r="1127" spans="1:5">
      <c r="A1127" s="399">
        <v>40668</v>
      </c>
      <c r="B1127" s="393">
        <v>311450</v>
      </c>
      <c r="C1127" s="394">
        <v>2379</v>
      </c>
      <c r="D1127" s="397">
        <v>16000</v>
      </c>
      <c r="E1127" s="400">
        <f t="shared" si="20"/>
        <v>1600</v>
      </c>
    </row>
    <row r="1128" spans="1:5">
      <c r="A1128" s="399">
        <v>40669</v>
      </c>
      <c r="B1128" s="393">
        <v>311450</v>
      </c>
      <c r="C1128" s="394">
        <v>2295</v>
      </c>
      <c r="D1128" s="397">
        <v>15900</v>
      </c>
      <c r="E1128" s="400">
        <f t="shared" si="20"/>
        <v>1590</v>
      </c>
    </row>
    <row r="1129" spans="1:5">
      <c r="A1129" s="399">
        <v>40672</v>
      </c>
      <c r="B1129" s="393">
        <v>312475</v>
      </c>
      <c r="C1129" s="394">
        <v>2380</v>
      </c>
      <c r="D1129" s="397">
        <v>16000</v>
      </c>
      <c r="E1129" s="400">
        <f t="shared" si="20"/>
        <v>1600</v>
      </c>
    </row>
    <row r="1130" spans="1:5">
      <c r="A1130" s="399">
        <v>40673</v>
      </c>
      <c r="B1130" s="393">
        <v>313175</v>
      </c>
      <c r="C1130" s="394">
        <v>2380</v>
      </c>
      <c r="D1130" s="397">
        <v>16000</v>
      </c>
      <c r="E1130" s="400">
        <f t="shared" si="20"/>
        <v>1600</v>
      </c>
    </row>
    <row r="1131" spans="1:5">
      <c r="A1131" s="399">
        <v>40674</v>
      </c>
      <c r="B1131" s="393">
        <v>313325</v>
      </c>
      <c r="C1131" s="394">
        <v>2359</v>
      </c>
      <c r="D1131" s="397">
        <v>16050</v>
      </c>
      <c r="E1131" s="400">
        <f t="shared" si="20"/>
        <v>1605</v>
      </c>
    </row>
    <row r="1132" spans="1:5">
      <c r="A1132" s="399">
        <v>40675</v>
      </c>
      <c r="B1132" s="393">
        <v>315825</v>
      </c>
      <c r="C1132" s="394">
        <v>2272</v>
      </c>
      <c r="D1132" s="397">
        <v>15750</v>
      </c>
      <c r="E1132" s="400">
        <f t="shared" si="20"/>
        <v>1575</v>
      </c>
    </row>
    <row r="1133" spans="1:5">
      <c r="A1133" s="399">
        <v>40676</v>
      </c>
      <c r="B1133" s="393">
        <v>316525</v>
      </c>
      <c r="C1133" s="394">
        <v>2365</v>
      </c>
      <c r="D1133" s="397">
        <v>15850</v>
      </c>
      <c r="E1133" s="400">
        <f t="shared" si="20"/>
        <v>1585</v>
      </c>
    </row>
    <row r="1134" spans="1:5">
      <c r="A1134" s="399">
        <v>40679</v>
      </c>
      <c r="B1134" s="393">
        <v>316450</v>
      </c>
      <c r="C1134" s="394">
        <v>2277</v>
      </c>
      <c r="D1134" s="397">
        <v>15850</v>
      </c>
      <c r="E1134" s="400">
        <f t="shared" si="20"/>
        <v>1585</v>
      </c>
    </row>
    <row r="1135" spans="1:5">
      <c r="A1135" s="399">
        <v>40680</v>
      </c>
      <c r="B1135" s="393">
        <v>316300</v>
      </c>
      <c r="C1135" s="394">
        <v>2309</v>
      </c>
      <c r="D1135" s="397">
        <v>15750</v>
      </c>
      <c r="E1135" s="400">
        <f t="shared" si="20"/>
        <v>1575</v>
      </c>
    </row>
    <row r="1136" spans="1:5">
      <c r="A1136" s="399">
        <v>40681</v>
      </c>
      <c r="B1136" s="393">
        <v>316875</v>
      </c>
      <c r="C1136" s="394">
        <v>2362</v>
      </c>
      <c r="D1136" s="397">
        <v>15950</v>
      </c>
      <c r="E1136" s="400">
        <f t="shared" si="20"/>
        <v>1595</v>
      </c>
    </row>
    <row r="1137" spans="1:5">
      <c r="A1137" s="399">
        <v>40682</v>
      </c>
      <c r="B1137" s="393">
        <v>316875</v>
      </c>
      <c r="C1137" s="394">
        <v>2455.5</v>
      </c>
      <c r="D1137" s="397">
        <v>16300</v>
      </c>
      <c r="E1137" s="400">
        <f t="shared" si="20"/>
        <v>1630</v>
      </c>
    </row>
    <row r="1138" spans="1:5">
      <c r="A1138" s="399">
        <v>40683</v>
      </c>
      <c r="B1138" s="393">
        <v>317800</v>
      </c>
      <c r="C1138" s="394">
        <v>2485</v>
      </c>
      <c r="D1138" s="397">
        <v>16150</v>
      </c>
      <c r="E1138" s="400">
        <f t="shared" si="20"/>
        <v>1615</v>
      </c>
    </row>
    <row r="1139" spans="1:5">
      <c r="A1139" s="399">
        <v>40686</v>
      </c>
      <c r="B1139" s="393">
        <v>318850</v>
      </c>
      <c r="C1139" s="394">
        <v>2421</v>
      </c>
      <c r="D1139" s="397">
        <v>16100</v>
      </c>
      <c r="E1139" s="400">
        <f t="shared" si="20"/>
        <v>1610</v>
      </c>
    </row>
    <row r="1140" spans="1:5">
      <c r="A1140" s="399">
        <v>40687</v>
      </c>
      <c r="B1140" s="393">
        <v>319825</v>
      </c>
      <c r="C1140" s="394">
        <v>2491</v>
      </c>
      <c r="D1140" s="397">
        <v>16000</v>
      </c>
      <c r="E1140" s="400">
        <f t="shared" si="20"/>
        <v>1600</v>
      </c>
    </row>
    <row r="1141" spans="1:5">
      <c r="A1141" s="399">
        <v>40688</v>
      </c>
      <c r="B1141" s="393">
        <v>320650</v>
      </c>
      <c r="C1141" s="394">
        <v>2532</v>
      </c>
      <c r="D1141" s="397">
        <v>16100</v>
      </c>
      <c r="E1141" s="400">
        <f t="shared" si="20"/>
        <v>1610</v>
      </c>
    </row>
    <row r="1142" spans="1:5">
      <c r="A1142" s="399">
        <v>40689</v>
      </c>
      <c r="B1142" s="393">
        <v>320625</v>
      </c>
      <c r="C1142" s="394">
        <v>2503</v>
      </c>
      <c r="D1142" s="397">
        <v>16300</v>
      </c>
      <c r="E1142" s="400">
        <f t="shared" si="20"/>
        <v>1630</v>
      </c>
    </row>
    <row r="1143" spans="1:5">
      <c r="A1143" s="399">
        <v>40690</v>
      </c>
      <c r="B1143" s="393">
        <v>322050</v>
      </c>
      <c r="C1143" s="394">
        <v>2545</v>
      </c>
      <c r="D1143" s="397">
        <v>16300</v>
      </c>
      <c r="E1143" s="400">
        <f t="shared" si="20"/>
        <v>1630</v>
      </c>
    </row>
    <row r="1144" spans="1:5">
      <c r="A1144" s="399">
        <v>40693</v>
      </c>
      <c r="B1144" s="393">
        <v>322050</v>
      </c>
      <c r="C1144" s="394">
        <v>2545</v>
      </c>
      <c r="D1144" s="397">
        <v>16300</v>
      </c>
      <c r="E1144" s="400">
        <f t="shared" si="20"/>
        <v>1630</v>
      </c>
    </row>
    <row r="1145" spans="1:5">
      <c r="A1145" s="399">
        <v>40694</v>
      </c>
      <c r="B1145" s="393">
        <v>322200</v>
      </c>
      <c r="C1145" s="394">
        <v>2533</v>
      </c>
      <c r="D1145" s="397">
        <v>16300</v>
      </c>
      <c r="E1145" s="400">
        <f t="shared" si="20"/>
        <v>1630</v>
      </c>
    </row>
    <row r="1146" spans="1:5">
      <c r="A1146" s="399">
        <v>40695</v>
      </c>
      <c r="B1146" s="393">
        <v>323300</v>
      </c>
      <c r="C1146" s="394">
        <v>2513</v>
      </c>
      <c r="D1146" s="397">
        <v>16200</v>
      </c>
      <c r="E1146" s="400">
        <f t="shared" si="20"/>
        <v>1620</v>
      </c>
    </row>
    <row r="1147" spans="1:5">
      <c r="A1147" s="399">
        <v>40696</v>
      </c>
      <c r="B1147" s="393">
        <v>323375</v>
      </c>
      <c r="C1147" s="394">
        <v>2485</v>
      </c>
      <c r="D1147" s="397">
        <v>16100</v>
      </c>
      <c r="E1147" s="400">
        <f t="shared" si="20"/>
        <v>1610</v>
      </c>
    </row>
    <row r="1148" spans="1:5">
      <c r="A1148" s="399">
        <v>40697</v>
      </c>
      <c r="B1148" s="393">
        <v>323825</v>
      </c>
      <c r="C1148" s="394">
        <v>2426</v>
      </c>
      <c r="D1148" s="397">
        <v>16100</v>
      </c>
      <c r="E1148" s="400">
        <f t="shared" si="20"/>
        <v>1610</v>
      </c>
    </row>
    <row r="1149" spans="1:5">
      <c r="A1149" s="399">
        <v>40700</v>
      </c>
      <c r="B1149" s="393">
        <v>323050</v>
      </c>
      <c r="C1149" s="394">
        <v>2471</v>
      </c>
      <c r="D1149" s="397">
        <v>16100</v>
      </c>
      <c r="E1149" s="400">
        <f>D1149/10</f>
        <v>1610</v>
      </c>
    </row>
    <row r="1150" spans="1:5">
      <c r="A1150" s="399">
        <v>40701</v>
      </c>
      <c r="B1150" s="393">
        <v>323400</v>
      </c>
      <c r="C1150" s="394">
        <v>2510</v>
      </c>
      <c r="D1150" s="397">
        <v>16200</v>
      </c>
      <c r="E1150" s="400">
        <f t="shared" si="20"/>
        <v>1620</v>
      </c>
    </row>
    <row r="1151" spans="1:5">
      <c r="A1151" s="399">
        <v>40702</v>
      </c>
      <c r="B1151" s="393">
        <v>323250</v>
      </c>
      <c r="C1151" s="394">
        <v>2520.5</v>
      </c>
      <c r="D1151" s="397">
        <v>16200</v>
      </c>
      <c r="E1151" s="400">
        <f t="shared" si="20"/>
        <v>1620</v>
      </c>
    </row>
    <row r="1152" spans="1:5">
      <c r="A1152" s="399">
        <v>40703</v>
      </c>
      <c r="B1152" s="393">
        <v>323225</v>
      </c>
      <c r="C1152" s="394">
        <v>2571</v>
      </c>
      <c r="D1152" s="397">
        <v>16200</v>
      </c>
      <c r="E1152" s="400">
        <f t="shared" si="20"/>
        <v>1620</v>
      </c>
    </row>
    <row r="1153" spans="1:5">
      <c r="A1153" s="399">
        <v>40704</v>
      </c>
      <c r="B1153" s="393">
        <v>322200</v>
      </c>
      <c r="C1153" s="394">
        <v>2577.5</v>
      </c>
      <c r="D1153" s="397">
        <v>16200</v>
      </c>
      <c r="E1153" s="400">
        <f t="shared" si="20"/>
        <v>1620</v>
      </c>
    </row>
    <row r="1154" spans="1:5">
      <c r="A1154" s="399">
        <v>40707</v>
      </c>
      <c r="B1154" s="393">
        <v>321825</v>
      </c>
      <c r="C1154" s="394">
        <v>2512.5</v>
      </c>
      <c r="D1154" s="397">
        <v>16150</v>
      </c>
      <c r="E1154" s="400">
        <f t="shared" si="20"/>
        <v>1615</v>
      </c>
    </row>
    <row r="1155" spans="1:5">
      <c r="A1155" s="399">
        <v>40708</v>
      </c>
      <c r="B1155" s="393">
        <v>321725</v>
      </c>
      <c r="C1155" s="394">
        <v>2550.5</v>
      </c>
      <c r="D1155" s="397">
        <v>16150</v>
      </c>
      <c r="E1155" s="400">
        <f t="shared" ref="E1155:E1218" si="21">D1155/10</f>
        <v>1615</v>
      </c>
    </row>
    <row r="1156" spans="1:5">
      <c r="A1156" s="399">
        <v>40709</v>
      </c>
      <c r="B1156" s="393">
        <v>323100</v>
      </c>
      <c r="C1156" s="394">
        <v>2542</v>
      </c>
      <c r="D1156" s="397">
        <v>16250</v>
      </c>
      <c r="E1156" s="400">
        <f t="shared" si="21"/>
        <v>1625</v>
      </c>
    </row>
    <row r="1157" spans="1:5">
      <c r="A1157" s="399">
        <v>40710</v>
      </c>
      <c r="B1157" s="393">
        <v>322950</v>
      </c>
      <c r="C1157" s="394">
        <v>2472</v>
      </c>
      <c r="D1157" s="397">
        <v>16050</v>
      </c>
      <c r="E1157" s="400">
        <f t="shared" si="21"/>
        <v>1605</v>
      </c>
    </row>
    <row r="1158" spans="1:5">
      <c r="A1158" s="399">
        <v>40711</v>
      </c>
      <c r="B1158" s="393">
        <v>322700</v>
      </c>
      <c r="C1158" s="394">
        <v>2461</v>
      </c>
      <c r="D1158" s="397">
        <v>16000</v>
      </c>
      <c r="E1158" s="400">
        <f t="shared" si="21"/>
        <v>1600</v>
      </c>
    </row>
    <row r="1159" spans="1:5">
      <c r="A1159" s="399">
        <v>40714</v>
      </c>
      <c r="B1159" s="393">
        <v>322575</v>
      </c>
      <c r="C1159" s="394">
        <v>2380</v>
      </c>
      <c r="D1159" s="397">
        <v>15900</v>
      </c>
      <c r="E1159" s="400">
        <f t="shared" si="21"/>
        <v>1590</v>
      </c>
    </row>
    <row r="1160" spans="1:5">
      <c r="A1160" s="399">
        <v>40715</v>
      </c>
      <c r="B1160" s="393">
        <v>321825</v>
      </c>
      <c r="C1160" s="394">
        <v>2442</v>
      </c>
      <c r="D1160" s="397">
        <v>15950</v>
      </c>
      <c r="E1160" s="400">
        <f t="shared" si="21"/>
        <v>1595</v>
      </c>
    </row>
    <row r="1161" spans="1:5">
      <c r="A1161" s="399">
        <v>40716</v>
      </c>
      <c r="B1161" s="393">
        <v>321600</v>
      </c>
      <c r="C1161" s="394">
        <v>2455.5</v>
      </c>
      <c r="D1161" s="397">
        <v>16000</v>
      </c>
      <c r="E1161" s="400">
        <f t="shared" si="21"/>
        <v>1600</v>
      </c>
    </row>
    <row r="1162" spans="1:5">
      <c r="A1162" s="399">
        <v>40717</v>
      </c>
      <c r="B1162" s="393">
        <v>321775</v>
      </c>
      <c r="C1162" s="394">
        <v>2517.5</v>
      </c>
      <c r="D1162" s="397">
        <v>16100</v>
      </c>
      <c r="E1162" s="400">
        <f t="shared" si="21"/>
        <v>1610</v>
      </c>
    </row>
    <row r="1163" spans="1:5">
      <c r="A1163" s="399">
        <v>40718</v>
      </c>
      <c r="B1163" s="393">
        <v>321750</v>
      </c>
      <c r="C1163" s="394">
        <v>2555</v>
      </c>
      <c r="D1163" s="397">
        <v>16200</v>
      </c>
      <c r="E1163" s="400">
        <f t="shared" si="21"/>
        <v>1620</v>
      </c>
    </row>
    <row r="1164" spans="1:5">
      <c r="A1164" s="399">
        <v>40721</v>
      </c>
      <c r="B1164" s="393">
        <v>322500</v>
      </c>
      <c r="C1164" s="394">
        <v>2545.5</v>
      </c>
      <c r="D1164" s="397">
        <v>16100</v>
      </c>
      <c r="E1164" s="400">
        <f t="shared" si="21"/>
        <v>1610</v>
      </c>
    </row>
    <row r="1165" spans="1:5">
      <c r="A1165" s="399">
        <v>40722</v>
      </c>
      <c r="B1165" s="393">
        <v>322975</v>
      </c>
      <c r="C1165" s="394">
        <v>2553</v>
      </c>
      <c r="D1165" s="397">
        <v>16150</v>
      </c>
      <c r="E1165" s="400">
        <f t="shared" si="21"/>
        <v>1615</v>
      </c>
    </row>
    <row r="1166" spans="1:5">
      <c r="A1166" s="399">
        <v>40723</v>
      </c>
      <c r="B1166" s="393">
        <v>322675</v>
      </c>
      <c r="C1166" s="394">
        <v>2585.5</v>
      </c>
      <c r="D1166" s="397">
        <v>16150</v>
      </c>
      <c r="E1166" s="400">
        <f t="shared" si="21"/>
        <v>1615</v>
      </c>
    </row>
    <row r="1167" spans="1:5">
      <c r="A1167" s="399">
        <v>40724</v>
      </c>
      <c r="B1167" s="393">
        <v>320300</v>
      </c>
      <c r="C1167" s="394">
        <v>2622.5</v>
      </c>
      <c r="D1167" s="397">
        <v>16300</v>
      </c>
      <c r="E1167" s="400">
        <f t="shared" si="21"/>
        <v>1630</v>
      </c>
    </row>
    <row r="1168" spans="1:5">
      <c r="A1168" s="399">
        <v>40725</v>
      </c>
      <c r="B1168" s="393">
        <v>318600</v>
      </c>
      <c r="C1168" s="394">
        <v>2636.5</v>
      </c>
      <c r="D1168" s="397">
        <v>16300</v>
      </c>
      <c r="E1168" s="400">
        <f t="shared" si="21"/>
        <v>1630</v>
      </c>
    </row>
    <row r="1169" spans="1:5">
      <c r="A1169" s="399">
        <v>40728</v>
      </c>
      <c r="B1169" s="393">
        <v>316675</v>
      </c>
      <c r="C1169" s="394">
        <v>2655</v>
      </c>
      <c r="D1169" s="397">
        <v>16500</v>
      </c>
      <c r="E1169" s="400">
        <f t="shared" si="21"/>
        <v>1650</v>
      </c>
    </row>
    <row r="1170" spans="1:5">
      <c r="A1170" s="399">
        <v>40729</v>
      </c>
      <c r="B1170" s="393">
        <v>314900</v>
      </c>
      <c r="C1170" s="394">
        <v>2660.5</v>
      </c>
      <c r="D1170" s="397">
        <v>16500</v>
      </c>
      <c r="E1170" s="400">
        <f t="shared" si="21"/>
        <v>1650</v>
      </c>
    </row>
    <row r="1171" spans="1:5">
      <c r="A1171" s="399">
        <v>40730</v>
      </c>
      <c r="B1171" s="393">
        <v>314900</v>
      </c>
      <c r="C1171" s="394">
        <v>2661</v>
      </c>
      <c r="D1171" s="397">
        <v>16550</v>
      </c>
      <c r="E1171" s="400">
        <f t="shared" si="21"/>
        <v>1655</v>
      </c>
    </row>
    <row r="1172" spans="1:5">
      <c r="A1172" s="399">
        <v>40731</v>
      </c>
      <c r="B1172" s="393">
        <v>309425</v>
      </c>
      <c r="C1172" s="394">
        <v>2694</v>
      </c>
      <c r="D1172" s="397">
        <v>16550</v>
      </c>
      <c r="E1172" s="400">
        <f t="shared" si="21"/>
        <v>1655</v>
      </c>
    </row>
    <row r="1173" spans="1:5">
      <c r="A1173" s="399">
        <v>40732</v>
      </c>
      <c r="B1173" s="393">
        <v>308300</v>
      </c>
      <c r="C1173" s="394">
        <v>2706</v>
      </c>
      <c r="D1173" s="397">
        <v>16700</v>
      </c>
      <c r="E1173" s="400">
        <f t="shared" si="21"/>
        <v>1670</v>
      </c>
    </row>
    <row r="1174" spans="1:5">
      <c r="A1174" s="399">
        <v>40735</v>
      </c>
      <c r="B1174" s="393">
        <v>306725</v>
      </c>
      <c r="C1174" s="394">
        <v>2650.5</v>
      </c>
      <c r="D1174" s="397">
        <v>16700</v>
      </c>
      <c r="E1174" s="400">
        <f t="shared" si="21"/>
        <v>1670</v>
      </c>
    </row>
    <row r="1175" spans="1:5">
      <c r="A1175" s="399">
        <v>40736</v>
      </c>
      <c r="B1175" s="393">
        <v>308650</v>
      </c>
      <c r="C1175" s="394">
        <v>2660</v>
      </c>
      <c r="D1175" s="397">
        <v>16700</v>
      </c>
      <c r="E1175" s="400">
        <f t="shared" si="21"/>
        <v>1670</v>
      </c>
    </row>
    <row r="1176" spans="1:5">
      <c r="A1176" s="399">
        <v>40737</v>
      </c>
      <c r="B1176" s="393">
        <v>307350</v>
      </c>
      <c r="C1176" s="394">
        <v>2745</v>
      </c>
      <c r="D1176" s="397">
        <v>16850</v>
      </c>
      <c r="E1176" s="400">
        <f t="shared" si="21"/>
        <v>1685</v>
      </c>
    </row>
    <row r="1177" spans="1:5">
      <c r="A1177" s="399">
        <v>40738</v>
      </c>
      <c r="B1177" s="393">
        <v>306150</v>
      </c>
      <c r="C1177" s="394">
        <v>2687</v>
      </c>
      <c r="D1177" s="397">
        <v>17000</v>
      </c>
      <c r="E1177" s="400">
        <f t="shared" si="21"/>
        <v>1700</v>
      </c>
    </row>
    <row r="1178" spans="1:5">
      <c r="A1178" s="399">
        <v>40739</v>
      </c>
      <c r="B1178" s="393">
        <v>307850</v>
      </c>
      <c r="C1178" s="394">
        <v>2650</v>
      </c>
      <c r="D1178" s="397">
        <v>17000</v>
      </c>
      <c r="E1178" s="400">
        <f t="shared" si="21"/>
        <v>1700</v>
      </c>
    </row>
    <row r="1179" spans="1:5">
      <c r="A1179" s="399">
        <v>40742</v>
      </c>
      <c r="B1179" s="393">
        <v>307525</v>
      </c>
      <c r="C1179" s="394">
        <v>2730</v>
      </c>
      <c r="D1179" s="397">
        <v>17050</v>
      </c>
      <c r="E1179" s="400">
        <f t="shared" si="21"/>
        <v>1705</v>
      </c>
    </row>
    <row r="1180" spans="1:5">
      <c r="A1180" s="399">
        <v>40743</v>
      </c>
      <c r="B1180" s="393">
        <v>309250</v>
      </c>
      <c r="C1180" s="394">
        <v>2741.5</v>
      </c>
      <c r="D1180" s="397">
        <v>17100</v>
      </c>
      <c r="E1180" s="400">
        <f t="shared" si="21"/>
        <v>1710</v>
      </c>
    </row>
    <row r="1181" spans="1:5">
      <c r="A1181" s="399">
        <v>40744</v>
      </c>
      <c r="B1181" s="393">
        <v>310275</v>
      </c>
      <c r="C1181" s="394">
        <v>2720</v>
      </c>
      <c r="D1181" s="397">
        <v>17150</v>
      </c>
      <c r="E1181" s="400">
        <f t="shared" si="21"/>
        <v>1715</v>
      </c>
    </row>
    <row r="1182" spans="1:5">
      <c r="A1182" s="399">
        <v>40745</v>
      </c>
      <c r="B1182" s="393">
        <v>310150</v>
      </c>
      <c r="C1182" s="394">
        <v>2667</v>
      </c>
      <c r="D1182" s="397">
        <v>17100</v>
      </c>
      <c r="E1182" s="400">
        <f t="shared" si="21"/>
        <v>1710</v>
      </c>
    </row>
    <row r="1183" spans="1:5">
      <c r="A1183" s="399">
        <v>40746</v>
      </c>
      <c r="B1183" s="393">
        <v>310200</v>
      </c>
      <c r="C1183" s="394">
        <v>2707.5</v>
      </c>
      <c r="D1183" s="397">
        <v>17100</v>
      </c>
      <c r="E1183" s="400">
        <f t="shared" si="21"/>
        <v>1710</v>
      </c>
    </row>
    <row r="1184" spans="1:5">
      <c r="A1184" s="399">
        <v>40749</v>
      </c>
      <c r="B1184" s="393">
        <v>310800</v>
      </c>
      <c r="C1184" s="394">
        <v>2670</v>
      </c>
      <c r="D1184" s="397">
        <v>17050</v>
      </c>
      <c r="E1184" s="400">
        <f t="shared" si="21"/>
        <v>1705</v>
      </c>
    </row>
    <row r="1185" spans="1:5">
      <c r="A1185" s="399">
        <v>40750</v>
      </c>
      <c r="B1185" s="393">
        <v>311525</v>
      </c>
      <c r="C1185" s="394">
        <v>2705.5</v>
      </c>
      <c r="D1185" s="397">
        <v>17050</v>
      </c>
      <c r="E1185" s="400">
        <f t="shared" si="21"/>
        <v>1705</v>
      </c>
    </row>
    <row r="1186" spans="1:5">
      <c r="A1186" s="399">
        <v>40751</v>
      </c>
      <c r="B1186" s="393">
        <v>311375</v>
      </c>
      <c r="C1186" s="394">
        <v>2694</v>
      </c>
      <c r="D1186" s="397">
        <v>17150</v>
      </c>
      <c r="E1186" s="400">
        <f t="shared" si="21"/>
        <v>1715</v>
      </c>
    </row>
    <row r="1187" spans="1:5">
      <c r="A1187" s="399">
        <v>40752</v>
      </c>
      <c r="B1187" s="393">
        <v>311925</v>
      </c>
      <c r="C1187" s="394">
        <v>2680</v>
      </c>
      <c r="D1187" s="397">
        <v>17100</v>
      </c>
      <c r="E1187" s="400">
        <f t="shared" si="21"/>
        <v>1710</v>
      </c>
    </row>
    <row r="1188" spans="1:5">
      <c r="A1188" s="399">
        <v>40753</v>
      </c>
      <c r="B1188" s="393">
        <v>311450</v>
      </c>
      <c r="C1188" s="394">
        <v>2613.5</v>
      </c>
      <c r="D1188" s="397">
        <v>17100</v>
      </c>
      <c r="E1188" s="400">
        <f t="shared" si="21"/>
        <v>1710</v>
      </c>
    </row>
    <row r="1189" spans="1:5">
      <c r="A1189" s="399">
        <v>40756</v>
      </c>
      <c r="B1189" s="393">
        <v>310675</v>
      </c>
      <c r="C1189" s="394">
        <v>2627.5</v>
      </c>
      <c r="D1189" s="397">
        <v>17050</v>
      </c>
      <c r="E1189" s="400">
        <f t="shared" si="21"/>
        <v>1705</v>
      </c>
    </row>
    <row r="1190" spans="1:5">
      <c r="A1190" s="399">
        <v>40757</v>
      </c>
      <c r="B1190" s="393">
        <v>310750</v>
      </c>
      <c r="C1190" s="394">
        <v>2539.5</v>
      </c>
      <c r="D1190" s="397">
        <v>16900</v>
      </c>
      <c r="E1190" s="400">
        <f t="shared" si="21"/>
        <v>1690</v>
      </c>
    </row>
    <row r="1191" spans="1:5">
      <c r="A1191" s="399">
        <v>40758</v>
      </c>
      <c r="B1191" s="393">
        <v>309675</v>
      </c>
      <c r="C1191" s="394">
        <v>2522.5</v>
      </c>
      <c r="D1191" s="397">
        <v>16850</v>
      </c>
      <c r="E1191" s="400">
        <f t="shared" si="21"/>
        <v>1685</v>
      </c>
    </row>
    <row r="1192" spans="1:5">
      <c r="A1192" s="399">
        <v>40759</v>
      </c>
      <c r="B1192" s="393">
        <v>309950</v>
      </c>
      <c r="C1192" s="394">
        <v>2493</v>
      </c>
      <c r="D1192" s="397">
        <v>16650</v>
      </c>
      <c r="E1192" s="400">
        <f t="shared" si="21"/>
        <v>1665</v>
      </c>
    </row>
    <row r="1193" spans="1:5">
      <c r="A1193" s="399">
        <v>40760</v>
      </c>
      <c r="B1193" s="393">
        <v>309800</v>
      </c>
      <c r="C1193" s="394">
        <v>2419</v>
      </c>
      <c r="D1193" s="397">
        <v>16100</v>
      </c>
      <c r="E1193" s="400">
        <f t="shared" si="21"/>
        <v>1610</v>
      </c>
    </row>
    <row r="1194" spans="1:5">
      <c r="A1194" s="399">
        <v>40763</v>
      </c>
      <c r="B1194" s="393">
        <v>310650</v>
      </c>
      <c r="C1194" s="394">
        <v>2345</v>
      </c>
      <c r="D1194" s="397">
        <v>16000</v>
      </c>
      <c r="E1194" s="400">
        <f t="shared" si="21"/>
        <v>1600</v>
      </c>
    </row>
    <row r="1195" spans="1:5">
      <c r="A1195" s="399">
        <v>40764</v>
      </c>
      <c r="B1195" s="393">
        <v>310475</v>
      </c>
      <c r="C1195" s="394">
        <v>2278</v>
      </c>
      <c r="D1195" s="397">
        <v>15600</v>
      </c>
      <c r="E1195" s="400">
        <f t="shared" si="21"/>
        <v>1560</v>
      </c>
    </row>
    <row r="1196" spans="1:5">
      <c r="A1196" s="399">
        <v>40765</v>
      </c>
      <c r="B1196" s="393">
        <v>309825</v>
      </c>
      <c r="C1196" s="394">
        <v>2338.5</v>
      </c>
      <c r="D1196" s="397">
        <v>15900</v>
      </c>
      <c r="E1196" s="400">
        <f t="shared" si="21"/>
        <v>1590</v>
      </c>
    </row>
    <row r="1197" spans="1:5">
      <c r="A1197" s="399">
        <v>40766</v>
      </c>
      <c r="B1197" s="393">
        <v>309150</v>
      </c>
      <c r="C1197" s="394">
        <v>2300.5</v>
      </c>
      <c r="D1197" s="397">
        <v>16000</v>
      </c>
      <c r="E1197" s="400">
        <f t="shared" si="21"/>
        <v>1600</v>
      </c>
    </row>
    <row r="1198" spans="1:5">
      <c r="A1198" s="399">
        <v>40767</v>
      </c>
      <c r="B1198" s="393">
        <v>308525</v>
      </c>
      <c r="C1198" s="394">
        <v>2387</v>
      </c>
      <c r="D1198" s="397">
        <v>16200</v>
      </c>
      <c r="E1198" s="400">
        <f t="shared" si="21"/>
        <v>1620</v>
      </c>
    </row>
    <row r="1199" spans="1:5">
      <c r="A1199" s="399">
        <v>40770</v>
      </c>
      <c r="B1199" s="393">
        <v>308300</v>
      </c>
      <c r="C1199" s="394">
        <v>2355</v>
      </c>
      <c r="D1199" s="397">
        <v>16250</v>
      </c>
      <c r="E1199" s="400">
        <f t="shared" si="21"/>
        <v>1625</v>
      </c>
    </row>
    <row r="1200" spans="1:5">
      <c r="A1200" s="399">
        <v>40771</v>
      </c>
      <c r="B1200" s="393">
        <v>319225</v>
      </c>
      <c r="C1200" s="394">
        <v>2355</v>
      </c>
      <c r="D1200" s="397">
        <v>16200</v>
      </c>
      <c r="E1200" s="400">
        <f t="shared" si="21"/>
        <v>1620</v>
      </c>
    </row>
    <row r="1201" spans="1:5">
      <c r="A1201" s="399">
        <v>40772</v>
      </c>
      <c r="B1201" s="393">
        <v>318575</v>
      </c>
      <c r="C1201" s="394">
        <v>2396</v>
      </c>
      <c r="D1201" s="397">
        <v>16200</v>
      </c>
      <c r="E1201" s="400">
        <f t="shared" si="21"/>
        <v>1620</v>
      </c>
    </row>
    <row r="1202" spans="1:5">
      <c r="A1202" s="399">
        <v>40773</v>
      </c>
      <c r="B1202" s="393">
        <v>318125</v>
      </c>
      <c r="C1202" s="394">
        <v>2340</v>
      </c>
      <c r="D1202" s="397">
        <v>16300</v>
      </c>
      <c r="E1202" s="400">
        <f t="shared" si="21"/>
        <v>1630</v>
      </c>
    </row>
    <row r="1203" spans="1:5">
      <c r="A1203" s="399">
        <v>40774</v>
      </c>
      <c r="B1203" s="393">
        <v>318050</v>
      </c>
      <c r="C1203" s="394">
        <v>2316</v>
      </c>
      <c r="D1203" s="397">
        <v>16100</v>
      </c>
      <c r="E1203" s="400">
        <f t="shared" si="21"/>
        <v>1610</v>
      </c>
    </row>
    <row r="1204" spans="1:5">
      <c r="A1204" s="399">
        <v>40777</v>
      </c>
      <c r="B1204" s="393">
        <v>316450</v>
      </c>
      <c r="C1204" s="394">
        <v>2300</v>
      </c>
      <c r="D1204" s="397">
        <v>16250</v>
      </c>
      <c r="E1204" s="400">
        <f t="shared" si="21"/>
        <v>1625</v>
      </c>
    </row>
    <row r="1205" spans="1:5">
      <c r="A1205" s="399">
        <v>40778</v>
      </c>
      <c r="B1205" s="393">
        <v>315750</v>
      </c>
      <c r="C1205" s="394">
        <v>2324.5</v>
      </c>
      <c r="D1205" s="397">
        <v>16150</v>
      </c>
      <c r="E1205" s="400">
        <f t="shared" si="21"/>
        <v>1615</v>
      </c>
    </row>
    <row r="1206" spans="1:5">
      <c r="A1206" s="399">
        <v>40779</v>
      </c>
      <c r="B1206" s="393">
        <v>315025</v>
      </c>
      <c r="C1206" s="394">
        <v>2344</v>
      </c>
      <c r="D1206" s="397">
        <v>16250</v>
      </c>
      <c r="E1206" s="400">
        <f t="shared" si="21"/>
        <v>1625</v>
      </c>
    </row>
    <row r="1207" spans="1:5">
      <c r="A1207" s="399">
        <v>40780</v>
      </c>
      <c r="B1207" s="393">
        <v>314000</v>
      </c>
      <c r="C1207" s="394">
        <v>2399.5</v>
      </c>
      <c r="D1207" s="397">
        <v>16250</v>
      </c>
      <c r="E1207" s="400">
        <f t="shared" si="21"/>
        <v>1625</v>
      </c>
    </row>
    <row r="1208" spans="1:5">
      <c r="A1208" s="399">
        <v>40781</v>
      </c>
      <c r="B1208" s="393">
        <v>317200</v>
      </c>
      <c r="C1208" s="394">
        <v>2471</v>
      </c>
      <c r="D1208" s="397">
        <v>16275</v>
      </c>
      <c r="E1208" s="400">
        <f t="shared" si="21"/>
        <v>1627.5</v>
      </c>
    </row>
    <row r="1209" spans="1:5">
      <c r="A1209" s="399">
        <v>40784</v>
      </c>
      <c r="B1209" s="393">
        <v>317200</v>
      </c>
      <c r="C1209" s="394">
        <v>2471</v>
      </c>
      <c r="D1209" s="397">
        <v>16375</v>
      </c>
      <c r="E1209" s="400">
        <f t="shared" si="21"/>
        <v>1637.5</v>
      </c>
    </row>
    <row r="1210" spans="1:5">
      <c r="A1210" s="399">
        <v>40785</v>
      </c>
      <c r="B1210" s="393">
        <v>317875</v>
      </c>
      <c r="C1210" s="394">
        <v>2497</v>
      </c>
      <c r="D1210" s="397">
        <v>16475</v>
      </c>
      <c r="E1210" s="400">
        <f t="shared" si="21"/>
        <v>1647.5</v>
      </c>
    </row>
    <row r="1211" spans="1:5">
      <c r="A1211" s="399">
        <v>40786</v>
      </c>
      <c r="B1211" s="393">
        <v>317600</v>
      </c>
      <c r="C1211" s="394">
        <v>2555</v>
      </c>
      <c r="D1211" s="397">
        <v>16425</v>
      </c>
      <c r="E1211" s="400">
        <f t="shared" si="21"/>
        <v>1642.5</v>
      </c>
    </row>
    <row r="1212" spans="1:5">
      <c r="A1212" s="399">
        <v>40787</v>
      </c>
      <c r="B1212" s="393">
        <v>318250</v>
      </c>
      <c r="C1212" s="394">
        <v>2559</v>
      </c>
      <c r="D1212" s="397">
        <v>16425</v>
      </c>
      <c r="E1212" s="400">
        <f t="shared" si="21"/>
        <v>1642.5</v>
      </c>
    </row>
    <row r="1213" spans="1:5">
      <c r="A1213" s="399">
        <v>40788</v>
      </c>
      <c r="B1213" s="393">
        <v>321500</v>
      </c>
      <c r="C1213" s="394">
        <v>2527</v>
      </c>
      <c r="D1213" s="397">
        <v>16325</v>
      </c>
      <c r="E1213" s="400">
        <f t="shared" si="21"/>
        <v>1632.5</v>
      </c>
    </row>
    <row r="1214" spans="1:5">
      <c r="A1214" s="399">
        <v>40791</v>
      </c>
      <c r="B1214" s="393">
        <v>321100</v>
      </c>
      <c r="C1214" s="394">
        <v>2444</v>
      </c>
      <c r="D1214" s="397">
        <v>16275</v>
      </c>
      <c r="E1214" s="400">
        <f t="shared" si="21"/>
        <v>1627.5</v>
      </c>
    </row>
    <row r="1215" spans="1:5">
      <c r="A1215" s="399">
        <v>40792</v>
      </c>
      <c r="B1215" s="393">
        <v>321350</v>
      </c>
      <c r="C1215" s="394">
        <v>2424</v>
      </c>
      <c r="D1215" s="397">
        <v>16175</v>
      </c>
      <c r="E1215" s="400">
        <f t="shared" si="21"/>
        <v>1617.5</v>
      </c>
    </row>
    <row r="1216" spans="1:5">
      <c r="A1216" s="399">
        <v>40793</v>
      </c>
      <c r="B1216" s="393">
        <v>321450</v>
      </c>
      <c r="C1216" s="394">
        <v>2432</v>
      </c>
      <c r="D1216" s="397">
        <v>16225</v>
      </c>
      <c r="E1216" s="400">
        <f t="shared" si="21"/>
        <v>1622.5</v>
      </c>
    </row>
    <row r="1217" spans="1:5">
      <c r="A1217" s="399">
        <v>40794</v>
      </c>
      <c r="B1217" s="393">
        <v>321050</v>
      </c>
      <c r="C1217" s="394">
        <v>2423.5</v>
      </c>
      <c r="D1217" s="397">
        <v>16325</v>
      </c>
      <c r="E1217" s="400">
        <f t="shared" si="21"/>
        <v>1632.5</v>
      </c>
    </row>
    <row r="1218" spans="1:5">
      <c r="A1218" s="399">
        <v>40795</v>
      </c>
      <c r="B1218" s="393">
        <v>320125</v>
      </c>
      <c r="C1218" s="394">
        <v>2455</v>
      </c>
      <c r="D1218" s="397">
        <v>16275</v>
      </c>
      <c r="E1218" s="400">
        <f t="shared" si="21"/>
        <v>1627.5</v>
      </c>
    </row>
    <row r="1219" spans="1:5">
      <c r="A1219" s="399">
        <v>40798</v>
      </c>
      <c r="B1219" s="393">
        <v>319150</v>
      </c>
      <c r="C1219" s="394">
        <v>2430</v>
      </c>
      <c r="D1219" s="397">
        <v>16175</v>
      </c>
      <c r="E1219" s="400">
        <f t="shared" ref="E1219:E1282" si="22">D1219/10</f>
        <v>1617.5</v>
      </c>
    </row>
    <row r="1220" spans="1:5">
      <c r="A1220" s="399">
        <v>40799</v>
      </c>
      <c r="B1220" s="393">
        <v>323775</v>
      </c>
      <c r="C1220" s="394">
        <v>2425.5</v>
      </c>
      <c r="D1220" s="397">
        <v>16175</v>
      </c>
      <c r="E1220" s="400">
        <f t="shared" si="22"/>
        <v>1617.5</v>
      </c>
    </row>
    <row r="1221" spans="1:5">
      <c r="A1221" s="399">
        <v>40800</v>
      </c>
      <c r="B1221" s="393">
        <v>323000</v>
      </c>
      <c r="C1221" s="394">
        <v>2383</v>
      </c>
      <c r="D1221" s="397">
        <v>16175</v>
      </c>
      <c r="E1221" s="400">
        <f t="shared" si="22"/>
        <v>1617.5</v>
      </c>
    </row>
    <row r="1222" spans="1:5">
      <c r="A1222" s="399">
        <v>40801</v>
      </c>
      <c r="B1222" s="393">
        <v>322675</v>
      </c>
      <c r="C1222" s="394">
        <v>2406</v>
      </c>
      <c r="D1222" s="397">
        <v>16100</v>
      </c>
      <c r="E1222" s="400">
        <f t="shared" si="22"/>
        <v>1610</v>
      </c>
    </row>
    <row r="1223" spans="1:5">
      <c r="A1223" s="399">
        <v>40802</v>
      </c>
      <c r="B1223" s="393">
        <v>327750</v>
      </c>
      <c r="C1223" s="394">
        <v>2426</v>
      </c>
      <c r="D1223" s="397">
        <v>16100</v>
      </c>
      <c r="E1223" s="400">
        <f t="shared" si="22"/>
        <v>1610</v>
      </c>
    </row>
    <row r="1224" spans="1:5">
      <c r="A1224" s="399">
        <v>40805</v>
      </c>
      <c r="B1224" s="393">
        <v>330175</v>
      </c>
      <c r="C1224" s="394">
        <v>2321</v>
      </c>
      <c r="D1224" s="397">
        <v>15950</v>
      </c>
      <c r="E1224" s="400">
        <f t="shared" si="22"/>
        <v>1595</v>
      </c>
    </row>
    <row r="1225" spans="1:5">
      <c r="A1225" s="399">
        <v>40806</v>
      </c>
      <c r="B1225" s="393">
        <v>345425</v>
      </c>
      <c r="C1225" s="394">
        <v>2330</v>
      </c>
      <c r="D1225" s="397">
        <v>15700</v>
      </c>
      <c r="E1225" s="400">
        <f t="shared" si="22"/>
        <v>1570</v>
      </c>
    </row>
    <row r="1226" spans="1:5">
      <c r="A1226" s="399">
        <v>40807</v>
      </c>
      <c r="B1226" s="393">
        <v>374825</v>
      </c>
      <c r="C1226" s="394">
        <v>2260</v>
      </c>
      <c r="D1226" s="397">
        <v>15700</v>
      </c>
      <c r="E1226" s="400">
        <f t="shared" si="22"/>
        <v>1570</v>
      </c>
    </row>
    <row r="1227" spans="1:5">
      <c r="A1227" s="399">
        <v>40808</v>
      </c>
      <c r="B1227" s="393">
        <v>374450</v>
      </c>
      <c r="C1227" s="394">
        <v>2167</v>
      </c>
      <c r="D1227" s="397">
        <v>15400</v>
      </c>
      <c r="E1227" s="400">
        <f t="shared" si="22"/>
        <v>1540</v>
      </c>
    </row>
    <row r="1228" spans="1:5">
      <c r="A1228" s="399">
        <v>40809</v>
      </c>
      <c r="B1228" s="393">
        <v>374025</v>
      </c>
      <c r="C1228" s="394">
        <v>2050</v>
      </c>
      <c r="D1228" s="397">
        <v>14700</v>
      </c>
      <c r="E1228" s="400">
        <f t="shared" si="22"/>
        <v>1470</v>
      </c>
    </row>
    <row r="1229" spans="1:5">
      <c r="A1229" s="399">
        <v>40812</v>
      </c>
      <c r="B1229" s="393">
        <v>373800</v>
      </c>
      <c r="C1229" s="394">
        <v>1994</v>
      </c>
      <c r="D1229" s="397">
        <v>14200</v>
      </c>
      <c r="E1229" s="400">
        <f t="shared" si="22"/>
        <v>1420</v>
      </c>
    </row>
    <row r="1230" spans="1:5">
      <c r="A1230" s="399">
        <v>40813</v>
      </c>
      <c r="B1230" s="393">
        <v>374225</v>
      </c>
      <c r="C1230" s="394">
        <v>2015</v>
      </c>
      <c r="D1230" s="397">
        <v>14250</v>
      </c>
      <c r="E1230" s="400">
        <f t="shared" si="22"/>
        <v>1425</v>
      </c>
    </row>
    <row r="1231" spans="1:5">
      <c r="A1231" s="399">
        <v>40814</v>
      </c>
      <c r="B1231" s="393">
        <v>373700</v>
      </c>
      <c r="C1231" s="394">
        <v>2035</v>
      </c>
      <c r="D1231" s="397">
        <v>14375</v>
      </c>
      <c r="E1231" s="400">
        <f t="shared" si="22"/>
        <v>1437.5</v>
      </c>
    </row>
    <row r="1232" spans="1:5">
      <c r="A1232" s="399">
        <v>40815</v>
      </c>
      <c r="B1232" s="393">
        <v>373425</v>
      </c>
      <c r="C1232" s="394">
        <v>2006</v>
      </c>
      <c r="D1232" s="397">
        <v>14125</v>
      </c>
      <c r="E1232" s="400">
        <f t="shared" si="22"/>
        <v>1412.5</v>
      </c>
    </row>
    <row r="1233" spans="1:5">
      <c r="A1233" s="399">
        <v>40816</v>
      </c>
      <c r="B1233" s="393">
        <v>373425</v>
      </c>
      <c r="C1233" s="394">
        <v>2060.5</v>
      </c>
      <c r="D1233" s="397">
        <v>14525</v>
      </c>
      <c r="E1233" s="400">
        <f t="shared" si="22"/>
        <v>1452.5</v>
      </c>
    </row>
    <row r="1234" spans="1:5">
      <c r="A1234" s="399">
        <v>40819</v>
      </c>
      <c r="B1234" s="393">
        <v>374125</v>
      </c>
      <c r="C1234" s="394">
        <v>1999.5</v>
      </c>
      <c r="D1234" s="397">
        <v>14525</v>
      </c>
      <c r="E1234" s="400">
        <f>D1234/10</f>
        <v>1452.5</v>
      </c>
    </row>
    <row r="1235" spans="1:5">
      <c r="A1235" s="399">
        <v>40820</v>
      </c>
      <c r="B1235" s="393">
        <v>374550</v>
      </c>
      <c r="C1235" s="394">
        <v>1961</v>
      </c>
      <c r="D1235" s="397">
        <v>14525</v>
      </c>
      <c r="E1235" s="400">
        <f>D1235/10</f>
        <v>1452.5</v>
      </c>
    </row>
    <row r="1236" spans="1:5">
      <c r="A1236" s="399">
        <v>40821</v>
      </c>
      <c r="B1236" s="393">
        <v>379700</v>
      </c>
      <c r="C1236" s="394">
        <v>1947</v>
      </c>
      <c r="D1236" s="397">
        <v>14525</v>
      </c>
      <c r="E1236" s="400">
        <f>D1236/10</f>
        <v>1452.5</v>
      </c>
    </row>
    <row r="1237" spans="1:5">
      <c r="A1237" s="399">
        <v>40822</v>
      </c>
      <c r="B1237" s="393">
        <v>380875</v>
      </c>
      <c r="C1237" s="394">
        <v>1944.5</v>
      </c>
      <c r="D1237" s="397">
        <v>14525</v>
      </c>
      <c r="E1237" s="400">
        <f>D1237/10</f>
        <v>1452.5</v>
      </c>
    </row>
    <row r="1238" spans="1:5">
      <c r="A1238" s="399">
        <v>40823</v>
      </c>
      <c r="B1238" s="393">
        <v>380400</v>
      </c>
      <c r="C1238" s="394">
        <v>1946</v>
      </c>
      <c r="D1238" s="397">
        <v>14525</v>
      </c>
      <c r="E1238" s="400">
        <f>D1238/10</f>
        <v>1452.5</v>
      </c>
    </row>
    <row r="1239" spans="1:5">
      <c r="A1239" s="399">
        <v>40826</v>
      </c>
      <c r="B1239" s="393">
        <v>382000</v>
      </c>
      <c r="C1239" s="394">
        <v>1976</v>
      </c>
      <c r="D1239" s="397">
        <v>14775</v>
      </c>
      <c r="E1239" s="400">
        <f t="shared" si="22"/>
        <v>1477.5</v>
      </c>
    </row>
    <row r="1240" spans="1:5">
      <c r="A1240" s="399">
        <v>40827</v>
      </c>
      <c r="B1240" s="393">
        <v>385675</v>
      </c>
      <c r="C1240" s="394">
        <v>1956.5</v>
      </c>
      <c r="D1240" s="397">
        <v>14850</v>
      </c>
      <c r="E1240" s="400">
        <f t="shared" si="22"/>
        <v>1485</v>
      </c>
    </row>
    <row r="1241" spans="1:5">
      <c r="A1241" s="399">
        <v>40828</v>
      </c>
      <c r="B1241" s="393">
        <v>386850</v>
      </c>
      <c r="C1241" s="394">
        <v>2009.5</v>
      </c>
      <c r="D1241" s="397">
        <v>14850</v>
      </c>
      <c r="E1241" s="400">
        <f t="shared" si="22"/>
        <v>1485</v>
      </c>
    </row>
    <row r="1242" spans="1:5">
      <c r="A1242" s="399">
        <v>40829</v>
      </c>
      <c r="B1242" s="393">
        <v>388325</v>
      </c>
      <c r="C1242" s="394">
        <v>1996</v>
      </c>
      <c r="D1242" s="397">
        <v>14950</v>
      </c>
      <c r="E1242" s="400">
        <f t="shared" si="22"/>
        <v>1495</v>
      </c>
    </row>
    <row r="1243" spans="1:5">
      <c r="A1243" s="399">
        <v>40830</v>
      </c>
      <c r="B1243" s="393">
        <v>388500</v>
      </c>
      <c r="C1243" s="394">
        <v>2008</v>
      </c>
      <c r="D1243" s="397">
        <v>14950</v>
      </c>
      <c r="E1243" s="400">
        <f t="shared" si="22"/>
        <v>1495</v>
      </c>
    </row>
    <row r="1244" spans="1:5">
      <c r="A1244" s="399">
        <v>40833</v>
      </c>
      <c r="B1244" s="393">
        <v>388500</v>
      </c>
      <c r="C1244" s="394">
        <v>1990.5</v>
      </c>
      <c r="D1244" s="397">
        <v>15000</v>
      </c>
      <c r="E1244" s="400">
        <f t="shared" si="22"/>
        <v>1500</v>
      </c>
    </row>
    <row r="1245" spans="1:5">
      <c r="A1245" s="399">
        <v>40834</v>
      </c>
      <c r="B1245" s="393">
        <v>387825</v>
      </c>
      <c r="C1245" s="394">
        <v>1906</v>
      </c>
      <c r="D1245" s="397">
        <v>14650</v>
      </c>
      <c r="E1245" s="400">
        <f t="shared" si="22"/>
        <v>1465</v>
      </c>
    </row>
    <row r="1246" spans="1:5">
      <c r="A1246" s="399">
        <v>40835</v>
      </c>
      <c r="B1246" s="393">
        <v>388350</v>
      </c>
      <c r="C1246" s="394">
        <v>1890</v>
      </c>
      <c r="D1246" s="397">
        <v>14650</v>
      </c>
      <c r="E1246" s="400">
        <f t="shared" si="22"/>
        <v>1465</v>
      </c>
    </row>
    <row r="1247" spans="1:5">
      <c r="A1247" s="399">
        <v>40836</v>
      </c>
      <c r="B1247" s="393">
        <v>387925</v>
      </c>
      <c r="C1247" s="394">
        <v>1791.5</v>
      </c>
      <c r="D1247" s="397">
        <v>14050</v>
      </c>
      <c r="E1247" s="400">
        <f t="shared" si="22"/>
        <v>1405</v>
      </c>
    </row>
    <row r="1248" spans="1:5">
      <c r="A1248" s="399">
        <v>40837</v>
      </c>
      <c r="B1248" s="393">
        <v>387950</v>
      </c>
      <c r="C1248" s="394">
        <v>1841</v>
      </c>
      <c r="D1248" s="397">
        <v>14400</v>
      </c>
      <c r="E1248" s="400">
        <f t="shared" si="22"/>
        <v>1440</v>
      </c>
    </row>
    <row r="1249" spans="1:5">
      <c r="A1249" s="399">
        <v>40840</v>
      </c>
      <c r="B1249" s="393">
        <v>388275</v>
      </c>
      <c r="C1249" s="394">
        <v>1940.5</v>
      </c>
      <c r="D1249" s="397">
        <v>14750</v>
      </c>
      <c r="E1249" s="400">
        <f t="shared" si="22"/>
        <v>1475</v>
      </c>
    </row>
    <row r="1250" spans="1:5">
      <c r="A1250" s="399">
        <v>40841</v>
      </c>
      <c r="B1250" s="393">
        <v>388150</v>
      </c>
      <c r="C1250" s="394">
        <v>1961.5</v>
      </c>
      <c r="D1250" s="397">
        <v>15100</v>
      </c>
      <c r="E1250" s="400">
        <f t="shared" si="22"/>
        <v>1510</v>
      </c>
    </row>
    <row r="1251" spans="1:5">
      <c r="A1251" s="399">
        <v>40842</v>
      </c>
      <c r="B1251" s="393">
        <v>388475</v>
      </c>
      <c r="C1251" s="394">
        <v>1937.5</v>
      </c>
      <c r="D1251" s="397">
        <v>15050</v>
      </c>
      <c r="E1251" s="400">
        <f t="shared" si="22"/>
        <v>1505</v>
      </c>
    </row>
    <row r="1252" spans="1:5">
      <c r="A1252" s="399">
        <v>40843</v>
      </c>
      <c r="B1252" s="393">
        <v>388375</v>
      </c>
      <c r="C1252" s="394">
        <v>1951</v>
      </c>
      <c r="D1252" s="397">
        <v>15050</v>
      </c>
      <c r="E1252" s="400">
        <f t="shared" si="22"/>
        <v>1505</v>
      </c>
    </row>
    <row r="1253" spans="1:5">
      <c r="A1253" s="399">
        <v>40844</v>
      </c>
      <c r="B1253" s="393">
        <v>387900</v>
      </c>
      <c r="C1253" s="394">
        <v>1986</v>
      </c>
      <c r="D1253" s="397">
        <v>15400</v>
      </c>
      <c r="E1253" s="400">
        <f t="shared" si="22"/>
        <v>1540</v>
      </c>
    </row>
    <row r="1254" spans="1:5">
      <c r="A1254" s="399">
        <v>40847</v>
      </c>
      <c r="B1254" s="393">
        <v>387800</v>
      </c>
      <c r="C1254" s="394">
        <v>1981</v>
      </c>
      <c r="D1254" s="397">
        <v>15400</v>
      </c>
      <c r="E1254" s="400">
        <f t="shared" si="22"/>
        <v>1540</v>
      </c>
    </row>
    <row r="1255" spans="1:5">
      <c r="A1255" s="399">
        <v>40848</v>
      </c>
      <c r="B1255" s="393">
        <v>387425</v>
      </c>
      <c r="C1255" s="394">
        <v>1997</v>
      </c>
      <c r="D1255" s="397">
        <v>15400</v>
      </c>
      <c r="E1255" s="400">
        <f t="shared" si="22"/>
        <v>1540</v>
      </c>
    </row>
    <row r="1256" spans="1:5">
      <c r="A1256" s="399">
        <v>40849</v>
      </c>
      <c r="B1256" s="393">
        <v>386600</v>
      </c>
      <c r="C1256" s="394">
        <v>1978</v>
      </c>
      <c r="D1256" s="397">
        <v>15150</v>
      </c>
      <c r="E1256" s="400">
        <f t="shared" si="22"/>
        <v>1515</v>
      </c>
    </row>
    <row r="1257" spans="1:5">
      <c r="A1257" s="399">
        <v>40850</v>
      </c>
      <c r="B1257" s="393">
        <v>385300</v>
      </c>
      <c r="C1257" s="394">
        <v>1993</v>
      </c>
      <c r="D1257" s="397">
        <v>15200</v>
      </c>
      <c r="E1257" s="400">
        <f t="shared" si="22"/>
        <v>1520</v>
      </c>
    </row>
    <row r="1258" spans="1:5">
      <c r="A1258" s="399">
        <v>40851</v>
      </c>
      <c r="B1258" s="393">
        <v>384575</v>
      </c>
      <c r="C1258" s="394">
        <v>2022</v>
      </c>
      <c r="D1258" s="397">
        <v>15400</v>
      </c>
      <c r="E1258" s="400">
        <f t="shared" si="22"/>
        <v>1540</v>
      </c>
    </row>
    <row r="1259" spans="1:5">
      <c r="A1259" s="399">
        <v>40854</v>
      </c>
      <c r="B1259" s="393">
        <v>383400</v>
      </c>
      <c r="C1259" s="394">
        <v>1976</v>
      </c>
      <c r="D1259" s="397">
        <v>15400</v>
      </c>
      <c r="E1259" s="400">
        <f t="shared" si="22"/>
        <v>1540</v>
      </c>
    </row>
    <row r="1260" spans="1:5">
      <c r="A1260" s="399">
        <v>40855</v>
      </c>
      <c r="B1260" s="393">
        <v>382175</v>
      </c>
      <c r="C1260" s="394">
        <v>1995.5</v>
      </c>
      <c r="D1260" s="397">
        <v>15350</v>
      </c>
      <c r="E1260" s="400">
        <f t="shared" si="22"/>
        <v>1535</v>
      </c>
    </row>
    <row r="1261" spans="1:5">
      <c r="A1261" s="399">
        <v>40856</v>
      </c>
      <c r="B1261" s="393">
        <v>380050</v>
      </c>
      <c r="C1261" s="394">
        <v>1966.5</v>
      </c>
      <c r="D1261" s="397">
        <v>15400</v>
      </c>
      <c r="E1261" s="400">
        <f t="shared" si="22"/>
        <v>1540</v>
      </c>
    </row>
    <row r="1262" spans="1:5">
      <c r="A1262" s="399">
        <v>40857</v>
      </c>
      <c r="B1262" s="393">
        <v>378775</v>
      </c>
      <c r="C1262" s="394">
        <v>1921.5</v>
      </c>
      <c r="D1262" s="397">
        <v>14750</v>
      </c>
      <c r="E1262" s="400">
        <f t="shared" si="22"/>
        <v>1475</v>
      </c>
    </row>
    <row r="1263" spans="1:5">
      <c r="A1263" s="399">
        <v>40858</v>
      </c>
      <c r="B1263" s="393">
        <v>376850</v>
      </c>
      <c r="C1263" s="394">
        <v>1949</v>
      </c>
      <c r="D1263" s="397">
        <v>14900</v>
      </c>
      <c r="E1263" s="400">
        <f t="shared" si="22"/>
        <v>1490</v>
      </c>
    </row>
    <row r="1264" spans="1:5">
      <c r="A1264" s="399">
        <v>40861</v>
      </c>
      <c r="B1264" s="393">
        <v>374900</v>
      </c>
      <c r="C1264" s="394">
        <v>1990.5</v>
      </c>
      <c r="D1264" s="397">
        <v>15500</v>
      </c>
      <c r="E1264" s="400">
        <f t="shared" si="22"/>
        <v>1550</v>
      </c>
    </row>
    <row r="1265" spans="1:5">
      <c r="A1265" s="399">
        <v>40862</v>
      </c>
      <c r="B1265" s="393">
        <v>375950</v>
      </c>
      <c r="C1265" s="394">
        <v>1983</v>
      </c>
      <c r="D1265" s="397">
        <v>15400</v>
      </c>
      <c r="E1265" s="400">
        <f t="shared" si="22"/>
        <v>1540</v>
      </c>
    </row>
    <row r="1266" spans="1:5">
      <c r="A1266" s="399">
        <v>40863</v>
      </c>
      <c r="B1266" s="393">
        <v>380300</v>
      </c>
      <c r="C1266" s="394">
        <v>1982</v>
      </c>
      <c r="D1266" s="397">
        <v>15350</v>
      </c>
      <c r="E1266" s="400">
        <f t="shared" si="22"/>
        <v>1535</v>
      </c>
    </row>
    <row r="1267" spans="1:5">
      <c r="A1267" s="399">
        <v>40864</v>
      </c>
      <c r="B1267" s="393">
        <v>375800</v>
      </c>
      <c r="C1267" s="394">
        <v>1975</v>
      </c>
      <c r="D1267" s="397">
        <v>15350</v>
      </c>
      <c r="E1267" s="400">
        <f t="shared" si="22"/>
        <v>1535</v>
      </c>
    </row>
    <row r="1268" spans="1:5">
      <c r="A1268" s="399">
        <v>40865</v>
      </c>
      <c r="B1268" s="393">
        <v>374950</v>
      </c>
      <c r="C1268" s="394">
        <v>1996</v>
      </c>
      <c r="D1268" s="397">
        <v>15250</v>
      </c>
      <c r="E1268" s="400">
        <f t="shared" si="22"/>
        <v>1525</v>
      </c>
    </row>
    <row r="1269" spans="1:5">
      <c r="A1269" s="399">
        <v>40868</v>
      </c>
      <c r="B1269" s="393">
        <v>373825</v>
      </c>
      <c r="C1269" s="394">
        <v>2001</v>
      </c>
      <c r="D1269" s="397">
        <v>15400</v>
      </c>
      <c r="E1269" s="400">
        <f t="shared" si="22"/>
        <v>1540</v>
      </c>
    </row>
    <row r="1270" spans="1:5">
      <c r="A1270" s="399">
        <v>40869</v>
      </c>
      <c r="B1270" s="393">
        <v>372650</v>
      </c>
      <c r="C1270" s="394">
        <v>1976</v>
      </c>
      <c r="D1270" s="397">
        <v>15350</v>
      </c>
      <c r="E1270" s="400">
        <f t="shared" si="22"/>
        <v>1535</v>
      </c>
    </row>
    <row r="1271" spans="1:5">
      <c r="A1271" s="399">
        <v>40870</v>
      </c>
      <c r="B1271" s="393">
        <v>371225</v>
      </c>
      <c r="C1271" s="394">
        <v>1957</v>
      </c>
      <c r="D1271" s="397">
        <v>15400</v>
      </c>
      <c r="E1271" s="400">
        <f t="shared" si="22"/>
        <v>1540</v>
      </c>
    </row>
    <row r="1272" spans="1:5">
      <c r="A1272" s="399">
        <v>40871</v>
      </c>
      <c r="B1272" s="393">
        <v>369975</v>
      </c>
      <c r="C1272" s="394">
        <v>1982.5</v>
      </c>
      <c r="D1272" s="397">
        <v>15200</v>
      </c>
      <c r="E1272" s="400">
        <f t="shared" si="22"/>
        <v>1520</v>
      </c>
    </row>
    <row r="1273" spans="1:5">
      <c r="A1273" s="399">
        <v>40872</v>
      </c>
      <c r="B1273" s="393">
        <v>375050</v>
      </c>
      <c r="C1273" s="394">
        <v>1975</v>
      </c>
      <c r="D1273" s="397">
        <v>15250</v>
      </c>
      <c r="E1273" s="400">
        <f t="shared" si="22"/>
        <v>1525</v>
      </c>
    </row>
    <row r="1274" spans="1:5">
      <c r="A1274" s="399">
        <v>40875</v>
      </c>
      <c r="B1274" s="393">
        <v>371975</v>
      </c>
      <c r="C1274" s="394">
        <v>2004</v>
      </c>
      <c r="D1274" s="397">
        <v>15450</v>
      </c>
      <c r="E1274" s="400">
        <f t="shared" si="22"/>
        <v>1545</v>
      </c>
    </row>
    <row r="1275" spans="1:5">
      <c r="A1275" s="399">
        <v>40876</v>
      </c>
      <c r="B1275" s="393">
        <v>371700</v>
      </c>
      <c r="C1275" s="394">
        <v>1999</v>
      </c>
      <c r="D1275" s="397">
        <v>15450</v>
      </c>
      <c r="E1275" s="400">
        <f t="shared" si="22"/>
        <v>1545</v>
      </c>
    </row>
    <row r="1276" spans="1:5">
      <c r="A1276" s="399">
        <v>40877</v>
      </c>
      <c r="B1276" s="393">
        <v>369825</v>
      </c>
      <c r="C1276" s="394">
        <v>1985.5</v>
      </c>
      <c r="D1276" s="397">
        <v>15350</v>
      </c>
      <c r="E1276" s="400">
        <f t="shared" si="22"/>
        <v>1535</v>
      </c>
    </row>
    <row r="1277" spans="1:5">
      <c r="A1277" s="399">
        <v>40878</v>
      </c>
      <c r="B1277" s="393">
        <v>369250</v>
      </c>
      <c r="C1277" s="394">
        <v>2062</v>
      </c>
      <c r="D1277" s="397">
        <v>15750</v>
      </c>
      <c r="E1277" s="400">
        <f t="shared" si="22"/>
        <v>1575</v>
      </c>
    </row>
    <row r="1278" spans="1:5">
      <c r="A1278" s="399">
        <v>40879</v>
      </c>
      <c r="B1278" s="393">
        <v>366825</v>
      </c>
      <c r="C1278" s="394">
        <v>2102.5</v>
      </c>
      <c r="D1278" s="397">
        <v>15650</v>
      </c>
      <c r="E1278" s="400">
        <f t="shared" si="22"/>
        <v>1565</v>
      </c>
    </row>
    <row r="1279" spans="1:5">
      <c r="A1279" s="399">
        <v>40882</v>
      </c>
      <c r="B1279" s="393">
        <v>366375</v>
      </c>
      <c r="C1279" s="394">
        <v>2077</v>
      </c>
      <c r="D1279" s="397">
        <v>15600</v>
      </c>
      <c r="E1279" s="400">
        <f t="shared" si="22"/>
        <v>1560</v>
      </c>
    </row>
    <row r="1280" spans="1:5">
      <c r="A1280" s="399">
        <v>40883</v>
      </c>
      <c r="B1280" s="393">
        <v>365225</v>
      </c>
      <c r="C1280" s="394">
        <v>2063.5</v>
      </c>
      <c r="D1280" s="397">
        <v>15550</v>
      </c>
      <c r="E1280" s="400">
        <f t="shared" si="22"/>
        <v>1555</v>
      </c>
    </row>
    <row r="1281" spans="1:5">
      <c r="A1281" s="399">
        <v>40884</v>
      </c>
      <c r="B1281" s="393">
        <v>364400</v>
      </c>
      <c r="C1281" s="394">
        <v>2100</v>
      </c>
      <c r="D1281" s="397">
        <v>15650</v>
      </c>
      <c r="E1281" s="400">
        <f t="shared" si="22"/>
        <v>1565</v>
      </c>
    </row>
    <row r="1282" spans="1:5">
      <c r="A1282" s="399">
        <v>40885</v>
      </c>
      <c r="B1282" s="393">
        <v>363325</v>
      </c>
      <c r="C1282" s="394">
        <v>2119</v>
      </c>
      <c r="D1282" s="397">
        <v>15725</v>
      </c>
      <c r="E1282" s="400">
        <f t="shared" si="22"/>
        <v>1572.5</v>
      </c>
    </row>
    <row r="1283" spans="1:5">
      <c r="A1283" s="399">
        <v>40886</v>
      </c>
      <c r="B1283" s="393">
        <v>361700</v>
      </c>
      <c r="C1283" s="394">
        <v>2092.5</v>
      </c>
      <c r="D1283" s="397">
        <v>15600</v>
      </c>
      <c r="E1283" s="400">
        <f t="shared" ref="E1283:E1344" si="23">D1283/10</f>
        <v>1560</v>
      </c>
    </row>
    <row r="1284" spans="1:5">
      <c r="A1284" s="399">
        <v>40889</v>
      </c>
      <c r="B1284" s="393">
        <v>360300</v>
      </c>
      <c r="C1284" s="394">
        <v>2088</v>
      </c>
      <c r="D1284" s="397">
        <v>15600</v>
      </c>
      <c r="E1284" s="400">
        <f t="shared" si="23"/>
        <v>1560</v>
      </c>
    </row>
    <row r="1285" spans="1:5">
      <c r="A1285" s="399">
        <v>40890</v>
      </c>
      <c r="B1285" s="393">
        <v>358900</v>
      </c>
      <c r="C1285" s="394">
        <v>2077</v>
      </c>
      <c r="D1285" s="397">
        <v>15500</v>
      </c>
      <c r="E1285" s="400">
        <f t="shared" si="23"/>
        <v>1550</v>
      </c>
    </row>
    <row r="1286" spans="1:5">
      <c r="A1286" s="399">
        <v>40891</v>
      </c>
      <c r="B1286" s="393">
        <v>360325</v>
      </c>
      <c r="C1286" s="394">
        <v>2017</v>
      </c>
      <c r="D1286" s="397">
        <v>15350</v>
      </c>
      <c r="E1286" s="400">
        <f t="shared" si="23"/>
        <v>1535</v>
      </c>
    </row>
    <row r="1287" spans="1:5">
      <c r="A1287" s="399">
        <v>40892</v>
      </c>
      <c r="B1287" s="393">
        <v>359650</v>
      </c>
      <c r="C1287" s="394">
        <v>1980</v>
      </c>
      <c r="D1287" s="397">
        <v>15150</v>
      </c>
      <c r="E1287" s="400">
        <f t="shared" si="23"/>
        <v>1515</v>
      </c>
    </row>
    <row r="1288" spans="1:5">
      <c r="A1288" s="399">
        <v>40893</v>
      </c>
      <c r="B1288" s="393">
        <v>358075</v>
      </c>
      <c r="C1288" s="394">
        <v>1980</v>
      </c>
      <c r="D1288" s="397">
        <v>15200</v>
      </c>
      <c r="E1288" s="400">
        <f t="shared" si="23"/>
        <v>1520</v>
      </c>
    </row>
    <row r="1289" spans="1:5">
      <c r="A1289" s="399">
        <v>40896</v>
      </c>
      <c r="B1289" s="393">
        <v>362650</v>
      </c>
      <c r="C1289" s="394">
        <v>1937.5</v>
      </c>
      <c r="D1289" s="397">
        <v>15150</v>
      </c>
      <c r="E1289" s="400">
        <f t="shared" si="23"/>
        <v>1515</v>
      </c>
    </row>
    <row r="1290" spans="1:5">
      <c r="A1290" s="399">
        <v>40897</v>
      </c>
      <c r="B1290" s="393">
        <v>361075</v>
      </c>
      <c r="C1290" s="394">
        <v>1933</v>
      </c>
      <c r="D1290" s="397">
        <v>15150</v>
      </c>
      <c r="E1290" s="400">
        <f t="shared" si="23"/>
        <v>1515</v>
      </c>
    </row>
    <row r="1291" spans="1:5">
      <c r="A1291" s="399">
        <v>40898</v>
      </c>
      <c r="B1291" s="393">
        <v>358450</v>
      </c>
      <c r="C1291" s="394">
        <v>1933.5</v>
      </c>
      <c r="D1291" s="397">
        <v>15250</v>
      </c>
      <c r="E1291" s="400">
        <f t="shared" si="23"/>
        <v>1525</v>
      </c>
    </row>
    <row r="1292" spans="1:5">
      <c r="A1292" s="399">
        <v>40899</v>
      </c>
      <c r="B1292" s="393">
        <v>357775</v>
      </c>
      <c r="C1292" s="394">
        <v>1955.5</v>
      </c>
      <c r="D1292" s="397">
        <v>15200</v>
      </c>
      <c r="E1292" s="400">
        <f t="shared" si="23"/>
        <v>1520</v>
      </c>
    </row>
    <row r="1293" spans="1:5">
      <c r="A1293" s="399">
        <v>40900</v>
      </c>
      <c r="B1293" s="393">
        <v>356225</v>
      </c>
      <c r="C1293" s="394">
        <v>1986</v>
      </c>
      <c r="D1293" s="397">
        <v>15300</v>
      </c>
      <c r="E1293" s="400">
        <f t="shared" si="23"/>
        <v>1530</v>
      </c>
    </row>
    <row r="1294" spans="1:5">
      <c r="A1294" s="399">
        <v>40903</v>
      </c>
      <c r="B1294" s="393">
        <v>356225</v>
      </c>
      <c r="C1294" s="394">
        <v>1986</v>
      </c>
      <c r="D1294" s="397">
        <v>15300</v>
      </c>
      <c r="E1294" s="400">
        <f>D1294/10</f>
        <v>1530</v>
      </c>
    </row>
    <row r="1295" spans="1:5">
      <c r="A1295" s="399">
        <v>40904</v>
      </c>
      <c r="B1295" s="393">
        <v>356225</v>
      </c>
      <c r="C1295" s="394">
        <v>1986</v>
      </c>
      <c r="D1295" s="397">
        <v>15300</v>
      </c>
      <c r="E1295" s="400">
        <f>D1295/10</f>
        <v>1530</v>
      </c>
    </row>
    <row r="1296" spans="1:5">
      <c r="A1296" s="399">
        <v>40905</v>
      </c>
      <c r="B1296" s="393">
        <v>356175</v>
      </c>
      <c r="C1296" s="394">
        <v>1950.5</v>
      </c>
      <c r="D1296" s="397">
        <v>15250</v>
      </c>
      <c r="E1296" s="400">
        <f t="shared" si="23"/>
        <v>1525</v>
      </c>
    </row>
    <row r="1297" spans="1:5">
      <c r="A1297" s="399">
        <v>40906</v>
      </c>
      <c r="B1297" s="393">
        <v>353250</v>
      </c>
      <c r="C1297" s="394">
        <v>1945</v>
      </c>
      <c r="D1297" s="397">
        <v>15100</v>
      </c>
      <c r="E1297" s="400">
        <f t="shared" si="23"/>
        <v>1510</v>
      </c>
    </row>
    <row r="1298" spans="1:5">
      <c r="A1298" s="399">
        <v>40907</v>
      </c>
      <c r="B1298" s="393">
        <v>353075</v>
      </c>
      <c r="C1298" s="394">
        <v>1980</v>
      </c>
      <c r="D1298" s="397">
        <v>15200</v>
      </c>
      <c r="E1298" s="400">
        <f t="shared" si="23"/>
        <v>1520</v>
      </c>
    </row>
    <row r="1299" spans="1:5">
      <c r="A1299" s="399">
        <v>40910</v>
      </c>
      <c r="B1299" s="393">
        <v>353075</v>
      </c>
      <c r="C1299" s="394">
        <v>1980</v>
      </c>
      <c r="D1299" s="397">
        <v>15200</v>
      </c>
      <c r="E1299" s="400">
        <f>D1299/10</f>
        <v>1520</v>
      </c>
    </row>
    <row r="1300" spans="1:5">
      <c r="A1300" s="399">
        <v>40911</v>
      </c>
      <c r="B1300" s="393">
        <v>351725</v>
      </c>
      <c r="C1300" s="394">
        <v>1994.5</v>
      </c>
      <c r="D1300" s="397">
        <v>15200</v>
      </c>
      <c r="E1300" s="400">
        <f>D1300/10</f>
        <v>1520</v>
      </c>
    </row>
    <row r="1301" spans="1:5">
      <c r="A1301" s="399">
        <v>40912</v>
      </c>
      <c r="B1301" s="393">
        <v>353075</v>
      </c>
      <c r="C1301" s="394">
        <v>2043</v>
      </c>
      <c r="D1301" s="397">
        <v>15300</v>
      </c>
      <c r="E1301" s="400">
        <f t="shared" si="23"/>
        <v>1530</v>
      </c>
    </row>
    <row r="1302" spans="1:5">
      <c r="A1302" s="399">
        <v>40913</v>
      </c>
      <c r="B1302" s="393">
        <v>351850</v>
      </c>
      <c r="C1302" s="394">
        <v>2015.5</v>
      </c>
      <c r="D1302" s="397">
        <v>15300</v>
      </c>
      <c r="E1302" s="400">
        <f t="shared" si="23"/>
        <v>1530</v>
      </c>
    </row>
    <row r="1303" spans="1:5">
      <c r="A1303" s="399">
        <v>40914</v>
      </c>
      <c r="B1303" s="393">
        <v>349775</v>
      </c>
      <c r="C1303" s="394">
        <v>1975.5</v>
      </c>
      <c r="D1303" s="397">
        <v>15200</v>
      </c>
      <c r="E1303" s="400">
        <f t="shared" si="23"/>
        <v>1520</v>
      </c>
    </row>
    <row r="1304" spans="1:5">
      <c r="A1304" s="399">
        <v>40917</v>
      </c>
      <c r="B1304" s="393">
        <v>350875</v>
      </c>
      <c r="C1304" s="394">
        <v>1942.5</v>
      </c>
      <c r="D1304" s="397">
        <v>15200</v>
      </c>
      <c r="E1304" s="400">
        <f t="shared" si="23"/>
        <v>1520</v>
      </c>
    </row>
    <row r="1305" spans="1:5">
      <c r="A1305" s="399">
        <v>40918</v>
      </c>
      <c r="B1305" s="393">
        <v>353975</v>
      </c>
      <c r="C1305" s="394">
        <v>1999</v>
      </c>
      <c r="D1305" s="397">
        <v>15200</v>
      </c>
      <c r="E1305" s="400">
        <f t="shared" si="23"/>
        <v>1520</v>
      </c>
    </row>
    <row r="1306" spans="1:5">
      <c r="A1306" s="399">
        <v>40919</v>
      </c>
      <c r="B1306" s="393">
        <v>353625</v>
      </c>
      <c r="C1306" s="394">
        <v>1968.5</v>
      </c>
      <c r="D1306" s="397">
        <v>15330</v>
      </c>
      <c r="E1306" s="400">
        <f t="shared" si="23"/>
        <v>1533</v>
      </c>
    </row>
    <row r="1307" spans="1:5">
      <c r="A1307" s="399">
        <v>40920</v>
      </c>
      <c r="B1307" s="393">
        <v>352650</v>
      </c>
      <c r="C1307" s="394">
        <v>2000</v>
      </c>
      <c r="D1307" s="397">
        <v>15300</v>
      </c>
      <c r="E1307" s="400">
        <f t="shared" si="23"/>
        <v>1530</v>
      </c>
    </row>
    <row r="1308" spans="1:5">
      <c r="A1308" s="399">
        <v>40921</v>
      </c>
      <c r="B1308" s="393">
        <v>352500</v>
      </c>
      <c r="C1308" s="394">
        <v>2004</v>
      </c>
      <c r="D1308" s="397">
        <v>15350</v>
      </c>
      <c r="E1308" s="400">
        <f t="shared" si="23"/>
        <v>1535</v>
      </c>
    </row>
    <row r="1309" spans="1:5">
      <c r="A1309" s="399">
        <v>40924</v>
      </c>
      <c r="B1309" s="393">
        <v>352200</v>
      </c>
      <c r="C1309" s="394">
        <v>1989</v>
      </c>
      <c r="D1309" s="397">
        <v>15350</v>
      </c>
      <c r="E1309" s="400">
        <f t="shared" si="23"/>
        <v>1535</v>
      </c>
    </row>
    <row r="1310" spans="1:5">
      <c r="A1310" s="399">
        <v>40925</v>
      </c>
      <c r="B1310" s="393">
        <v>351075</v>
      </c>
      <c r="C1310" s="394">
        <v>2046</v>
      </c>
      <c r="D1310" s="397">
        <v>15500</v>
      </c>
      <c r="E1310" s="400">
        <f t="shared" si="23"/>
        <v>1550</v>
      </c>
    </row>
    <row r="1311" spans="1:5">
      <c r="A1311" s="399">
        <v>40926</v>
      </c>
      <c r="B1311" s="393">
        <v>349300</v>
      </c>
      <c r="C1311" s="394">
        <v>2092</v>
      </c>
      <c r="D1311" s="397">
        <v>15600</v>
      </c>
      <c r="E1311" s="400">
        <f t="shared" si="23"/>
        <v>1560</v>
      </c>
    </row>
    <row r="1312" spans="1:5">
      <c r="A1312" s="399">
        <v>40927</v>
      </c>
      <c r="B1312" s="393">
        <v>349300</v>
      </c>
      <c r="C1312" s="394">
        <v>2131.5</v>
      </c>
      <c r="D1312" s="397">
        <v>15700</v>
      </c>
      <c r="E1312" s="400">
        <f t="shared" si="23"/>
        <v>1570</v>
      </c>
    </row>
    <row r="1313" spans="1:5">
      <c r="A1313" s="399">
        <v>40928</v>
      </c>
      <c r="B1313" s="393">
        <v>347525</v>
      </c>
      <c r="C1313" s="394">
        <v>2130.5</v>
      </c>
      <c r="D1313" s="397">
        <v>15850</v>
      </c>
      <c r="E1313" s="400">
        <f t="shared" si="23"/>
        <v>1585</v>
      </c>
    </row>
    <row r="1314" spans="1:5">
      <c r="A1314" s="399">
        <v>40931</v>
      </c>
      <c r="B1314" s="393">
        <v>346025</v>
      </c>
      <c r="C1314" s="394">
        <v>2178</v>
      </c>
      <c r="D1314" s="397">
        <v>15850</v>
      </c>
      <c r="E1314" s="400">
        <f>D1314/10</f>
        <v>1585</v>
      </c>
    </row>
    <row r="1315" spans="1:5">
      <c r="A1315" s="399">
        <v>40932</v>
      </c>
      <c r="B1315" s="393">
        <v>345925</v>
      </c>
      <c r="C1315" s="394">
        <v>2216</v>
      </c>
      <c r="D1315" s="397">
        <v>15850</v>
      </c>
      <c r="E1315" s="400">
        <f>D1315/10</f>
        <v>1585</v>
      </c>
    </row>
    <row r="1316" spans="1:5">
      <c r="A1316" s="399">
        <v>40933</v>
      </c>
      <c r="B1316" s="393">
        <v>345850</v>
      </c>
      <c r="C1316" s="394">
        <v>2196</v>
      </c>
      <c r="D1316" s="397">
        <v>15850</v>
      </c>
      <c r="E1316" s="400">
        <f>D1316/10</f>
        <v>1585</v>
      </c>
    </row>
    <row r="1317" spans="1:5">
      <c r="A1317" s="399">
        <v>40934</v>
      </c>
      <c r="B1317" s="393">
        <v>344525</v>
      </c>
      <c r="C1317" s="394">
        <v>2277</v>
      </c>
      <c r="D1317" s="397">
        <v>15850</v>
      </c>
      <c r="E1317" s="400">
        <f>D1317/10</f>
        <v>1585</v>
      </c>
    </row>
    <row r="1318" spans="1:5">
      <c r="A1318" s="399">
        <v>40935</v>
      </c>
      <c r="B1318" s="393">
        <v>343050</v>
      </c>
      <c r="C1318" s="394">
        <v>2288</v>
      </c>
      <c r="D1318" s="397">
        <v>15850</v>
      </c>
      <c r="E1318" s="400">
        <f>D1318/10</f>
        <v>1585</v>
      </c>
    </row>
    <row r="1319" spans="1:5">
      <c r="A1319" s="399">
        <v>40938</v>
      </c>
      <c r="B1319" s="393">
        <v>345100</v>
      </c>
      <c r="C1319" s="394">
        <v>2238</v>
      </c>
      <c r="D1319" s="397">
        <v>16050</v>
      </c>
      <c r="E1319" s="400">
        <f t="shared" si="23"/>
        <v>1605</v>
      </c>
    </row>
    <row r="1320" spans="1:5">
      <c r="A1320" s="399">
        <v>40939</v>
      </c>
      <c r="B1320" s="393">
        <v>363150</v>
      </c>
      <c r="C1320" s="394">
        <v>2251</v>
      </c>
      <c r="D1320" s="397">
        <v>16000</v>
      </c>
      <c r="E1320" s="400">
        <f t="shared" si="23"/>
        <v>1600</v>
      </c>
    </row>
    <row r="1321" spans="1:5">
      <c r="A1321" s="399">
        <v>40940</v>
      </c>
      <c r="B1321" s="393">
        <v>366225</v>
      </c>
      <c r="C1321" s="394">
        <v>2210</v>
      </c>
      <c r="D1321" s="397">
        <v>15900</v>
      </c>
      <c r="E1321" s="400">
        <f t="shared" si="23"/>
        <v>1590</v>
      </c>
    </row>
    <row r="1322" spans="1:5">
      <c r="A1322" s="399">
        <v>40941</v>
      </c>
      <c r="B1322" s="393">
        <v>370000</v>
      </c>
      <c r="C1322" s="394">
        <v>2184</v>
      </c>
      <c r="D1322" s="397">
        <v>15850</v>
      </c>
      <c r="E1322" s="400">
        <f t="shared" si="23"/>
        <v>1585</v>
      </c>
    </row>
    <row r="1323" spans="1:5">
      <c r="A1323" s="399">
        <v>40942</v>
      </c>
      <c r="B1323" s="393">
        <v>375300</v>
      </c>
      <c r="C1323" s="394">
        <v>2147</v>
      </c>
      <c r="D1323" s="397">
        <v>15900</v>
      </c>
      <c r="E1323" s="400">
        <f t="shared" si="23"/>
        <v>1590</v>
      </c>
    </row>
    <row r="1324" spans="1:5">
      <c r="A1324" s="399">
        <v>40945</v>
      </c>
      <c r="B1324" s="393">
        <v>374800</v>
      </c>
      <c r="C1324" s="394">
        <v>2165.5</v>
      </c>
      <c r="D1324" s="397">
        <v>16000</v>
      </c>
      <c r="E1324" s="400">
        <f t="shared" si="23"/>
        <v>1600</v>
      </c>
    </row>
    <row r="1325" spans="1:5">
      <c r="A1325" s="399">
        <v>40946</v>
      </c>
      <c r="B1325" s="393">
        <v>376050</v>
      </c>
      <c r="C1325" s="394">
        <v>2126</v>
      </c>
      <c r="D1325" s="397">
        <v>15900</v>
      </c>
      <c r="E1325" s="400">
        <f t="shared" si="23"/>
        <v>1590</v>
      </c>
    </row>
    <row r="1326" spans="1:5">
      <c r="A1326" s="399">
        <v>40947</v>
      </c>
      <c r="B1326" s="393">
        <v>376025</v>
      </c>
      <c r="C1326" s="394">
        <v>2190.5</v>
      </c>
      <c r="D1326" s="397">
        <v>15950</v>
      </c>
      <c r="E1326" s="400">
        <f t="shared" si="23"/>
        <v>1595</v>
      </c>
    </row>
    <row r="1327" spans="1:5">
      <c r="A1327" s="399">
        <v>40948</v>
      </c>
      <c r="B1327" s="393">
        <v>382475</v>
      </c>
      <c r="C1327" s="394">
        <v>2141.5</v>
      </c>
      <c r="D1327" s="397">
        <v>15950</v>
      </c>
      <c r="E1327" s="400">
        <f t="shared" si="23"/>
        <v>1595</v>
      </c>
    </row>
    <row r="1328" spans="1:5">
      <c r="A1328" s="399">
        <v>40949</v>
      </c>
      <c r="B1328" s="393">
        <v>382600</v>
      </c>
      <c r="C1328" s="394">
        <v>2169</v>
      </c>
      <c r="D1328" s="397">
        <v>15950</v>
      </c>
      <c r="E1328" s="400">
        <f t="shared" si="23"/>
        <v>1595</v>
      </c>
    </row>
    <row r="1329" spans="1:5">
      <c r="A1329" s="399">
        <v>40952</v>
      </c>
      <c r="B1329" s="393">
        <v>381750</v>
      </c>
      <c r="C1329" s="394">
        <v>2127.5</v>
      </c>
      <c r="D1329" s="397">
        <v>15800</v>
      </c>
      <c r="E1329" s="400">
        <f t="shared" si="23"/>
        <v>1580</v>
      </c>
    </row>
    <row r="1330" spans="1:5">
      <c r="A1330" s="399">
        <v>40953</v>
      </c>
      <c r="B1330" s="393">
        <v>383700</v>
      </c>
      <c r="C1330" s="394">
        <v>2076</v>
      </c>
      <c r="D1330" s="397">
        <v>15800</v>
      </c>
      <c r="E1330" s="400">
        <f t="shared" si="23"/>
        <v>1580</v>
      </c>
    </row>
    <row r="1331" spans="1:5">
      <c r="A1331" s="399">
        <v>40954</v>
      </c>
      <c r="B1331" s="393">
        <v>383300</v>
      </c>
      <c r="C1331" s="394">
        <v>2048.5</v>
      </c>
      <c r="D1331" s="397">
        <v>15750</v>
      </c>
      <c r="E1331" s="400">
        <f t="shared" si="23"/>
        <v>1575</v>
      </c>
    </row>
    <row r="1332" spans="1:5">
      <c r="A1332" s="399">
        <v>40955</v>
      </c>
      <c r="B1332" s="393">
        <v>382025</v>
      </c>
      <c r="C1332" s="394">
        <v>1985</v>
      </c>
      <c r="D1332" s="397">
        <v>15500</v>
      </c>
      <c r="E1332" s="400">
        <f t="shared" si="23"/>
        <v>1550</v>
      </c>
    </row>
    <row r="1333" spans="1:5">
      <c r="A1333" s="399">
        <v>40956</v>
      </c>
      <c r="B1333" s="393">
        <v>379800</v>
      </c>
      <c r="C1333" s="394">
        <v>2029</v>
      </c>
      <c r="D1333" s="397">
        <v>15600</v>
      </c>
      <c r="E1333" s="400">
        <f t="shared" si="23"/>
        <v>1560</v>
      </c>
    </row>
    <row r="1334" spans="1:5">
      <c r="A1334" s="399">
        <v>40959</v>
      </c>
      <c r="B1334" s="393">
        <v>377825</v>
      </c>
      <c r="C1334" s="394">
        <v>2028</v>
      </c>
      <c r="D1334" s="397">
        <v>15650</v>
      </c>
      <c r="E1334" s="400">
        <f t="shared" si="23"/>
        <v>1565</v>
      </c>
    </row>
    <row r="1335" spans="1:5">
      <c r="A1335" s="399">
        <v>40960</v>
      </c>
      <c r="B1335" s="393">
        <v>375975</v>
      </c>
      <c r="C1335" s="394">
        <v>2057</v>
      </c>
      <c r="D1335" s="397">
        <v>15675</v>
      </c>
      <c r="E1335" s="400">
        <f t="shared" si="23"/>
        <v>1567.5</v>
      </c>
    </row>
    <row r="1336" spans="1:5">
      <c r="A1336" s="399">
        <v>40961</v>
      </c>
      <c r="B1336" s="393">
        <v>374225</v>
      </c>
      <c r="C1336" s="394">
        <v>2070</v>
      </c>
      <c r="D1336" s="397">
        <v>15750</v>
      </c>
      <c r="E1336" s="400">
        <f t="shared" si="23"/>
        <v>1575</v>
      </c>
    </row>
    <row r="1337" spans="1:5">
      <c r="A1337" s="399">
        <v>40962</v>
      </c>
      <c r="B1337" s="393">
        <v>371950</v>
      </c>
      <c r="C1337" s="394">
        <v>2114</v>
      </c>
      <c r="D1337" s="397">
        <v>15800</v>
      </c>
      <c r="E1337" s="400">
        <f t="shared" si="23"/>
        <v>1580</v>
      </c>
    </row>
    <row r="1338" spans="1:5">
      <c r="A1338" s="399">
        <v>40963</v>
      </c>
      <c r="B1338" s="393">
        <v>370500</v>
      </c>
      <c r="C1338" s="394">
        <v>2153.5</v>
      </c>
      <c r="D1338" s="397">
        <v>15850</v>
      </c>
      <c r="E1338" s="400">
        <f t="shared" si="23"/>
        <v>1585</v>
      </c>
    </row>
    <row r="1339" spans="1:5">
      <c r="A1339" s="399">
        <v>40966</v>
      </c>
      <c r="B1339" s="393">
        <v>368175</v>
      </c>
      <c r="C1339" s="394">
        <v>2156</v>
      </c>
      <c r="D1339" s="397">
        <v>15950</v>
      </c>
      <c r="E1339" s="400">
        <f t="shared" si="23"/>
        <v>1595</v>
      </c>
    </row>
    <row r="1340" spans="1:5">
      <c r="A1340" s="399">
        <v>40967</v>
      </c>
      <c r="B1340" s="393">
        <v>365350</v>
      </c>
      <c r="C1340" s="394">
        <v>2238</v>
      </c>
      <c r="D1340" s="397">
        <v>16000</v>
      </c>
      <c r="E1340" s="400">
        <f t="shared" si="23"/>
        <v>1600</v>
      </c>
    </row>
    <row r="1341" spans="1:5">
      <c r="A1341" s="399">
        <v>40968</v>
      </c>
      <c r="B1341" s="393">
        <v>370450</v>
      </c>
      <c r="C1341" s="394">
        <v>2232.5</v>
      </c>
      <c r="D1341" s="397">
        <v>16170</v>
      </c>
      <c r="E1341" s="400">
        <f t="shared" si="23"/>
        <v>1617</v>
      </c>
    </row>
    <row r="1342" spans="1:5">
      <c r="A1342" s="399">
        <v>40969</v>
      </c>
      <c r="B1342" s="393">
        <v>369950</v>
      </c>
      <c r="C1342" s="394">
        <v>2155.5</v>
      </c>
      <c r="D1342" s="397">
        <v>15900</v>
      </c>
      <c r="E1342" s="400">
        <f t="shared" si="23"/>
        <v>1590</v>
      </c>
    </row>
    <row r="1343" spans="1:5">
      <c r="A1343" s="399">
        <v>40970</v>
      </c>
      <c r="B1343" s="393">
        <v>366675</v>
      </c>
      <c r="C1343" s="394">
        <v>2135</v>
      </c>
      <c r="D1343" s="397">
        <v>15900</v>
      </c>
      <c r="E1343" s="400">
        <f t="shared" si="23"/>
        <v>1590</v>
      </c>
    </row>
    <row r="1344" spans="1:5">
      <c r="A1344" s="399">
        <v>40973</v>
      </c>
      <c r="B1344" s="393">
        <v>364800</v>
      </c>
      <c r="C1344" s="394">
        <v>2122.5</v>
      </c>
      <c r="D1344" s="397">
        <v>15900</v>
      </c>
      <c r="E1344" s="400">
        <f t="shared" si="23"/>
        <v>1590</v>
      </c>
    </row>
    <row r="1345" spans="1:5">
      <c r="A1345" s="399">
        <v>40974</v>
      </c>
      <c r="B1345" s="393">
        <v>363950</v>
      </c>
      <c r="C1345" s="394">
        <v>2068.5</v>
      </c>
      <c r="D1345" s="397">
        <v>15850</v>
      </c>
      <c r="E1345" s="400">
        <f t="shared" ref="E1345:E1406" si="24">D1345/10</f>
        <v>1585</v>
      </c>
    </row>
    <row r="1346" spans="1:5">
      <c r="A1346" s="399">
        <v>40975</v>
      </c>
      <c r="B1346" s="393">
        <v>363950</v>
      </c>
      <c r="C1346" s="394">
        <v>2040</v>
      </c>
      <c r="D1346" s="397">
        <v>15650</v>
      </c>
      <c r="E1346" s="400">
        <f t="shared" si="24"/>
        <v>1565</v>
      </c>
    </row>
    <row r="1347" spans="1:5">
      <c r="A1347" s="399">
        <v>40976</v>
      </c>
      <c r="B1347" s="393">
        <v>363425</v>
      </c>
      <c r="C1347" s="394">
        <v>2087</v>
      </c>
      <c r="D1347" s="397">
        <v>15650</v>
      </c>
      <c r="E1347" s="400">
        <f t="shared" si="24"/>
        <v>1565</v>
      </c>
    </row>
    <row r="1348" spans="1:5">
      <c r="A1348" s="399">
        <v>40977</v>
      </c>
      <c r="B1348" s="393">
        <v>363000</v>
      </c>
      <c r="C1348" s="394">
        <v>2090.5</v>
      </c>
      <c r="D1348" s="397">
        <v>15800</v>
      </c>
      <c r="E1348" s="400">
        <f t="shared" si="24"/>
        <v>1580</v>
      </c>
    </row>
    <row r="1349" spans="1:5">
      <c r="A1349" s="399">
        <v>40980</v>
      </c>
      <c r="B1349" s="393">
        <v>363625</v>
      </c>
      <c r="C1349" s="394">
        <v>2085.5</v>
      </c>
      <c r="D1349" s="397">
        <v>15850</v>
      </c>
      <c r="E1349" s="400">
        <f t="shared" si="24"/>
        <v>1585</v>
      </c>
    </row>
    <row r="1350" spans="1:5">
      <c r="A1350" s="399">
        <v>40981</v>
      </c>
      <c r="B1350" s="393">
        <v>365325</v>
      </c>
      <c r="C1350" s="394">
        <v>2122</v>
      </c>
      <c r="D1350" s="397">
        <v>15900</v>
      </c>
      <c r="E1350" s="400">
        <f t="shared" si="24"/>
        <v>1590</v>
      </c>
    </row>
    <row r="1351" spans="1:5">
      <c r="A1351" s="399">
        <v>40982</v>
      </c>
      <c r="B1351" s="393">
        <v>365225</v>
      </c>
      <c r="C1351" s="394">
        <v>2108</v>
      </c>
      <c r="D1351" s="397">
        <v>15950</v>
      </c>
      <c r="E1351" s="400">
        <f t="shared" si="24"/>
        <v>1595</v>
      </c>
    </row>
    <row r="1352" spans="1:5">
      <c r="A1352" s="399">
        <v>40983</v>
      </c>
      <c r="B1352" s="393">
        <v>365100</v>
      </c>
      <c r="C1352" s="394">
        <v>2095.5</v>
      </c>
      <c r="D1352" s="397">
        <v>15850</v>
      </c>
      <c r="E1352" s="400">
        <f t="shared" si="24"/>
        <v>1585</v>
      </c>
    </row>
    <row r="1353" spans="1:5">
      <c r="A1353" s="399">
        <v>40984</v>
      </c>
      <c r="B1353" s="393">
        <v>366875</v>
      </c>
      <c r="C1353" s="394">
        <v>2107</v>
      </c>
      <c r="D1353" s="397">
        <v>15900</v>
      </c>
      <c r="E1353" s="400">
        <f t="shared" si="24"/>
        <v>1590</v>
      </c>
    </row>
    <row r="1354" spans="1:5">
      <c r="A1354" s="399">
        <v>40987</v>
      </c>
      <c r="B1354" s="393">
        <v>368650</v>
      </c>
      <c r="C1354" s="394">
        <v>2095</v>
      </c>
      <c r="D1354" s="397">
        <v>15850</v>
      </c>
      <c r="E1354" s="400">
        <f t="shared" si="24"/>
        <v>1585</v>
      </c>
    </row>
    <row r="1355" spans="1:5">
      <c r="A1355" s="399">
        <v>40988</v>
      </c>
      <c r="B1355" s="393">
        <v>370125</v>
      </c>
      <c r="C1355" s="394">
        <v>2042.5</v>
      </c>
      <c r="D1355" s="397">
        <v>15850</v>
      </c>
      <c r="E1355" s="400">
        <f t="shared" si="24"/>
        <v>1585</v>
      </c>
    </row>
    <row r="1356" spans="1:5">
      <c r="A1356" s="399">
        <v>40989</v>
      </c>
      <c r="B1356" s="393">
        <v>369850</v>
      </c>
      <c r="C1356" s="394">
        <v>2026</v>
      </c>
      <c r="D1356" s="397">
        <v>15750</v>
      </c>
      <c r="E1356" s="400">
        <f t="shared" si="24"/>
        <v>1575</v>
      </c>
    </row>
    <row r="1357" spans="1:5">
      <c r="A1357" s="399">
        <v>40990</v>
      </c>
      <c r="B1357" s="393">
        <v>373850</v>
      </c>
      <c r="C1357" s="394">
        <v>2000</v>
      </c>
      <c r="D1357" s="397">
        <v>15650</v>
      </c>
      <c r="E1357" s="400">
        <f t="shared" si="24"/>
        <v>1565</v>
      </c>
    </row>
    <row r="1358" spans="1:5">
      <c r="A1358" s="399">
        <v>40991</v>
      </c>
      <c r="B1358" s="393">
        <v>372875</v>
      </c>
      <c r="C1358" s="394">
        <v>1995</v>
      </c>
      <c r="D1358" s="397">
        <v>15650</v>
      </c>
      <c r="E1358" s="400">
        <f t="shared" si="24"/>
        <v>1565</v>
      </c>
    </row>
    <row r="1359" spans="1:5">
      <c r="A1359" s="399">
        <v>40994</v>
      </c>
      <c r="B1359" s="393">
        <v>376175</v>
      </c>
      <c r="C1359" s="394">
        <v>1982</v>
      </c>
      <c r="D1359" s="397">
        <v>15700</v>
      </c>
      <c r="E1359" s="400">
        <f t="shared" si="24"/>
        <v>1570</v>
      </c>
    </row>
    <row r="1360" spans="1:5">
      <c r="A1360" s="399">
        <v>40995</v>
      </c>
      <c r="B1360" s="393">
        <v>377225</v>
      </c>
      <c r="C1360" s="394">
        <v>1998</v>
      </c>
      <c r="D1360" s="397">
        <v>15700</v>
      </c>
      <c r="E1360" s="400">
        <f t="shared" si="24"/>
        <v>1570</v>
      </c>
    </row>
    <row r="1361" spans="1:5">
      <c r="A1361" s="399">
        <v>40996</v>
      </c>
      <c r="B1361" s="393">
        <v>376850</v>
      </c>
      <c r="C1361" s="394">
        <v>1987</v>
      </c>
      <c r="D1361" s="397">
        <v>15700</v>
      </c>
      <c r="E1361" s="400">
        <f t="shared" si="24"/>
        <v>1570</v>
      </c>
    </row>
    <row r="1362" spans="1:5">
      <c r="A1362" s="399">
        <v>40997</v>
      </c>
      <c r="B1362" s="393">
        <v>376725</v>
      </c>
      <c r="C1362" s="394">
        <v>1989</v>
      </c>
      <c r="D1362" s="397">
        <v>15650</v>
      </c>
      <c r="E1362" s="400">
        <f t="shared" si="24"/>
        <v>1565</v>
      </c>
    </row>
    <row r="1363" spans="1:5">
      <c r="A1363" s="399">
        <v>40998</v>
      </c>
      <c r="B1363" s="393">
        <v>376575</v>
      </c>
      <c r="C1363" s="394">
        <v>2020.5</v>
      </c>
      <c r="D1363" s="397">
        <v>15650</v>
      </c>
      <c r="E1363" s="400">
        <f t="shared" si="24"/>
        <v>1565</v>
      </c>
    </row>
    <row r="1364" spans="1:5">
      <c r="A1364" s="399">
        <v>41001</v>
      </c>
      <c r="B1364" s="393">
        <v>376800</v>
      </c>
      <c r="C1364" s="394">
        <v>2007</v>
      </c>
      <c r="D1364" s="397">
        <v>15650</v>
      </c>
      <c r="E1364" s="400">
        <f>D1364/10</f>
        <v>1565</v>
      </c>
    </row>
    <row r="1365" spans="1:5">
      <c r="A1365" s="399">
        <v>41002</v>
      </c>
      <c r="B1365" s="393">
        <v>376300</v>
      </c>
      <c r="C1365" s="394">
        <v>2045</v>
      </c>
      <c r="D1365" s="397">
        <v>15650</v>
      </c>
      <c r="E1365" s="400">
        <f>D1365/10</f>
        <v>1565</v>
      </c>
    </row>
    <row r="1366" spans="1:5">
      <c r="A1366" s="399">
        <v>41003</v>
      </c>
      <c r="B1366" s="393">
        <v>374300</v>
      </c>
      <c r="C1366" s="394">
        <v>2014</v>
      </c>
      <c r="D1366" s="397">
        <v>15650</v>
      </c>
      <c r="E1366" s="400">
        <f>D1366/10</f>
        <v>1565</v>
      </c>
    </row>
    <row r="1367" spans="1:5">
      <c r="A1367" s="399">
        <v>41004</v>
      </c>
      <c r="B1367" s="393">
        <v>374575</v>
      </c>
      <c r="C1367" s="394">
        <v>1994</v>
      </c>
      <c r="D1367" s="397">
        <v>15550</v>
      </c>
      <c r="E1367" s="400">
        <f t="shared" si="24"/>
        <v>1555</v>
      </c>
    </row>
    <row r="1368" spans="1:5">
      <c r="A1368" s="399">
        <v>41005</v>
      </c>
      <c r="B1368" s="393">
        <v>374575</v>
      </c>
      <c r="C1368" s="394">
        <v>1994</v>
      </c>
      <c r="D1368" s="397">
        <v>15550</v>
      </c>
      <c r="E1368" s="400">
        <f t="shared" si="24"/>
        <v>1555</v>
      </c>
    </row>
    <row r="1369" spans="1:5">
      <c r="A1369" s="399">
        <v>41008</v>
      </c>
      <c r="B1369" s="393">
        <v>374575</v>
      </c>
      <c r="C1369" s="394">
        <v>1994</v>
      </c>
      <c r="D1369" s="397">
        <v>15700</v>
      </c>
      <c r="E1369" s="400">
        <f t="shared" si="24"/>
        <v>1570</v>
      </c>
    </row>
    <row r="1370" spans="1:5">
      <c r="A1370" s="399">
        <v>41009</v>
      </c>
      <c r="B1370" s="393">
        <v>373375</v>
      </c>
      <c r="C1370" s="394">
        <v>2038</v>
      </c>
      <c r="D1370" s="397">
        <v>15700</v>
      </c>
      <c r="E1370" s="400">
        <f t="shared" si="24"/>
        <v>1570</v>
      </c>
    </row>
    <row r="1371" spans="1:5">
      <c r="A1371" s="399">
        <v>41010</v>
      </c>
      <c r="B1371" s="393">
        <v>373375</v>
      </c>
      <c r="C1371" s="394">
        <v>2019</v>
      </c>
      <c r="D1371" s="397">
        <v>15600</v>
      </c>
      <c r="E1371" s="400">
        <f t="shared" si="24"/>
        <v>1560</v>
      </c>
    </row>
    <row r="1372" spans="1:5">
      <c r="A1372" s="399">
        <v>41011</v>
      </c>
      <c r="B1372" s="393">
        <v>373550</v>
      </c>
      <c r="C1372" s="394">
        <v>2081</v>
      </c>
      <c r="D1372" s="397">
        <v>15650</v>
      </c>
      <c r="E1372" s="400">
        <f t="shared" si="24"/>
        <v>1565</v>
      </c>
    </row>
    <row r="1373" spans="1:5">
      <c r="A1373" s="399">
        <v>41012</v>
      </c>
      <c r="B1373" s="393">
        <v>372600</v>
      </c>
      <c r="C1373" s="394">
        <v>2073</v>
      </c>
      <c r="D1373" s="397">
        <v>15700</v>
      </c>
      <c r="E1373" s="400">
        <f t="shared" si="24"/>
        <v>1570</v>
      </c>
    </row>
    <row r="1374" spans="1:5">
      <c r="A1374" s="399">
        <v>41015</v>
      </c>
      <c r="B1374" s="393">
        <v>371875</v>
      </c>
      <c r="C1374" s="394">
        <v>2033.5</v>
      </c>
      <c r="D1374" s="397">
        <v>15550</v>
      </c>
      <c r="E1374" s="400">
        <f t="shared" si="24"/>
        <v>1555</v>
      </c>
    </row>
    <row r="1375" spans="1:5">
      <c r="A1375" s="399">
        <v>41016</v>
      </c>
      <c r="B1375" s="393">
        <v>371450</v>
      </c>
      <c r="C1375" s="394">
        <v>2066</v>
      </c>
      <c r="D1375" s="397">
        <v>15550</v>
      </c>
      <c r="E1375" s="400">
        <f t="shared" si="24"/>
        <v>1555</v>
      </c>
    </row>
    <row r="1376" spans="1:5">
      <c r="A1376" s="399">
        <v>41017</v>
      </c>
      <c r="B1376" s="393">
        <v>371450</v>
      </c>
      <c r="C1376" s="394">
        <v>2042</v>
      </c>
      <c r="D1376" s="397">
        <v>15600</v>
      </c>
      <c r="E1376" s="400">
        <f t="shared" si="24"/>
        <v>1560</v>
      </c>
    </row>
    <row r="1377" spans="1:5">
      <c r="A1377" s="399">
        <v>41018</v>
      </c>
      <c r="B1377" s="393">
        <v>370200</v>
      </c>
      <c r="C1377" s="394">
        <v>2039.5</v>
      </c>
      <c r="D1377" s="397">
        <v>15600</v>
      </c>
      <c r="E1377" s="400">
        <f t="shared" si="24"/>
        <v>1560</v>
      </c>
    </row>
    <row r="1378" spans="1:5">
      <c r="A1378" s="399">
        <v>41019</v>
      </c>
      <c r="B1378" s="393">
        <v>369150</v>
      </c>
      <c r="C1378" s="394">
        <v>2100</v>
      </c>
      <c r="D1378" s="397">
        <v>15650</v>
      </c>
      <c r="E1378" s="400">
        <f t="shared" si="24"/>
        <v>1565</v>
      </c>
    </row>
    <row r="1379" spans="1:5">
      <c r="A1379" s="399">
        <v>41022</v>
      </c>
      <c r="B1379" s="393">
        <v>368400</v>
      </c>
      <c r="C1379" s="394">
        <v>2087</v>
      </c>
      <c r="D1379" s="397">
        <v>15700</v>
      </c>
      <c r="E1379" s="400">
        <f t="shared" si="24"/>
        <v>1570</v>
      </c>
    </row>
    <row r="1380" spans="1:5">
      <c r="A1380" s="399">
        <v>41023</v>
      </c>
      <c r="B1380" s="393">
        <v>367375</v>
      </c>
      <c r="C1380" s="394">
        <v>2080</v>
      </c>
      <c r="D1380" s="397">
        <v>15600</v>
      </c>
      <c r="E1380" s="400">
        <f t="shared" si="24"/>
        <v>1560</v>
      </c>
    </row>
    <row r="1381" spans="1:5">
      <c r="A1381" s="399">
        <v>41024</v>
      </c>
      <c r="B1381" s="393">
        <v>366725</v>
      </c>
      <c r="C1381" s="394">
        <v>2083</v>
      </c>
      <c r="D1381" s="397">
        <v>15625</v>
      </c>
      <c r="E1381" s="400">
        <f t="shared" si="24"/>
        <v>1562.5</v>
      </c>
    </row>
    <row r="1382" spans="1:5">
      <c r="A1382" s="399">
        <v>41025</v>
      </c>
      <c r="B1382" s="393">
        <v>365475</v>
      </c>
      <c r="C1382" s="394">
        <v>2113</v>
      </c>
      <c r="D1382" s="397">
        <v>15625</v>
      </c>
      <c r="E1382" s="400">
        <f t="shared" si="24"/>
        <v>1562.5</v>
      </c>
    </row>
    <row r="1383" spans="1:5">
      <c r="A1383" s="399">
        <v>41026</v>
      </c>
      <c r="B1383" s="393">
        <v>363375</v>
      </c>
      <c r="C1383" s="394">
        <v>2127</v>
      </c>
      <c r="D1383" s="397">
        <v>15700</v>
      </c>
      <c r="E1383" s="400">
        <f t="shared" si="24"/>
        <v>1570</v>
      </c>
    </row>
    <row r="1384" spans="1:5">
      <c r="A1384" s="399">
        <v>41029</v>
      </c>
      <c r="B1384" s="393">
        <v>359500</v>
      </c>
      <c r="C1384" s="394">
        <v>2156</v>
      </c>
      <c r="D1384" s="397">
        <v>15700</v>
      </c>
      <c r="E1384" s="400">
        <f>D1384/10</f>
        <v>1570</v>
      </c>
    </row>
    <row r="1385" spans="1:5">
      <c r="A1385" s="399">
        <v>41030</v>
      </c>
      <c r="B1385" s="393">
        <v>359500</v>
      </c>
      <c r="C1385" s="394">
        <v>2150.5</v>
      </c>
      <c r="D1385" s="397">
        <v>15700</v>
      </c>
      <c r="E1385" s="400">
        <f>D1385/10</f>
        <v>1570</v>
      </c>
    </row>
    <row r="1386" spans="1:5">
      <c r="A1386" s="399">
        <v>41031</v>
      </c>
      <c r="B1386" s="393">
        <v>361000</v>
      </c>
      <c r="C1386" s="394">
        <v>2143.5</v>
      </c>
      <c r="D1386" s="397">
        <v>15750</v>
      </c>
      <c r="E1386" s="400">
        <f t="shared" si="24"/>
        <v>1575</v>
      </c>
    </row>
    <row r="1387" spans="1:5">
      <c r="A1387" s="399">
        <v>41032</v>
      </c>
      <c r="B1387" s="393">
        <v>360325</v>
      </c>
      <c r="C1387" s="394">
        <v>2104.5</v>
      </c>
      <c r="D1387" s="397">
        <v>15700</v>
      </c>
      <c r="E1387" s="400">
        <f t="shared" si="24"/>
        <v>1570</v>
      </c>
    </row>
    <row r="1388" spans="1:5">
      <c r="A1388" s="399">
        <v>41033</v>
      </c>
      <c r="B1388" s="393">
        <v>358425</v>
      </c>
      <c r="C1388" s="394">
        <v>2080</v>
      </c>
      <c r="D1388" s="397">
        <v>15650</v>
      </c>
      <c r="E1388" s="400">
        <f t="shared" si="24"/>
        <v>1565</v>
      </c>
    </row>
    <row r="1389" spans="1:5">
      <c r="A1389" s="399">
        <v>41036</v>
      </c>
      <c r="B1389" s="393">
        <v>358425</v>
      </c>
      <c r="C1389" s="394">
        <v>2080</v>
      </c>
      <c r="D1389" s="397">
        <v>15575</v>
      </c>
      <c r="E1389" s="400">
        <f t="shared" si="24"/>
        <v>1557.5</v>
      </c>
    </row>
    <row r="1390" spans="1:5">
      <c r="A1390" s="399">
        <v>41037</v>
      </c>
      <c r="B1390" s="393">
        <v>356525</v>
      </c>
      <c r="C1390" s="394">
        <v>2077.5</v>
      </c>
      <c r="D1390" s="397">
        <v>15600</v>
      </c>
      <c r="E1390" s="400">
        <f t="shared" si="24"/>
        <v>1560</v>
      </c>
    </row>
    <row r="1391" spans="1:5">
      <c r="A1391" s="399">
        <v>41038</v>
      </c>
      <c r="B1391" s="393">
        <v>353825</v>
      </c>
      <c r="C1391" s="394">
        <v>2036</v>
      </c>
      <c r="D1391" s="397">
        <v>15550</v>
      </c>
      <c r="E1391" s="400">
        <f t="shared" si="24"/>
        <v>1555</v>
      </c>
    </row>
    <row r="1392" spans="1:5">
      <c r="A1392" s="399">
        <v>41039</v>
      </c>
      <c r="B1392" s="393">
        <v>352675</v>
      </c>
      <c r="C1392" s="394">
        <v>2063</v>
      </c>
      <c r="D1392" s="397">
        <v>15550</v>
      </c>
      <c r="E1392" s="400">
        <f t="shared" si="24"/>
        <v>1555</v>
      </c>
    </row>
    <row r="1393" spans="1:5">
      <c r="A1393" s="399">
        <v>41040</v>
      </c>
      <c r="B1393" s="393">
        <v>352525</v>
      </c>
      <c r="C1393" s="394">
        <v>2053</v>
      </c>
      <c r="D1393" s="397">
        <v>15500</v>
      </c>
      <c r="E1393" s="400">
        <f t="shared" si="24"/>
        <v>1550</v>
      </c>
    </row>
    <row r="1394" spans="1:5">
      <c r="A1394" s="399">
        <v>41043</v>
      </c>
      <c r="B1394" s="393">
        <v>352275</v>
      </c>
      <c r="C1394" s="394">
        <v>2026.5</v>
      </c>
      <c r="D1394" s="397">
        <v>15500</v>
      </c>
      <c r="E1394" s="400">
        <f t="shared" si="24"/>
        <v>1550</v>
      </c>
    </row>
    <row r="1395" spans="1:5">
      <c r="A1395" s="399">
        <v>41044</v>
      </c>
      <c r="B1395" s="393">
        <v>359100</v>
      </c>
      <c r="C1395" s="394">
        <v>2016.5</v>
      </c>
      <c r="D1395" s="397">
        <v>15450</v>
      </c>
      <c r="E1395" s="400">
        <f t="shared" si="24"/>
        <v>1545</v>
      </c>
    </row>
    <row r="1396" spans="1:5">
      <c r="A1396" s="399">
        <v>41045</v>
      </c>
      <c r="B1396" s="393">
        <v>359025</v>
      </c>
      <c r="C1396" s="394">
        <v>1973</v>
      </c>
      <c r="D1396" s="397">
        <v>15400</v>
      </c>
      <c r="E1396" s="400">
        <f t="shared" si="24"/>
        <v>1540</v>
      </c>
    </row>
    <row r="1397" spans="1:5">
      <c r="A1397" s="399">
        <v>41046</v>
      </c>
      <c r="B1397" s="393">
        <v>358975</v>
      </c>
      <c r="C1397" s="394">
        <v>1930</v>
      </c>
      <c r="D1397" s="397">
        <v>15300</v>
      </c>
      <c r="E1397" s="400">
        <f t="shared" si="24"/>
        <v>1530</v>
      </c>
    </row>
    <row r="1398" spans="1:5">
      <c r="A1398" s="399">
        <v>41047</v>
      </c>
      <c r="B1398" s="393">
        <v>357925</v>
      </c>
      <c r="C1398" s="394">
        <v>1950</v>
      </c>
      <c r="D1398" s="397">
        <v>15200</v>
      </c>
      <c r="E1398" s="400">
        <f t="shared" si="24"/>
        <v>1520</v>
      </c>
    </row>
    <row r="1399" spans="1:5">
      <c r="A1399" s="399">
        <v>41050</v>
      </c>
      <c r="B1399" s="393">
        <v>358000</v>
      </c>
      <c r="C1399" s="394">
        <v>1942</v>
      </c>
      <c r="D1399" s="397">
        <v>15250</v>
      </c>
      <c r="E1399" s="400">
        <f t="shared" si="24"/>
        <v>1525</v>
      </c>
    </row>
    <row r="1400" spans="1:5">
      <c r="A1400" s="399">
        <v>41051</v>
      </c>
      <c r="B1400" s="393">
        <v>357300</v>
      </c>
      <c r="C1400" s="394">
        <v>1928.5</v>
      </c>
      <c r="D1400" s="397">
        <v>15275</v>
      </c>
      <c r="E1400" s="400">
        <f t="shared" si="24"/>
        <v>1527.5</v>
      </c>
    </row>
    <row r="1401" spans="1:5">
      <c r="A1401" s="399">
        <v>41052</v>
      </c>
      <c r="B1401" s="393">
        <v>353450</v>
      </c>
      <c r="C1401" s="394">
        <v>1922</v>
      </c>
      <c r="D1401" s="397">
        <v>15250</v>
      </c>
      <c r="E1401" s="400">
        <f t="shared" si="24"/>
        <v>1525</v>
      </c>
    </row>
    <row r="1402" spans="1:5">
      <c r="A1402" s="399">
        <v>41053</v>
      </c>
      <c r="B1402" s="393">
        <v>352550</v>
      </c>
      <c r="C1402" s="394">
        <v>1934</v>
      </c>
      <c r="D1402" s="397">
        <v>15200</v>
      </c>
      <c r="E1402" s="400">
        <f t="shared" si="24"/>
        <v>1520</v>
      </c>
    </row>
    <row r="1403" spans="1:5">
      <c r="A1403" s="399">
        <v>41054</v>
      </c>
      <c r="B1403" s="393">
        <v>349200</v>
      </c>
      <c r="C1403" s="394">
        <v>1945</v>
      </c>
      <c r="D1403" s="397">
        <v>15200</v>
      </c>
      <c r="E1403" s="400">
        <f t="shared" si="24"/>
        <v>1520</v>
      </c>
    </row>
    <row r="1404" spans="1:5">
      <c r="A1404" s="399">
        <v>41057</v>
      </c>
      <c r="B1404" s="393">
        <v>352800</v>
      </c>
      <c r="C1404" s="394">
        <v>1933.5</v>
      </c>
      <c r="D1404" s="397">
        <v>15200</v>
      </c>
      <c r="E1404" s="400">
        <f t="shared" si="24"/>
        <v>1520</v>
      </c>
    </row>
    <row r="1405" spans="1:5">
      <c r="A1405" s="399">
        <v>41058</v>
      </c>
      <c r="B1405" s="393">
        <v>350825</v>
      </c>
      <c r="C1405" s="394">
        <v>1932</v>
      </c>
      <c r="D1405" s="397">
        <v>15250</v>
      </c>
      <c r="E1405" s="400">
        <f t="shared" si="24"/>
        <v>1525</v>
      </c>
    </row>
    <row r="1406" spans="1:5">
      <c r="A1406" s="399">
        <v>41059</v>
      </c>
      <c r="B1406" s="393">
        <v>349525</v>
      </c>
      <c r="C1406" s="394">
        <v>1912.5</v>
      </c>
      <c r="D1406" s="397">
        <v>15175</v>
      </c>
      <c r="E1406" s="400">
        <f t="shared" si="24"/>
        <v>1517.5</v>
      </c>
    </row>
    <row r="1407" spans="1:5">
      <c r="A1407" s="399">
        <v>41060</v>
      </c>
      <c r="B1407" s="393">
        <v>349575</v>
      </c>
      <c r="C1407" s="394">
        <v>1922.5</v>
      </c>
      <c r="D1407" s="397">
        <v>15100</v>
      </c>
      <c r="E1407" s="400">
        <f t="shared" ref="E1407:E1467" si="25">D1407/10</f>
        <v>1510</v>
      </c>
    </row>
    <row r="1408" spans="1:5">
      <c r="A1408" s="399">
        <v>41061</v>
      </c>
      <c r="B1408" s="393">
        <v>348175</v>
      </c>
      <c r="C1408" s="394">
        <v>1880.5</v>
      </c>
      <c r="D1408" s="397">
        <v>15000</v>
      </c>
      <c r="E1408" s="400">
        <f t="shared" si="25"/>
        <v>1500</v>
      </c>
    </row>
    <row r="1409" spans="1:5">
      <c r="A1409" s="399">
        <v>41064</v>
      </c>
      <c r="B1409" s="393">
        <v>348175</v>
      </c>
      <c r="C1409" s="394">
        <v>1880.5</v>
      </c>
      <c r="D1409" s="397">
        <v>15000</v>
      </c>
      <c r="E1409" s="400">
        <f t="shared" si="25"/>
        <v>1500</v>
      </c>
    </row>
    <row r="1410" spans="1:5">
      <c r="A1410" s="399">
        <v>41065</v>
      </c>
      <c r="B1410" s="393">
        <v>348175</v>
      </c>
      <c r="C1410" s="394">
        <v>1880.5</v>
      </c>
      <c r="D1410" s="397">
        <v>15075</v>
      </c>
      <c r="E1410" s="400">
        <f t="shared" si="25"/>
        <v>1507.5</v>
      </c>
    </row>
    <row r="1411" spans="1:5">
      <c r="A1411" s="399">
        <v>41066</v>
      </c>
      <c r="B1411" s="393">
        <v>346125</v>
      </c>
      <c r="C1411" s="394">
        <v>1907.5</v>
      </c>
      <c r="D1411" s="397">
        <v>15100</v>
      </c>
      <c r="E1411" s="400">
        <f t="shared" si="25"/>
        <v>1510</v>
      </c>
    </row>
    <row r="1412" spans="1:5">
      <c r="A1412" s="399">
        <v>41067</v>
      </c>
      <c r="B1412" s="393">
        <v>345750</v>
      </c>
      <c r="C1412" s="394">
        <v>1916</v>
      </c>
      <c r="D1412" s="397">
        <v>15100</v>
      </c>
      <c r="E1412" s="400">
        <f t="shared" si="25"/>
        <v>1510</v>
      </c>
    </row>
    <row r="1413" spans="1:5">
      <c r="A1413" s="399">
        <v>41068</v>
      </c>
      <c r="B1413" s="393">
        <v>345325</v>
      </c>
      <c r="C1413" s="394">
        <v>1884</v>
      </c>
      <c r="D1413" s="397">
        <v>15075</v>
      </c>
      <c r="E1413" s="400">
        <f t="shared" si="25"/>
        <v>1507.5</v>
      </c>
    </row>
    <row r="1414" spans="1:5">
      <c r="A1414" s="399">
        <v>41071</v>
      </c>
      <c r="B1414" s="393">
        <v>344775</v>
      </c>
      <c r="C1414" s="394">
        <v>1895</v>
      </c>
      <c r="D1414" s="397">
        <v>15100</v>
      </c>
      <c r="E1414" s="400">
        <f t="shared" si="25"/>
        <v>1510</v>
      </c>
    </row>
    <row r="1415" spans="1:5">
      <c r="A1415" s="399">
        <v>41072</v>
      </c>
      <c r="B1415" s="393">
        <v>345075</v>
      </c>
      <c r="C1415" s="394">
        <v>1893.5</v>
      </c>
      <c r="D1415" s="397">
        <v>15050</v>
      </c>
      <c r="E1415" s="400">
        <f t="shared" si="25"/>
        <v>1505</v>
      </c>
    </row>
    <row r="1416" spans="1:5">
      <c r="A1416" s="399">
        <v>41073</v>
      </c>
      <c r="B1416" s="393">
        <v>344525</v>
      </c>
      <c r="C1416" s="394">
        <v>1883</v>
      </c>
      <c r="D1416" s="397">
        <v>15075</v>
      </c>
      <c r="E1416" s="400">
        <f t="shared" si="25"/>
        <v>1507.5</v>
      </c>
    </row>
    <row r="1417" spans="1:5">
      <c r="A1417" s="399">
        <v>41074</v>
      </c>
      <c r="B1417" s="393">
        <v>344025</v>
      </c>
      <c r="C1417" s="394">
        <v>1885</v>
      </c>
      <c r="D1417" s="397">
        <v>15050</v>
      </c>
      <c r="E1417" s="400">
        <f t="shared" si="25"/>
        <v>1505</v>
      </c>
    </row>
    <row r="1418" spans="1:5">
      <c r="A1418" s="399">
        <v>41075</v>
      </c>
      <c r="B1418" s="393">
        <v>344750</v>
      </c>
      <c r="C1418" s="394">
        <v>1914.5</v>
      </c>
      <c r="D1418" s="397">
        <v>15100</v>
      </c>
      <c r="E1418" s="400">
        <f t="shared" si="25"/>
        <v>1510</v>
      </c>
    </row>
    <row r="1419" spans="1:5">
      <c r="A1419" s="399">
        <v>41078</v>
      </c>
      <c r="B1419" s="393">
        <v>344850</v>
      </c>
      <c r="C1419" s="394">
        <v>1893.5</v>
      </c>
      <c r="D1419" s="397">
        <v>15150</v>
      </c>
      <c r="E1419" s="400">
        <f t="shared" si="25"/>
        <v>1515</v>
      </c>
    </row>
    <row r="1420" spans="1:5">
      <c r="A1420" s="399">
        <v>41079</v>
      </c>
      <c r="B1420" s="393">
        <v>345200</v>
      </c>
      <c r="C1420" s="394">
        <v>1885.5</v>
      </c>
      <c r="D1420" s="397">
        <v>15100</v>
      </c>
      <c r="E1420" s="400">
        <f t="shared" si="25"/>
        <v>1510</v>
      </c>
    </row>
    <row r="1421" spans="1:5">
      <c r="A1421" s="399">
        <v>41080</v>
      </c>
      <c r="B1421" s="393">
        <v>347075</v>
      </c>
      <c r="C1421" s="394">
        <v>1899</v>
      </c>
      <c r="D1421" s="397">
        <v>15100</v>
      </c>
      <c r="E1421" s="400">
        <f t="shared" si="25"/>
        <v>1510</v>
      </c>
    </row>
    <row r="1422" spans="1:5">
      <c r="A1422" s="399">
        <v>41081</v>
      </c>
      <c r="B1422" s="393">
        <v>347025</v>
      </c>
      <c r="C1422" s="394">
        <v>1842</v>
      </c>
      <c r="D1422" s="397">
        <v>15000</v>
      </c>
      <c r="E1422" s="400">
        <f t="shared" si="25"/>
        <v>1500</v>
      </c>
    </row>
    <row r="1423" spans="1:5">
      <c r="A1423" s="399">
        <v>41082</v>
      </c>
      <c r="B1423" s="393">
        <v>351000</v>
      </c>
      <c r="C1423" s="394">
        <v>1791.5</v>
      </c>
      <c r="D1423" s="397">
        <v>15000</v>
      </c>
      <c r="E1423" s="400">
        <f>D1423/10</f>
        <v>1500</v>
      </c>
    </row>
    <row r="1424" spans="1:5">
      <c r="A1424" s="399">
        <v>41085</v>
      </c>
      <c r="B1424" s="393">
        <v>351150</v>
      </c>
      <c r="C1424" s="394">
        <v>1792.5</v>
      </c>
      <c r="D1424" s="397">
        <v>14950</v>
      </c>
      <c r="E1424" s="400">
        <f t="shared" si="25"/>
        <v>1495</v>
      </c>
    </row>
    <row r="1425" spans="1:5">
      <c r="A1425" s="399">
        <v>41086</v>
      </c>
      <c r="B1425" s="393">
        <v>350775</v>
      </c>
      <c r="C1425" s="394">
        <v>1768</v>
      </c>
      <c r="D1425" s="397">
        <v>14875</v>
      </c>
      <c r="E1425" s="400">
        <f t="shared" si="25"/>
        <v>1487.5</v>
      </c>
    </row>
    <row r="1426" spans="1:5">
      <c r="A1426" s="399">
        <v>41087</v>
      </c>
      <c r="B1426" s="393">
        <v>351250</v>
      </c>
      <c r="C1426" s="394">
        <v>1744</v>
      </c>
      <c r="D1426" s="397">
        <v>14600</v>
      </c>
      <c r="E1426" s="400">
        <f t="shared" si="25"/>
        <v>1460</v>
      </c>
    </row>
    <row r="1427" spans="1:5">
      <c r="A1427" s="399">
        <v>41088</v>
      </c>
      <c r="B1427" s="393">
        <v>350725</v>
      </c>
      <c r="C1427" s="394">
        <v>1769</v>
      </c>
      <c r="D1427" s="397">
        <v>14550</v>
      </c>
      <c r="E1427" s="400">
        <f t="shared" si="25"/>
        <v>1455</v>
      </c>
    </row>
    <row r="1428" spans="1:5">
      <c r="A1428" s="399">
        <v>41089</v>
      </c>
      <c r="B1428" s="393">
        <v>350300</v>
      </c>
      <c r="C1428" s="394">
        <v>1796</v>
      </c>
      <c r="D1428" s="397">
        <v>14650</v>
      </c>
      <c r="E1428" s="400">
        <f t="shared" si="25"/>
        <v>1465</v>
      </c>
    </row>
    <row r="1429" spans="1:5">
      <c r="A1429" s="399">
        <v>41092</v>
      </c>
      <c r="B1429" s="393">
        <v>349725</v>
      </c>
      <c r="C1429" s="394">
        <v>1851.5</v>
      </c>
      <c r="D1429" s="397">
        <v>14775</v>
      </c>
      <c r="E1429" s="400">
        <f t="shared" si="25"/>
        <v>1477.5</v>
      </c>
    </row>
    <row r="1430" spans="1:5">
      <c r="A1430" s="399">
        <v>41093</v>
      </c>
      <c r="B1430" s="393">
        <v>349200</v>
      </c>
      <c r="C1430" s="394">
        <v>1900.5</v>
      </c>
      <c r="D1430" s="397">
        <v>14875</v>
      </c>
      <c r="E1430" s="400">
        <f t="shared" si="25"/>
        <v>1487.5</v>
      </c>
    </row>
    <row r="1431" spans="1:5">
      <c r="A1431" s="399">
        <v>41094</v>
      </c>
      <c r="B1431" s="393">
        <v>349250</v>
      </c>
      <c r="C1431" s="394">
        <v>1895.5</v>
      </c>
      <c r="D1431" s="397">
        <v>14950</v>
      </c>
      <c r="E1431" s="400">
        <f t="shared" si="25"/>
        <v>1495</v>
      </c>
    </row>
    <row r="1432" spans="1:5">
      <c r="A1432" s="399">
        <v>41095</v>
      </c>
      <c r="B1432" s="393">
        <v>348575</v>
      </c>
      <c r="C1432" s="394">
        <v>1901.5</v>
      </c>
      <c r="D1432" s="397">
        <v>15000</v>
      </c>
      <c r="E1432" s="400">
        <f t="shared" si="25"/>
        <v>1500</v>
      </c>
    </row>
    <row r="1433" spans="1:5">
      <c r="A1433" s="399">
        <v>41096</v>
      </c>
      <c r="B1433" s="393">
        <v>348475</v>
      </c>
      <c r="C1433" s="394">
        <v>1858</v>
      </c>
      <c r="D1433" s="397">
        <v>14950</v>
      </c>
      <c r="E1433" s="400">
        <f t="shared" si="25"/>
        <v>1495</v>
      </c>
    </row>
    <row r="1434" spans="1:5">
      <c r="A1434" s="399">
        <v>41099</v>
      </c>
      <c r="B1434" s="393">
        <v>347325</v>
      </c>
      <c r="C1434" s="394">
        <v>1839.5</v>
      </c>
      <c r="D1434" s="397">
        <v>14925</v>
      </c>
      <c r="E1434" s="400">
        <f t="shared" si="25"/>
        <v>1492.5</v>
      </c>
    </row>
    <row r="1435" spans="1:5">
      <c r="A1435" s="399">
        <v>41100</v>
      </c>
      <c r="B1435" s="393">
        <v>346825</v>
      </c>
      <c r="C1435" s="394">
        <v>1863</v>
      </c>
      <c r="D1435" s="397">
        <v>15000</v>
      </c>
      <c r="E1435" s="400">
        <f t="shared" si="25"/>
        <v>1500</v>
      </c>
    </row>
    <row r="1436" spans="1:5">
      <c r="A1436" s="399">
        <v>41101</v>
      </c>
      <c r="B1436" s="393">
        <v>346525</v>
      </c>
      <c r="C1436" s="394">
        <v>1861.5</v>
      </c>
      <c r="D1436" s="397">
        <v>14975</v>
      </c>
      <c r="E1436" s="400">
        <f t="shared" si="25"/>
        <v>1497.5</v>
      </c>
    </row>
    <row r="1437" spans="1:5">
      <c r="A1437" s="399">
        <v>41102</v>
      </c>
      <c r="B1437" s="393">
        <v>345750</v>
      </c>
      <c r="C1437" s="394">
        <v>1830</v>
      </c>
      <c r="D1437" s="397">
        <v>14975</v>
      </c>
      <c r="E1437" s="400">
        <f t="shared" si="25"/>
        <v>1497.5</v>
      </c>
    </row>
    <row r="1438" spans="1:5">
      <c r="A1438" s="399">
        <v>41103</v>
      </c>
      <c r="B1438" s="393">
        <v>344575</v>
      </c>
      <c r="C1438" s="394">
        <v>1874.5</v>
      </c>
      <c r="D1438" s="397">
        <v>15000</v>
      </c>
      <c r="E1438" s="400">
        <f t="shared" si="25"/>
        <v>1500</v>
      </c>
    </row>
    <row r="1439" spans="1:5">
      <c r="A1439" s="399">
        <v>41106</v>
      </c>
      <c r="B1439" s="393">
        <v>342975</v>
      </c>
      <c r="C1439" s="394">
        <v>1851</v>
      </c>
      <c r="D1439" s="397">
        <v>15050</v>
      </c>
      <c r="E1439" s="400">
        <f t="shared" si="25"/>
        <v>1505</v>
      </c>
    </row>
    <row r="1440" spans="1:5">
      <c r="A1440" s="399">
        <v>41107</v>
      </c>
      <c r="B1440" s="393">
        <v>343175</v>
      </c>
      <c r="C1440" s="394">
        <v>1889</v>
      </c>
      <c r="D1440" s="397">
        <v>15100</v>
      </c>
      <c r="E1440" s="400">
        <f t="shared" si="25"/>
        <v>1510</v>
      </c>
    </row>
    <row r="1441" spans="1:5">
      <c r="A1441" s="399">
        <v>41108</v>
      </c>
      <c r="B1441" s="393">
        <v>341650</v>
      </c>
      <c r="C1441" s="394">
        <v>1872.5</v>
      </c>
      <c r="D1441" s="397">
        <v>15100</v>
      </c>
      <c r="E1441" s="400">
        <f t="shared" si="25"/>
        <v>1510</v>
      </c>
    </row>
    <row r="1442" spans="1:5">
      <c r="A1442" s="399">
        <v>41109</v>
      </c>
      <c r="B1442" s="393">
        <v>339675</v>
      </c>
      <c r="C1442" s="394">
        <v>1920.5</v>
      </c>
      <c r="D1442" s="397">
        <v>15100</v>
      </c>
      <c r="E1442" s="400">
        <f t="shared" si="25"/>
        <v>1510</v>
      </c>
    </row>
    <row r="1443" spans="1:5">
      <c r="A1443" s="399">
        <v>41110</v>
      </c>
      <c r="B1443" s="393">
        <v>338325</v>
      </c>
      <c r="C1443" s="394">
        <v>1899</v>
      </c>
      <c r="D1443" s="397">
        <v>15100</v>
      </c>
      <c r="E1443" s="400">
        <f t="shared" si="25"/>
        <v>1510</v>
      </c>
    </row>
    <row r="1444" spans="1:5">
      <c r="A1444" s="399">
        <v>41113</v>
      </c>
      <c r="B1444" s="393">
        <v>336350</v>
      </c>
      <c r="C1444" s="394">
        <v>1850.5</v>
      </c>
      <c r="D1444" s="397">
        <v>15000</v>
      </c>
      <c r="E1444" s="400">
        <f t="shared" si="25"/>
        <v>1500</v>
      </c>
    </row>
    <row r="1445" spans="1:5">
      <c r="A1445" s="399">
        <v>41114</v>
      </c>
      <c r="B1445" s="393">
        <v>334850</v>
      </c>
      <c r="C1445" s="394">
        <v>1840.5</v>
      </c>
      <c r="D1445" s="397">
        <v>14950</v>
      </c>
      <c r="E1445" s="400">
        <f t="shared" si="25"/>
        <v>1495</v>
      </c>
    </row>
    <row r="1446" spans="1:5">
      <c r="A1446" s="399">
        <v>41115</v>
      </c>
      <c r="B1446" s="393">
        <v>332700</v>
      </c>
      <c r="C1446" s="394">
        <v>1849</v>
      </c>
      <c r="D1446" s="397">
        <v>14950</v>
      </c>
      <c r="E1446" s="400">
        <f t="shared" si="25"/>
        <v>1495</v>
      </c>
    </row>
    <row r="1447" spans="1:5">
      <c r="A1447" s="399">
        <v>41116</v>
      </c>
      <c r="B1447" s="393">
        <v>330750</v>
      </c>
      <c r="C1447" s="394">
        <v>1870</v>
      </c>
      <c r="D1447" s="397">
        <v>14950</v>
      </c>
      <c r="E1447" s="400">
        <f t="shared" si="25"/>
        <v>1495</v>
      </c>
    </row>
    <row r="1448" spans="1:5">
      <c r="A1448" s="399">
        <v>41117</v>
      </c>
      <c r="B1448" s="393">
        <v>328975</v>
      </c>
      <c r="C1448" s="394">
        <v>1907.5</v>
      </c>
      <c r="D1448" s="397">
        <v>15000</v>
      </c>
      <c r="E1448" s="400">
        <f t="shared" si="25"/>
        <v>1500</v>
      </c>
    </row>
    <row r="1449" spans="1:5">
      <c r="A1449" s="399">
        <v>41120</v>
      </c>
      <c r="B1449" s="393">
        <v>327900</v>
      </c>
      <c r="C1449" s="394">
        <v>1909</v>
      </c>
      <c r="D1449" s="397">
        <v>15050</v>
      </c>
      <c r="E1449" s="400">
        <f t="shared" si="25"/>
        <v>1505</v>
      </c>
    </row>
    <row r="1450" spans="1:5">
      <c r="A1450" s="399">
        <v>41121</v>
      </c>
      <c r="B1450" s="393">
        <v>326950</v>
      </c>
      <c r="C1450" s="394">
        <v>1946.5</v>
      </c>
      <c r="D1450" s="397">
        <v>15050</v>
      </c>
      <c r="E1450" s="400">
        <f t="shared" si="25"/>
        <v>1505</v>
      </c>
    </row>
    <row r="1451" spans="1:5">
      <c r="A1451" s="399">
        <v>41122</v>
      </c>
      <c r="B1451" s="393">
        <v>326775</v>
      </c>
      <c r="C1451" s="394">
        <v>1886.5</v>
      </c>
      <c r="D1451" s="397">
        <v>15050</v>
      </c>
      <c r="E1451" s="400">
        <f t="shared" si="25"/>
        <v>1505</v>
      </c>
    </row>
    <row r="1452" spans="1:5">
      <c r="A1452" s="399">
        <v>41123</v>
      </c>
      <c r="B1452" s="393">
        <v>328850</v>
      </c>
      <c r="C1452" s="394">
        <v>1868.5</v>
      </c>
      <c r="D1452" s="397">
        <v>15000</v>
      </c>
      <c r="E1452" s="400">
        <f t="shared" si="25"/>
        <v>1500</v>
      </c>
    </row>
    <row r="1453" spans="1:5">
      <c r="A1453" s="399">
        <v>41124</v>
      </c>
      <c r="B1453" s="393">
        <v>327100</v>
      </c>
      <c r="C1453" s="394">
        <v>1862</v>
      </c>
      <c r="D1453" s="397">
        <v>15300</v>
      </c>
      <c r="E1453" s="400">
        <f t="shared" si="25"/>
        <v>1530</v>
      </c>
    </row>
    <row r="1454" spans="1:5">
      <c r="A1454" s="399">
        <v>41127</v>
      </c>
      <c r="B1454" s="393">
        <v>326550</v>
      </c>
      <c r="C1454" s="394">
        <v>1868.5</v>
      </c>
      <c r="D1454" s="397">
        <v>15050</v>
      </c>
      <c r="E1454" s="400">
        <f t="shared" si="25"/>
        <v>1505</v>
      </c>
    </row>
    <row r="1455" spans="1:5">
      <c r="A1455" s="399">
        <v>41128</v>
      </c>
      <c r="B1455" s="393">
        <v>326025</v>
      </c>
      <c r="C1455" s="394">
        <v>1899</v>
      </c>
      <c r="D1455" s="397">
        <v>15050</v>
      </c>
      <c r="E1455" s="400">
        <f t="shared" si="25"/>
        <v>1505</v>
      </c>
    </row>
    <row r="1456" spans="1:5">
      <c r="A1456" s="399">
        <v>41129</v>
      </c>
      <c r="B1456" s="393">
        <v>324875</v>
      </c>
      <c r="C1456" s="394">
        <v>1896.5</v>
      </c>
      <c r="D1456" s="397">
        <v>15100</v>
      </c>
      <c r="E1456" s="400">
        <f t="shared" si="25"/>
        <v>1510</v>
      </c>
    </row>
    <row r="1457" spans="1:5">
      <c r="A1457" s="399">
        <v>41130</v>
      </c>
      <c r="B1457" s="393">
        <v>323800</v>
      </c>
      <c r="C1457" s="394">
        <v>1893</v>
      </c>
      <c r="D1457" s="397">
        <v>15100</v>
      </c>
      <c r="E1457" s="400">
        <f t="shared" si="25"/>
        <v>1510</v>
      </c>
    </row>
    <row r="1458" spans="1:5">
      <c r="A1458" s="399">
        <v>41131</v>
      </c>
      <c r="B1458" s="393">
        <v>325600</v>
      </c>
      <c r="C1458" s="394">
        <v>1889</v>
      </c>
      <c r="D1458" s="397">
        <v>15100</v>
      </c>
      <c r="E1458" s="400">
        <f t="shared" si="25"/>
        <v>1510</v>
      </c>
    </row>
    <row r="1459" spans="1:5">
      <c r="A1459" s="399">
        <v>41134</v>
      </c>
      <c r="B1459" s="393">
        <v>323450</v>
      </c>
      <c r="C1459" s="394">
        <v>1866</v>
      </c>
      <c r="D1459" s="397">
        <v>15100</v>
      </c>
      <c r="E1459" s="400">
        <f t="shared" si="25"/>
        <v>1510</v>
      </c>
    </row>
    <row r="1460" spans="1:5">
      <c r="A1460" s="399">
        <v>41135</v>
      </c>
      <c r="B1460" s="393">
        <v>322700</v>
      </c>
      <c r="C1460" s="394">
        <v>1862.5</v>
      </c>
      <c r="D1460" s="397">
        <v>15050</v>
      </c>
      <c r="E1460" s="400">
        <f t="shared" si="25"/>
        <v>1505</v>
      </c>
    </row>
    <row r="1461" spans="1:5">
      <c r="A1461" s="399">
        <v>41136</v>
      </c>
      <c r="B1461" s="393">
        <v>321125</v>
      </c>
      <c r="C1461" s="394">
        <v>1835</v>
      </c>
      <c r="D1461" s="397">
        <v>15000</v>
      </c>
      <c r="E1461" s="400">
        <f t="shared" si="25"/>
        <v>1500</v>
      </c>
    </row>
    <row r="1462" spans="1:5">
      <c r="A1462" s="399">
        <v>41137</v>
      </c>
      <c r="B1462" s="393">
        <v>320850</v>
      </c>
      <c r="C1462" s="394">
        <v>1816.5</v>
      </c>
      <c r="D1462" s="397">
        <v>14950</v>
      </c>
      <c r="E1462" s="400">
        <f t="shared" si="25"/>
        <v>1495</v>
      </c>
    </row>
    <row r="1463" spans="1:5">
      <c r="A1463" s="399">
        <v>41138</v>
      </c>
      <c r="B1463" s="393">
        <v>319200</v>
      </c>
      <c r="C1463" s="394">
        <v>1871</v>
      </c>
      <c r="D1463" s="397">
        <v>14950</v>
      </c>
      <c r="E1463" s="400">
        <f t="shared" si="25"/>
        <v>1495</v>
      </c>
    </row>
    <row r="1464" spans="1:5">
      <c r="A1464" s="399">
        <v>41141</v>
      </c>
      <c r="B1464" s="393">
        <v>317525</v>
      </c>
      <c r="C1464" s="394">
        <v>1871</v>
      </c>
      <c r="D1464" s="397">
        <v>14950</v>
      </c>
      <c r="E1464" s="400">
        <f t="shared" si="25"/>
        <v>1495</v>
      </c>
    </row>
    <row r="1465" spans="1:5">
      <c r="A1465" s="399">
        <v>41142</v>
      </c>
      <c r="B1465" s="393">
        <v>317250</v>
      </c>
      <c r="C1465" s="394">
        <v>1913</v>
      </c>
      <c r="D1465" s="397">
        <v>15000</v>
      </c>
      <c r="E1465" s="400">
        <f t="shared" si="25"/>
        <v>1500</v>
      </c>
    </row>
    <row r="1466" spans="1:5">
      <c r="A1466" s="399">
        <v>41143</v>
      </c>
      <c r="B1466" s="393">
        <v>316400</v>
      </c>
      <c r="C1466" s="394">
        <v>1905</v>
      </c>
      <c r="D1466" s="397">
        <v>15000</v>
      </c>
      <c r="E1466" s="400">
        <f t="shared" si="25"/>
        <v>1500</v>
      </c>
    </row>
    <row r="1467" spans="1:5">
      <c r="A1467" s="399">
        <v>41144</v>
      </c>
      <c r="B1467" s="393">
        <v>315800</v>
      </c>
      <c r="C1467" s="394">
        <v>1921.5</v>
      </c>
      <c r="D1467" s="397">
        <v>15050</v>
      </c>
      <c r="E1467" s="400">
        <f t="shared" si="25"/>
        <v>1505</v>
      </c>
    </row>
    <row r="1468" spans="1:5">
      <c r="A1468" s="399">
        <v>41145</v>
      </c>
      <c r="B1468" s="393">
        <v>315125</v>
      </c>
      <c r="C1468" s="394">
        <v>1942</v>
      </c>
      <c r="D1468" s="397">
        <v>15100</v>
      </c>
      <c r="E1468" s="400">
        <f t="shared" ref="E1468:E1528" si="26">D1468/10</f>
        <v>1510</v>
      </c>
    </row>
    <row r="1469" spans="1:5">
      <c r="A1469" s="399">
        <v>41148</v>
      </c>
      <c r="B1469" s="393">
        <v>315125</v>
      </c>
      <c r="C1469" s="394">
        <v>1942</v>
      </c>
      <c r="D1469" s="397">
        <v>15150</v>
      </c>
      <c r="E1469" s="400">
        <f t="shared" si="26"/>
        <v>1515</v>
      </c>
    </row>
    <row r="1470" spans="1:5">
      <c r="A1470" s="399">
        <v>41149</v>
      </c>
      <c r="B1470" s="393">
        <v>314200</v>
      </c>
      <c r="C1470" s="394">
        <v>1954.5</v>
      </c>
      <c r="D1470" s="397">
        <v>15100</v>
      </c>
      <c r="E1470" s="400">
        <f t="shared" si="26"/>
        <v>1510</v>
      </c>
    </row>
    <row r="1471" spans="1:5">
      <c r="A1471" s="399">
        <v>41150</v>
      </c>
      <c r="B1471" s="393">
        <v>312575</v>
      </c>
      <c r="C1471" s="394">
        <v>1959</v>
      </c>
      <c r="D1471" s="397">
        <v>15100</v>
      </c>
      <c r="E1471" s="400">
        <f t="shared" si="26"/>
        <v>1510</v>
      </c>
    </row>
    <row r="1472" spans="1:5">
      <c r="A1472" s="399">
        <v>41151</v>
      </c>
      <c r="B1472" s="393">
        <v>311475</v>
      </c>
      <c r="C1472" s="394">
        <v>1963</v>
      </c>
      <c r="D1472" s="397">
        <v>15100</v>
      </c>
      <c r="E1472" s="400">
        <f t="shared" si="26"/>
        <v>1510</v>
      </c>
    </row>
    <row r="1473" spans="1:5">
      <c r="A1473" s="399">
        <v>41152</v>
      </c>
      <c r="B1473" s="393">
        <v>310225</v>
      </c>
      <c r="C1473" s="394">
        <v>1963.5</v>
      </c>
      <c r="D1473" s="397">
        <v>15100</v>
      </c>
      <c r="E1473" s="400">
        <f t="shared" si="26"/>
        <v>1510</v>
      </c>
    </row>
    <row r="1474" spans="1:5">
      <c r="A1474" s="399">
        <v>41155</v>
      </c>
      <c r="B1474" s="393">
        <v>307875</v>
      </c>
      <c r="C1474" s="394">
        <v>1982</v>
      </c>
      <c r="D1474" s="397">
        <v>15150</v>
      </c>
      <c r="E1474" s="400">
        <f t="shared" si="26"/>
        <v>1515</v>
      </c>
    </row>
    <row r="1475" spans="1:5">
      <c r="A1475" s="399">
        <v>41156</v>
      </c>
      <c r="B1475" s="393">
        <v>305725</v>
      </c>
      <c r="C1475" s="394">
        <v>1999</v>
      </c>
      <c r="D1475" s="397">
        <v>15150</v>
      </c>
      <c r="E1475" s="400">
        <f t="shared" si="26"/>
        <v>1515</v>
      </c>
    </row>
    <row r="1476" spans="1:5">
      <c r="A1476" s="399">
        <v>41157</v>
      </c>
      <c r="B1476" s="393">
        <v>304475</v>
      </c>
      <c r="C1476" s="394">
        <v>1991.5</v>
      </c>
      <c r="D1476" s="397">
        <v>15150</v>
      </c>
      <c r="E1476" s="400">
        <f t="shared" si="26"/>
        <v>1515</v>
      </c>
    </row>
    <row r="1477" spans="1:5">
      <c r="A1477" s="399">
        <v>41158</v>
      </c>
      <c r="B1477" s="393">
        <v>304750</v>
      </c>
      <c r="C1477" s="394">
        <v>2036</v>
      </c>
      <c r="D1477" s="397">
        <v>15250</v>
      </c>
      <c r="E1477" s="400">
        <f t="shared" si="26"/>
        <v>1525</v>
      </c>
    </row>
    <row r="1478" spans="1:5">
      <c r="A1478" s="399">
        <v>41159</v>
      </c>
      <c r="B1478" s="393">
        <v>303450</v>
      </c>
      <c r="C1478" s="394">
        <v>2061.5</v>
      </c>
      <c r="D1478" s="397">
        <v>15300</v>
      </c>
      <c r="E1478" s="400">
        <f t="shared" si="26"/>
        <v>1530</v>
      </c>
    </row>
    <row r="1479" spans="1:5">
      <c r="A1479" s="399">
        <v>41162</v>
      </c>
      <c r="B1479" s="393">
        <v>303150</v>
      </c>
      <c r="C1479" s="394">
        <v>2117.5</v>
      </c>
      <c r="D1479" s="397">
        <v>15500</v>
      </c>
      <c r="E1479" s="400">
        <f t="shared" si="26"/>
        <v>1550</v>
      </c>
    </row>
    <row r="1480" spans="1:5">
      <c r="A1480" s="399">
        <v>41163</v>
      </c>
      <c r="B1480" s="393">
        <v>300650</v>
      </c>
      <c r="C1480" s="394">
        <v>2101.5</v>
      </c>
      <c r="D1480" s="397">
        <v>15500</v>
      </c>
      <c r="E1480" s="400">
        <f t="shared" si="26"/>
        <v>1550</v>
      </c>
    </row>
    <row r="1481" spans="1:5">
      <c r="A1481" s="399">
        <v>41164</v>
      </c>
      <c r="B1481" s="393">
        <v>298400</v>
      </c>
      <c r="C1481" s="394">
        <v>2120.5</v>
      </c>
      <c r="D1481" s="397">
        <v>15500</v>
      </c>
      <c r="E1481" s="400">
        <f t="shared" si="26"/>
        <v>1550</v>
      </c>
    </row>
    <row r="1482" spans="1:5">
      <c r="A1482" s="399">
        <v>41165</v>
      </c>
      <c r="B1482" s="393">
        <v>295825</v>
      </c>
      <c r="C1482" s="394">
        <v>2112.5</v>
      </c>
      <c r="D1482" s="397">
        <v>15550</v>
      </c>
      <c r="E1482" s="400">
        <f t="shared" si="26"/>
        <v>1555</v>
      </c>
    </row>
    <row r="1483" spans="1:5">
      <c r="A1483" s="399">
        <v>41166</v>
      </c>
      <c r="B1483" s="393">
        <v>293200</v>
      </c>
      <c r="C1483" s="394">
        <v>2243.5</v>
      </c>
      <c r="D1483" s="397">
        <v>15800</v>
      </c>
      <c r="E1483" s="400">
        <f t="shared" si="26"/>
        <v>1580</v>
      </c>
    </row>
    <row r="1484" spans="1:5">
      <c r="A1484" s="399">
        <v>41169</v>
      </c>
      <c r="B1484" s="393">
        <v>290900</v>
      </c>
      <c r="C1484" s="394">
        <v>2243</v>
      </c>
      <c r="D1484" s="397">
        <v>15800</v>
      </c>
      <c r="E1484" s="400">
        <f t="shared" si="26"/>
        <v>1580</v>
      </c>
    </row>
    <row r="1485" spans="1:5">
      <c r="A1485" s="399">
        <v>41170</v>
      </c>
      <c r="B1485" s="393">
        <v>288550</v>
      </c>
      <c r="C1485" s="394">
        <v>2235</v>
      </c>
      <c r="D1485" s="397">
        <v>15750</v>
      </c>
      <c r="E1485" s="400">
        <f t="shared" si="26"/>
        <v>1575</v>
      </c>
    </row>
    <row r="1486" spans="1:5">
      <c r="A1486" s="399">
        <v>41171</v>
      </c>
      <c r="B1486" s="393">
        <v>285950</v>
      </c>
      <c r="C1486" s="394">
        <v>2271.5</v>
      </c>
      <c r="D1486" s="397">
        <v>15750</v>
      </c>
      <c r="E1486" s="400">
        <f t="shared" si="26"/>
        <v>1575</v>
      </c>
    </row>
    <row r="1487" spans="1:5">
      <c r="A1487" s="399">
        <v>41172</v>
      </c>
      <c r="B1487" s="393">
        <v>283875</v>
      </c>
      <c r="C1487" s="394">
        <v>2229</v>
      </c>
      <c r="D1487" s="397">
        <v>15700</v>
      </c>
      <c r="E1487" s="400">
        <f t="shared" si="26"/>
        <v>1570</v>
      </c>
    </row>
    <row r="1488" spans="1:5">
      <c r="A1488" s="399">
        <v>41173</v>
      </c>
      <c r="B1488" s="393">
        <v>283625</v>
      </c>
      <c r="C1488" s="394">
        <v>2276.5</v>
      </c>
      <c r="D1488" s="397">
        <v>15750</v>
      </c>
      <c r="E1488" s="400">
        <f t="shared" si="26"/>
        <v>1575</v>
      </c>
    </row>
    <row r="1489" spans="1:5">
      <c r="A1489" s="399">
        <v>41176</v>
      </c>
      <c r="B1489" s="393">
        <v>281250</v>
      </c>
      <c r="C1489" s="394">
        <v>2241.5</v>
      </c>
      <c r="D1489" s="397">
        <v>15700</v>
      </c>
      <c r="E1489" s="400">
        <f t="shared" si="26"/>
        <v>1570</v>
      </c>
    </row>
    <row r="1490" spans="1:5">
      <c r="A1490" s="399">
        <v>41177</v>
      </c>
      <c r="B1490" s="393">
        <v>277600</v>
      </c>
      <c r="C1490" s="394">
        <v>2285</v>
      </c>
      <c r="D1490" s="397">
        <v>15700</v>
      </c>
      <c r="E1490" s="400">
        <f t="shared" si="26"/>
        <v>1570</v>
      </c>
    </row>
    <row r="1491" spans="1:5">
      <c r="A1491" s="399">
        <v>41178</v>
      </c>
      <c r="B1491" s="393">
        <v>274175</v>
      </c>
      <c r="C1491" s="394">
        <v>2273</v>
      </c>
      <c r="D1491" s="397">
        <v>15750</v>
      </c>
      <c r="E1491" s="400">
        <f t="shared" si="26"/>
        <v>1575</v>
      </c>
    </row>
    <row r="1492" spans="1:5">
      <c r="A1492" s="399">
        <v>41179</v>
      </c>
      <c r="B1492" s="393">
        <v>270650</v>
      </c>
      <c r="C1492" s="394">
        <v>2265.5</v>
      </c>
      <c r="D1492" s="397">
        <v>15700</v>
      </c>
      <c r="E1492" s="400">
        <f t="shared" si="26"/>
        <v>1570</v>
      </c>
    </row>
    <row r="1493" spans="1:5">
      <c r="A1493" s="399">
        <v>41180</v>
      </c>
      <c r="B1493" s="393">
        <v>267700</v>
      </c>
      <c r="C1493" s="394">
        <v>2300</v>
      </c>
      <c r="D1493" s="397">
        <v>15700</v>
      </c>
      <c r="E1493" s="400">
        <f t="shared" si="26"/>
        <v>1570</v>
      </c>
    </row>
    <row r="1494" spans="1:5">
      <c r="A1494" s="399">
        <v>41183</v>
      </c>
      <c r="B1494" s="393">
        <v>265075</v>
      </c>
      <c r="C1494" s="394">
        <v>2238.5</v>
      </c>
      <c r="D1494" s="397">
        <v>15700</v>
      </c>
      <c r="E1494" s="400">
        <f>D1494/10</f>
        <v>1570</v>
      </c>
    </row>
    <row r="1495" spans="1:5">
      <c r="A1495" s="399">
        <v>41184</v>
      </c>
      <c r="B1495" s="393">
        <v>261975</v>
      </c>
      <c r="C1495" s="394">
        <v>2315</v>
      </c>
      <c r="D1495" s="397">
        <v>15700</v>
      </c>
      <c r="E1495" s="400">
        <f>D1495/10</f>
        <v>1570</v>
      </c>
    </row>
    <row r="1496" spans="1:5">
      <c r="A1496" s="399">
        <v>41185</v>
      </c>
      <c r="B1496" s="393">
        <v>259900</v>
      </c>
      <c r="C1496" s="394">
        <v>2293.5</v>
      </c>
      <c r="D1496" s="397">
        <v>15700</v>
      </c>
      <c r="E1496" s="400">
        <f>D1496/10</f>
        <v>1570</v>
      </c>
    </row>
    <row r="1497" spans="1:5">
      <c r="A1497" s="399">
        <v>41186</v>
      </c>
      <c r="B1497" s="393">
        <v>257775</v>
      </c>
      <c r="C1497" s="394">
        <v>2308.5</v>
      </c>
      <c r="D1497" s="397">
        <v>15700</v>
      </c>
      <c r="E1497" s="400">
        <f>D1497/10</f>
        <v>1570</v>
      </c>
    </row>
    <row r="1498" spans="1:5">
      <c r="A1498" s="399">
        <v>41187</v>
      </c>
      <c r="B1498" s="393">
        <v>254575</v>
      </c>
      <c r="C1498" s="394">
        <v>2265</v>
      </c>
      <c r="D1498" s="397">
        <v>15700</v>
      </c>
      <c r="E1498" s="400">
        <f>D1498/10</f>
        <v>1570</v>
      </c>
    </row>
    <row r="1499" spans="1:5">
      <c r="A1499" s="399">
        <v>41190</v>
      </c>
      <c r="B1499" s="393">
        <v>251350</v>
      </c>
      <c r="C1499" s="394">
        <v>2243</v>
      </c>
      <c r="D1499" s="397">
        <v>15700</v>
      </c>
      <c r="E1499" s="400">
        <f t="shared" si="26"/>
        <v>1570</v>
      </c>
    </row>
    <row r="1500" spans="1:5">
      <c r="A1500" s="399">
        <v>41191</v>
      </c>
      <c r="B1500" s="393">
        <v>247850</v>
      </c>
      <c r="C1500" s="394">
        <v>2251</v>
      </c>
      <c r="D1500" s="397">
        <v>15700</v>
      </c>
      <c r="E1500" s="400">
        <f t="shared" si="26"/>
        <v>1570</v>
      </c>
    </row>
    <row r="1501" spans="1:5">
      <c r="A1501" s="399">
        <v>41192</v>
      </c>
      <c r="B1501" s="393">
        <v>265675</v>
      </c>
      <c r="C1501" s="394">
        <v>2215</v>
      </c>
      <c r="D1501" s="397">
        <v>15650</v>
      </c>
      <c r="E1501" s="400">
        <f t="shared" si="26"/>
        <v>1565</v>
      </c>
    </row>
    <row r="1502" spans="1:5">
      <c r="A1502" s="399">
        <v>41193</v>
      </c>
      <c r="B1502" s="393">
        <v>281175</v>
      </c>
      <c r="C1502" s="394">
        <v>2208</v>
      </c>
      <c r="D1502" s="397">
        <v>15600</v>
      </c>
      <c r="E1502" s="400">
        <f t="shared" si="26"/>
        <v>1560</v>
      </c>
    </row>
    <row r="1503" spans="1:5">
      <c r="A1503" s="399">
        <v>41194</v>
      </c>
      <c r="B1503" s="393">
        <v>296725</v>
      </c>
      <c r="C1503" s="394">
        <v>2169</v>
      </c>
      <c r="D1503" s="397">
        <v>15600</v>
      </c>
      <c r="E1503" s="400">
        <f t="shared" si="26"/>
        <v>1560</v>
      </c>
    </row>
    <row r="1504" spans="1:5">
      <c r="A1504" s="399">
        <v>41197</v>
      </c>
      <c r="B1504" s="393">
        <v>301700</v>
      </c>
      <c r="C1504" s="394">
        <v>2139</v>
      </c>
      <c r="D1504" s="397">
        <v>15550</v>
      </c>
      <c r="E1504" s="400">
        <f t="shared" si="26"/>
        <v>1555</v>
      </c>
    </row>
    <row r="1505" spans="1:5">
      <c r="A1505" s="399">
        <v>41198</v>
      </c>
      <c r="B1505" s="393">
        <v>300425</v>
      </c>
      <c r="C1505" s="394">
        <v>2128</v>
      </c>
      <c r="D1505" s="397">
        <v>15550</v>
      </c>
      <c r="E1505" s="400">
        <f t="shared" si="26"/>
        <v>1555</v>
      </c>
    </row>
    <row r="1506" spans="1:5">
      <c r="A1506" s="399">
        <v>41199</v>
      </c>
      <c r="B1506" s="393">
        <v>297250</v>
      </c>
      <c r="C1506" s="394">
        <v>2112</v>
      </c>
      <c r="D1506" s="397">
        <v>15500</v>
      </c>
      <c r="E1506" s="400">
        <f t="shared" si="26"/>
        <v>1550</v>
      </c>
    </row>
    <row r="1507" spans="1:5">
      <c r="A1507" s="399">
        <v>41200</v>
      </c>
      <c r="B1507" s="393">
        <v>295275</v>
      </c>
      <c r="C1507" s="394">
        <v>2167</v>
      </c>
      <c r="D1507" s="397">
        <v>15550</v>
      </c>
      <c r="E1507" s="400">
        <f t="shared" si="26"/>
        <v>1555</v>
      </c>
    </row>
    <row r="1508" spans="1:5">
      <c r="A1508" s="399">
        <v>41201</v>
      </c>
      <c r="B1508" s="393">
        <v>293675</v>
      </c>
      <c r="C1508" s="394">
        <v>2134.5</v>
      </c>
      <c r="D1508" s="397">
        <v>15450</v>
      </c>
      <c r="E1508" s="400">
        <f t="shared" si="26"/>
        <v>1545</v>
      </c>
    </row>
    <row r="1509" spans="1:5">
      <c r="A1509" s="399">
        <v>41204</v>
      </c>
      <c r="B1509" s="393">
        <v>300175</v>
      </c>
      <c r="C1509" s="394">
        <v>2093.5</v>
      </c>
      <c r="D1509" s="397">
        <v>15400</v>
      </c>
      <c r="E1509" s="400">
        <f t="shared" si="26"/>
        <v>1540</v>
      </c>
    </row>
    <row r="1510" spans="1:5">
      <c r="A1510" s="399">
        <v>41205</v>
      </c>
      <c r="B1510" s="393">
        <v>312550</v>
      </c>
      <c r="C1510" s="394">
        <v>2024</v>
      </c>
      <c r="D1510" s="397">
        <v>15350</v>
      </c>
      <c r="E1510" s="400">
        <f t="shared" si="26"/>
        <v>1535</v>
      </c>
    </row>
    <row r="1511" spans="1:5">
      <c r="A1511" s="399">
        <v>41206</v>
      </c>
      <c r="B1511" s="393">
        <v>310975</v>
      </c>
      <c r="C1511" s="394">
        <v>2020</v>
      </c>
      <c r="D1511" s="397">
        <v>15150</v>
      </c>
      <c r="E1511" s="400">
        <f t="shared" si="26"/>
        <v>1515</v>
      </c>
    </row>
    <row r="1512" spans="1:5">
      <c r="A1512" s="399">
        <v>41207</v>
      </c>
      <c r="B1512" s="393">
        <v>309875</v>
      </c>
      <c r="C1512" s="394">
        <v>2029.5</v>
      </c>
      <c r="D1512" s="397">
        <v>15150</v>
      </c>
      <c r="E1512" s="400">
        <f t="shared" si="26"/>
        <v>1515</v>
      </c>
    </row>
    <row r="1513" spans="1:5">
      <c r="A1513" s="399">
        <v>41208</v>
      </c>
      <c r="B1513" s="393">
        <v>310325</v>
      </c>
      <c r="C1513" s="394">
        <v>2002</v>
      </c>
      <c r="D1513" s="397">
        <v>15100</v>
      </c>
      <c r="E1513" s="400">
        <f t="shared" si="26"/>
        <v>1510</v>
      </c>
    </row>
    <row r="1514" spans="1:5">
      <c r="A1514" s="399">
        <v>41211</v>
      </c>
      <c r="B1514" s="393">
        <v>326675</v>
      </c>
      <c r="C1514" s="394">
        <v>2010</v>
      </c>
      <c r="D1514" s="397">
        <v>15000</v>
      </c>
      <c r="E1514" s="400">
        <f t="shared" si="26"/>
        <v>1500</v>
      </c>
    </row>
    <row r="1515" spans="1:5">
      <c r="A1515" s="399">
        <v>41212</v>
      </c>
      <c r="B1515" s="393">
        <v>324775</v>
      </c>
      <c r="C1515" s="394">
        <v>2064.5</v>
      </c>
      <c r="D1515" s="397">
        <v>14950</v>
      </c>
      <c r="E1515" s="400">
        <f t="shared" si="26"/>
        <v>1495</v>
      </c>
    </row>
    <row r="1516" spans="1:5">
      <c r="A1516" s="399">
        <v>41213</v>
      </c>
      <c r="B1516" s="393">
        <v>324025</v>
      </c>
      <c r="C1516" s="394">
        <v>2095.5</v>
      </c>
      <c r="D1516" s="397">
        <v>15000</v>
      </c>
      <c r="E1516" s="400">
        <f t="shared" si="26"/>
        <v>1500</v>
      </c>
    </row>
    <row r="1517" spans="1:5">
      <c r="A1517" s="399">
        <v>41214</v>
      </c>
      <c r="B1517" s="393">
        <v>322525</v>
      </c>
      <c r="C1517" s="394">
        <v>2123</v>
      </c>
      <c r="D1517" s="397">
        <v>15000</v>
      </c>
      <c r="E1517" s="400">
        <f t="shared" si="26"/>
        <v>1500</v>
      </c>
    </row>
    <row r="1518" spans="1:5">
      <c r="A1518" s="399">
        <v>41215</v>
      </c>
      <c r="B1518" s="393">
        <v>320700</v>
      </c>
      <c r="C1518" s="394">
        <v>2148</v>
      </c>
      <c r="D1518" s="397">
        <v>15050</v>
      </c>
      <c r="E1518" s="400">
        <f t="shared" si="26"/>
        <v>1505</v>
      </c>
    </row>
    <row r="1519" spans="1:5">
      <c r="A1519" s="399">
        <v>41218</v>
      </c>
      <c r="B1519" s="393">
        <v>319050</v>
      </c>
      <c r="C1519" s="394">
        <v>2096.5</v>
      </c>
      <c r="D1519" s="397">
        <v>14950</v>
      </c>
      <c r="E1519" s="400">
        <f t="shared" si="26"/>
        <v>1495</v>
      </c>
    </row>
    <row r="1520" spans="1:5">
      <c r="A1520" s="399">
        <v>41219</v>
      </c>
      <c r="B1520" s="393">
        <v>318525</v>
      </c>
      <c r="C1520" s="394">
        <v>2170</v>
      </c>
      <c r="D1520" s="397">
        <v>15000</v>
      </c>
      <c r="E1520" s="400">
        <f t="shared" si="26"/>
        <v>1500</v>
      </c>
    </row>
    <row r="1521" spans="1:5">
      <c r="A1521" s="399">
        <v>41220</v>
      </c>
      <c r="B1521" s="393">
        <v>317450</v>
      </c>
      <c r="C1521" s="394">
        <v>2203</v>
      </c>
      <c r="D1521" s="397">
        <v>15000</v>
      </c>
      <c r="E1521" s="400">
        <f t="shared" si="26"/>
        <v>1500</v>
      </c>
    </row>
    <row r="1522" spans="1:5">
      <c r="A1522" s="399">
        <v>41221</v>
      </c>
      <c r="B1522" s="393">
        <v>314775</v>
      </c>
      <c r="C1522" s="394">
        <v>2203</v>
      </c>
      <c r="D1522" s="397">
        <v>15000</v>
      </c>
      <c r="E1522" s="400">
        <f t="shared" si="26"/>
        <v>1500</v>
      </c>
    </row>
    <row r="1523" spans="1:5">
      <c r="A1523" s="399">
        <v>41222</v>
      </c>
      <c r="B1523" s="393">
        <v>334000</v>
      </c>
      <c r="C1523" s="394">
        <v>2180</v>
      </c>
      <c r="D1523" s="397">
        <v>15050</v>
      </c>
      <c r="E1523" s="400">
        <f t="shared" si="26"/>
        <v>1505</v>
      </c>
    </row>
    <row r="1524" spans="1:5">
      <c r="A1524" s="399">
        <v>41225</v>
      </c>
      <c r="B1524" s="393">
        <v>331025</v>
      </c>
      <c r="C1524" s="394">
        <v>2180</v>
      </c>
      <c r="D1524" s="397">
        <v>14850</v>
      </c>
      <c r="E1524" s="400">
        <f t="shared" si="26"/>
        <v>1485</v>
      </c>
    </row>
    <row r="1525" spans="1:5">
      <c r="A1525" s="399">
        <v>41226</v>
      </c>
      <c r="B1525" s="393">
        <v>327950</v>
      </c>
      <c r="C1525" s="394">
        <v>2163.5</v>
      </c>
      <c r="D1525" s="397">
        <v>14900</v>
      </c>
      <c r="E1525" s="400">
        <f t="shared" si="26"/>
        <v>1490</v>
      </c>
    </row>
    <row r="1526" spans="1:5">
      <c r="A1526" s="399">
        <v>41227</v>
      </c>
      <c r="B1526" s="393">
        <v>326875</v>
      </c>
      <c r="C1526" s="394">
        <v>2188</v>
      </c>
      <c r="D1526" s="397">
        <v>14900</v>
      </c>
      <c r="E1526" s="400">
        <f t="shared" si="26"/>
        <v>1490</v>
      </c>
    </row>
    <row r="1527" spans="1:5">
      <c r="A1527" s="399">
        <v>41228</v>
      </c>
      <c r="B1527" s="393">
        <v>323800</v>
      </c>
      <c r="C1527" s="394">
        <v>2188</v>
      </c>
      <c r="D1527" s="397">
        <v>14850</v>
      </c>
      <c r="E1527" s="400">
        <f t="shared" si="26"/>
        <v>1485</v>
      </c>
    </row>
    <row r="1528" spans="1:5">
      <c r="A1528" s="399">
        <v>41229</v>
      </c>
      <c r="B1528" s="393">
        <v>332250</v>
      </c>
      <c r="C1528" s="394">
        <v>2180</v>
      </c>
      <c r="D1528" s="397">
        <v>14900</v>
      </c>
      <c r="E1528" s="400">
        <f t="shared" si="26"/>
        <v>1490</v>
      </c>
    </row>
    <row r="1529" spans="1:5">
      <c r="A1529" s="399">
        <v>41232</v>
      </c>
      <c r="B1529" s="393">
        <v>339000</v>
      </c>
      <c r="C1529" s="394">
        <v>2174.5</v>
      </c>
      <c r="D1529" s="397">
        <v>14900</v>
      </c>
      <c r="E1529" s="400">
        <f t="shared" ref="E1529:E1586" si="27">D1529/10</f>
        <v>1490</v>
      </c>
    </row>
    <row r="1530" spans="1:5">
      <c r="A1530" s="399">
        <v>41233</v>
      </c>
      <c r="B1530" s="393">
        <v>336425</v>
      </c>
      <c r="C1530" s="394">
        <v>2187</v>
      </c>
      <c r="D1530" s="397">
        <v>14850</v>
      </c>
      <c r="E1530" s="400">
        <f t="shared" si="27"/>
        <v>1485</v>
      </c>
    </row>
    <row r="1531" spans="1:5">
      <c r="A1531" s="399">
        <v>41234</v>
      </c>
      <c r="B1531" s="393">
        <v>361625</v>
      </c>
      <c r="C1531" s="394">
        <v>2147</v>
      </c>
      <c r="D1531" s="397">
        <v>14800</v>
      </c>
      <c r="E1531" s="400">
        <f t="shared" si="27"/>
        <v>1480</v>
      </c>
    </row>
    <row r="1532" spans="1:5">
      <c r="A1532" s="399">
        <v>41235</v>
      </c>
      <c r="B1532" s="393">
        <v>361625</v>
      </c>
      <c r="C1532" s="394">
        <v>2166</v>
      </c>
      <c r="D1532" s="397">
        <v>14800</v>
      </c>
      <c r="E1532" s="400">
        <f t="shared" si="27"/>
        <v>1480</v>
      </c>
    </row>
    <row r="1533" spans="1:5">
      <c r="A1533" s="399">
        <v>41236</v>
      </c>
      <c r="B1533" s="393">
        <v>361525</v>
      </c>
      <c r="C1533" s="394">
        <v>2170</v>
      </c>
      <c r="D1533" s="397">
        <v>14750</v>
      </c>
      <c r="E1533" s="400">
        <f t="shared" si="27"/>
        <v>1475</v>
      </c>
    </row>
    <row r="1534" spans="1:5">
      <c r="A1534" s="399">
        <v>41239</v>
      </c>
      <c r="B1534" s="393">
        <v>361475</v>
      </c>
      <c r="C1534" s="394">
        <v>2201</v>
      </c>
      <c r="D1534" s="397">
        <v>14850</v>
      </c>
      <c r="E1534" s="400">
        <f t="shared" si="27"/>
        <v>1485</v>
      </c>
    </row>
    <row r="1535" spans="1:5">
      <c r="A1535" s="399">
        <v>41240</v>
      </c>
      <c r="B1535" s="393">
        <v>361475</v>
      </c>
      <c r="C1535" s="394">
        <v>2198.5</v>
      </c>
      <c r="D1535" s="397">
        <v>14800</v>
      </c>
      <c r="E1535" s="400">
        <f t="shared" si="27"/>
        <v>1480</v>
      </c>
    </row>
    <row r="1536" spans="1:5">
      <c r="A1536" s="399">
        <v>41241</v>
      </c>
      <c r="B1536" s="393">
        <v>361475</v>
      </c>
      <c r="C1536" s="394">
        <v>2188</v>
      </c>
      <c r="D1536" s="397">
        <v>14800</v>
      </c>
      <c r="E1536" s="400">
        <f t="shared" si="27"/>
        <v>1480</v>
      </c>
    </row>
    <row r="1537" spans="1:5">
      <c r="A1537" s="399">
        <v>41242</v>
      </c>
      <c r="B1537" s="393">
        <v>362350</v>
      </c>
      <c r="C1537" s="394">
        <v>2239</v>
      </c>
      <c r="D1537" s="397">
        <v>14800</v>
      </c>
      <c r="E1537" s="400">
        <f t="shared" si="27"/>
        <v>1480</v>
      </c>
    </row>
    <row r="1538" spans="1:5">
      <c r="A1538" s="399">
        <v>41243</v>
      </c>
      <c r="B1538" s="393">
        <v>362275</v>
      </c>
      <c r="C1538" s="394">
        <v>2254.5</v>
      </c>
      <c r="D1538" s="397">
        <v>14800</v>
      </c>
      <c r="E1538" s="400">
        <f t="shared" si="27"/>
        <v>1480</v>
      </c>
    </row>
    <row r="1539" spans="1:5">
      <c r="A1539" s="399">
        <v>41246</v>
      </c>
      <c r="B1539" s="393">
        <v>362275</v>
      </c>
      <c r="C1539" s="394">
        <v>2244</v>
      </c>
      <c r="D1539" s="397">
        <v>14800</v>
      </c>
      <c r="E1539" s="400">
        <f t="shared" si="27"/>
        <v>1480</v>
      </c>
    </row>
    <row r="1540" spans="1:5">
      <c r="A1540" s="399">
        <v>41247</v>
      </c>
      <c r="B1540" s="393">
        <v>362275</v>
      </c>
      <c r="C1540" s="394">
        <v>2230</v>
      </c>
      <c r="D1540" s="397">
        <v>14750</v>
      </c>
      <c r="E1540" s="400">
        <f t="shared" si="27"/>
        <v>1475</v>
      </c>
    </row>
    <row r="1541" spans="1:5">
      <c r="A1541" s="399">
        <v>41248</v>
      </c>
      <c r="B1541" s="393">
        <v>361525</v>
      </c>
      <c r="C1541" s="394">
        <v>2232</v>
      </c>
      <c r="D1541" s="397">
        <v>14750</v>
      </c>
      <c r="E1541" s="400">
        <f t="shared" si="27"/>
        <v>1475</v>
      </c>
    </row>
    <row r="1542" spans="1:5">
      <c r="A1542" s="399">
        <v>41249</v>
      </c>
      <c r="B1542" s="393">
        <v>359525</v>
      </c>
      <c r="C1542" s="394">
        <v>2224</v>
      </c>
      <c r="D1542" s="397">
        <v>14700</v>
      </c>
      <c r="E1542" s="400">
        <f t="shared" si="27"/>
        <v>1470</v>
      </c>
    </row>
    <row r="1543" spans="1:5">
      <c r="A1543" s="399">
        <v>41250</v>
      </c>
      <c r="B1543" s="393">
        <v>356925</v>
      </c>
      <c r="C1543" s="394">
        <v>2179</v>
      </c>
      <c r="D1543" s="397">
        <v>14700</v>
      </c>
      <c r="E1543" s="400">
        <f t="shared" si="27"/>
        <v>1470</v>
      </c>
    </row>
    <row r="1544" spans="1:5">
      <c r="A1544" s="399">
        <v>41253</v>
      </c>
      <c r="B1544" s="393">
        <v>354925</v>
      </c>
      <c r="C1544" s="394">
        <v>2258</v>
      </c>
      <c r="D1544" s="397">
        <v>14700</v>
      </c>
      <c r="E1544" s="400">
        <f t="shared" si="27"/>
        <v>1470</v>
      </c>
    </row>
    <row r="1545" spans="1:5">
      <c r="A1545" s="399">
        <v>41254</v>
      </c>
      <c r="B1545" s="393">
        <v>352900</v>
      </c>
      <c r="C1545" s="394">
        <v>2279</v>
      </c>
      <c r="D1545" s="397">
        <v>14700</v>
      </c>
      <c r="E1545" s="400">
        <f t="shared" si="27"/>
        <v>1470</v>
      </c>
    </row>
    <row r="1546" spans="1:5">
      <c r="A1546" s="399">
        <v>41255</v>
      </c>
      <c r="B1546" s="393">
        <v>350925</v>
      </c>
      <c r="C1546" s="394">
        <v>2287</v>
      </c>
      <c r="D1546" s="397">
        <v>14700</v>
      </c>
      <c r="E1546" s="400">
        <f t="shared" si="27"/>
        <v>1470</v>
      </c>
    </row>
    <row r="1547" spans="1:5">
      <c r="A1547" s="399">
        <v>41256</v>
      </c>
      <c r="B1547" s="393">
        <v>348925</v>
      </c>
      <c r="C1547" s="394">
        <v>2279</v>
      </c>
      <c r="D1547" s="397">
        <v>14700</v>
      </c>
      <c r="E1547" s="400">
        <f t="shared" si="27"/>
        <v>1470</v>
      </c>
    </row>
    <row r="1548" spans="1:5">
      <c r="A1548" s="399">
        <v>41257</v>
      </c>
      <c r="B1548" s="393">
        <v>346925</v>
      </c>
      <c r="C1548" s="394">
        <v>2293</v>
      </c>
      <c r="D1548" s="397">
        <v>14700</v>
      </c>
      <c r="E1548" s="400">
        <f t="shared" si="27"/>
        <v>1470</v>
      </c>
    </row>
    <row r="1549" spans="1:5">
      <c r="A1549" s="399">
        <v>41260</v>
      </c>
      <c r="B1549" s="393">
        <v>342650</v>
      </c>
      <c r="C1549" s="394">
        <v>2270</v>
      </c>
      <c r="D1549" s="397">
        <v>14700</v>
      </c>
      <c r="E1549" s="400">
        <f t="shared" si="27"/>
        <v>1470</v>
      </c>
    </row>
    <row r="1550" spans="1:5">
      <c r="A1550" s="399">
        <v>41261</v>
      </c>
      <c r="B1550" s="393">
        <v>338150</v>
      </c>
      <c r="C1550" s="394">
        <v>2292.5</v>
      </c>
      <c r="D1550" s="397">
        <v>14750</v>
      </c>
      <c r="E1550" s="400">
        <f t="shared" si="27"/>
        <v>1475</v>
      </c>
    </row>
    <row r="1551" spans="1:5">
      <c r="A1551" s="399">
        <v>41262</v>
      </c>
      <c r="B1551" s="393">
        <v>335750</v>
      </c>
      <c r="C1551" s="394">
        <v>2311</v>
      </c>
      <c r="D1551" s="397">
        <v>14750</v>
      </c>
      <c r="E1551" s="400">
        <f t="shared" si="27"/>
        <v>1475</v>
      </c>
    </row>
    <row r="1552" spans="1:5">
      <c r="A1552" s="399">
        <v>41263</v>
      </c>
      <c r="B1552" s="393">
        <v>333500</v>
      </c>
      <c r="C1552" s="394">
        <v>2312</v>
      </c>
      <c r="D1552" s="397">
        <v>14750</v>
      </c>
      <c r="E1552" s="400">
        <f t="shared" si="27"/>
        <v>1475</v>
      </c>
    </row>
    <row r="1553" spans="1:5">
      <c r="A1553" s="399">
        <v>41264</v>
      </c>
      <c r="B1553" s="393">
        <v>330550</v>
      </c>
      <c r="C1553" s="394">
        <v>2276</v>
      </c>
      <c r="D1553" s="397">
        <v>14750</v>
      </c>
      <c r="E1553" s="400">
        <f t="shared" si="27"/>
        <v>1475</v>
      </c>
    </row>
    <row r="1554" spans="1:5">
      <c r="A1554" s="399">
        <v>41267</v>
      </c>
      <c r="B1554" s="393">
        <v>329150</v>
      </c>
      <c r="C1554" s="394">
        <v>2299</v>
      </c>
      <c r="D1554" s="397">
        <v>14700</v>
      </c>
      <c r="E1554" s="400">
        <f t="shared" si="27"/>
        <v>1470</v>
      </c>
    </row>
    <row r="1555" spans="1:5">
      <c r="A1555" s="399">
        <v>41268</v>
      </c>
      <c r="B1555" s="393">
        <v>329150</v>
      </c>
      <c r="C1555" s="394">
        <v>2299</v>
      </c>
      <c r="D1555" s="397">
        <v>14700</v>
      </c>
      <c r="E1555" s="400">
        <f t="shared" si="27"/>
        <v>1470</v>
      </c>
    </row>
    <row r="1556" spans="1:5">
      <c r="A1556" s="399">
        <v>41269</v>
      </c>
      <c r="B1556" s="393">
        <v>329150</v>
      </c>
      <c r="C1556" s="394">
        <v>2299</v>
      </c>
      <c r="D1556" s="397">
        <v>14700</v>
      </c>
      <c r="E1556" s="400">
        <f t="shared" si="27"/>
        <v>1470</v>
      </c>
    </row>
    <row r="1557" spans="1:5">
      <c r="A1557" s="399">
        <v>41270</v>
      </c>
      <c r="B1557" s="393">
        <v>327650</v>
      </c>
      <c r="C1557" s="394">
        <v>2311</v>
      </c>
      <c r="D1557" s="397">
        <v>14700</v>
      </c>
      <c r="E1557" s="400">
        <f t="shared" si="27"/>
        <v>1470</v>
      </c>
    </row>
    <row r="1558" spans="1:5">
      <c r="A1558" s="399">
        <v>41271</v>
      </c>
      <c r="B1558" s="393">
        <v>323400</v>
      </c>
      <c r="C1558" s="394">
        <v>2318</v>
      </c>
      <c r="D1558" s="397">
        <v>14750</v>
      </c>
      <c r="E1558" s="400">
        <f t="shared" si="27"/>
        <v>1475</v>
      </c>
    </row>
    <row r="1559" spans="1:5">
      <c r="A1559" s="399">
        <v>41274</v>
      </c>
      <c r="B1559" s="393">
        <v>320325</v>
      </c>
      <c r="C1559" s="394">
        <v>2340</v>
      </c>
      <c r="D1559" s="397">
        <v>14750</v>
      </c>
      <c r="E1559" s="400">
        <f t="shared" si="27"/>
        <v>1475</v>
      </c>
    </row>
    <row r="1560" spans="1:5">
      <c r="A1560" s="399">
        <v>41275</v>
      </c>
      <c r="B1560" s="393">
        <v>320325</v>
      </c>
      <c r="C1560" s="394">
        <v>2340</v>
      </c>
      <c r="D1560" s="397">
        <v>14750</v>
      </c>
      <c r="E1560" s="400">
        <f>D1560/10</f>
        <v>1475</v>
      </c>
    </row>
    <row r="1561" spans="1:5">
      <c r="A1561" s="399">
        <v>41276</v>
      </c>
      <c r="B1561" s="393">
        <v>317700</v>
      </c>
      <c r="C1561" s="394">
        <v>2385</v>
      </c>
      <c r="D1561" s="397">
        <v>14750</v>
      </c>
      <c r="E1561" s="400">
        <f>D1561/10</f>
        <v>1475</v>
      </c>
    </row>
    <row r="1562" spans="1:5">
      <c r="A1562" s="399">
        <v>41277</v>
      </c>
      <c r="B1562" s="393">
        <v>314550</v>
      </c>
      <c r="C1562" s="394">
        <v>2412.5</v>
      </c>
      <c r="D1562" s="397">
        <v>14750</v>
      </c>
      <c r="E1562" s="400">
        <f>D1562/10</f>
        <v>1475</v>
      </c>
    </row>
    <row r="1563" spans="1:5">
      <c r="A1563" s="399">
        <v>41278</v>
      </c>
      <c r="B1563" s="393">
        <v>312625</v>
      </c>
      <c r="C1563" s="394">
        <v>2343</v>
      </c>
      <c r="D1563" s="397">
        <v>14750</v>
      </c>
      <c r="E1563" s="400">
        <f t="shared" si="27"/>
        <v>1475</v>
      </c>
    </row>
    <row r="1564" spans="1:5">
      <c r="A1564" s="399">
        <v>41283</v>
      </c>
      <c r="B1564" s="393">
        <v>329050</v>
      </c>
      <c r="C1564" s="394">
        <v>2323.5</v>
      </c>
      <c r="D1564" s="397">
        <v>14750</v>
      </c>
      <c r="E1564" s="400">
        <f t="shared" si="27"/>
        <v>1475</v>
      </c>
    </row>
    <row r="1565" spans="1:5">
      <c r="A1565" s="399">
        <v>41284</v>
      </c>
      <c r="B1565" s="393">
        <v>304650</v>
      </c>
      <c r="C1565" s="394">
        <v>2332</v>
      </c>
      <c r="D1565" s="397">
        <v>14750</v>
      </c>
      <c r="E1565" s="400">
        <f t="shared" si="27"/>
        <v>1475</v>
      </c>
    </row>
    <row r="1566" spans="1:5">
      <c r="A1566" s="399">
        <v>41285</v>
      </c>
      <c r="B1566" s="393">
        <v>303075</v>
      </c>
      <c r="C1566" s="394">
        <v>2323</v>
      </c>
      <c r="D1566" s="397">
        <v>14750</v>
      </c>
      <c r="E1566" s="400">
        <f t="shared" si="27"/>
        <v>1475</v>
      </c>
    </row>
    <row r="1567" spans="1:5">
      <c r="A1567" s="399">
        <v>41288</v>
      </c>
      <c r="B1567" s="393">
        <v>301525</v>
      </c>
      <c r="C1567" s="394">
        <v>2305</v>
      </c>
      <c r="D1567" s="397">
        <v>14700</v>
      </c>
      <c r="E1567" s="400">
        <f t="shared" si="27"/>
        <v>1470</v>
      </c>
    </row>
    <row r="1568" spans="1:5">
      <c r="A1568" s="399">
        <v>41289</v>
      </c>
      <c r="B1568" s="393">
        <v>301525</v>
      </c>
      <c r="C1568" s="394">
        <v>2257.5</v>
      </c>
      <c r="D1568" s="397">
        <v>14700</v>
      </c>
      <c r="E1568" s="400">
        <f t="shared" si="27"/>
        <v>1470</v>
      </c>
    </row>
    <row r="1569" spans="1:5">
      <c r="A1569" s="399">
        <v>41290</v>
      </c>
      <c r="B1569" s="393">
        <v>298425</v>
      </c>
      <c r="C1569" s="394">
        <v>2254.5</v>
      </c>
      <c r="D1569" s="397">
        <v>14700</v>
      </c>
      <c r="E1569" s="400">
        <f t="shared" si="27"/>
        <v>1470</v>
      </c>
    </row>
    <row r="1570" spans="1:5">
      <c r="A1570" s="399">
        <v>41291</v>
      </c>
      <c r="B1570" s="393">
        <v>295450</v>
      </c>
      <c r="C1570" s="394">
        <v>2270</v>
      </c>
      <c r="D1570" s="397">
        <v>14700</v>
      </c>
      <c r="E1570" s="400">
        <f t="shared" si="27"/>
        <v>1470</v>
      </c>
    </row>
    <row r="1571" spans="1:5">
      <c r="A1571" s="399">
        <v>41292</v>
      </c>
      <c r="B1571" s="393">
        <v>296050</v>
      </c>
      <c r="C1571" s="394">
        <v>2320</v>
      </c>
      <c r="D1571" s="397">
        <v>14750</v>
      </c>
      <c r="E1571" s="400">
        <f t="shared" si="27"/>
        <v>1475</v>
      </c>
    </row>
    <row r="1572" spans="1:5">
      <c r="A1572" s="399">
        <v>41295</v>
      </c>
      <c r="B1572" s="393">
        <v>294500</v>
      </c>
      <c r="C1572" s="394">
        <v>2296</v>
      </c>
      <c r="D1572" s="397">
        <v>14750</v>
      </c>
      <c r="E1572" s="400">
        <f t="shared" si="27"/>
        <v>1475</v>
      </c>
    </row>
    <row r="1573" spans="1:5">
      <c r="A1573" s="399">
        <v>41296</v>
      </c>
      <c r="B1573" s="393">
        <v>294000</v>
      </c>
      <c r="C1573" s="394">
        <v>2315.5</v>
      </c>
      <c r="D1573" s="397">
        <v>14750</v>
      </c>
      <c r="E1573" s="400">
        <f t="shared" si="27"/>
        <v>1475</v>
      </c>
    </row>
    <row r="1574" spans="1:5">
      <c r="A1574" s="399">
        <v>41297</v>
      </c>
      <c r="B1574" s="393">
        <v>293950</v>
      </c>
      <c r="C1574" s="394">
        <v>2372.5</v>
      </c>
      <c r="D1574" s="397">
        <v>14750</v>
      </c>
      <c r="E1574" s="400">
        <f t="shared" si="27"/>
        <v>1475</v>
      </c>
    </row>
    <row r="1575" spans="1:5">
      <c r="A1575" s="399">
        <v>41298</v>
      </c>
      <c r="B1575" s="393">
        <v>293875</v>
      </c>
      <c r="C1575" s="394">
        <v>2369</v>
      </c>
      <c r="D1575" s="397">
        <v>14750</v>
      </c>
      <c r="E1575" s="400">
        <f t="shared" si="27"/>
        <v>1475</v>
      </c>
    </row>
    <row r="1576" spans="1:5">
      <c r="A1576" s="399">
        <v>41299</v>
      </c>
      <c r="B1576" s="393">
        <v>293800</v>
      </c>
      <c r="C1576" s="394">
        <v>2399.5</v>
      </c>
      <c r="D1576" s="397">
        <v>14800</v>
      </c>
      <c r="E1576" s="400">
        <f t="shared" si="27"/>
        <v>1480</v>
      </c>
    </row>
    <row r="1577" spans="1:5">
      <c r="A1577" s="399">
        <v>41302</v>
      </c>
      <c r="B1577" s="393">
        <v>293725</v>
      </c>
      <c r="C1577" s="394">
        <v>2367</v>
      </c>
      <c r="D1577" s="397">
        <v>14800</v>
      </c>
      <c r="E1577" s="400">
        <f t="shared" si="27"/>
        <v>1480</v>
      </c>
    </row>
    <row r="1578" spans="1:5">
      <c r="A1578" s="399">
        <v>41303</v>
      </c>
      <c r="B1578" s="393">
        <v>292650</v>
      </c>
      <c r="C1578" s="394">
        <v>2378</v>
      </c>
      <c r="D1578" s="397">
        <v>14800</v>
      </c>
      <c r="E1578" s="400">
        <f t="shared" si="27"/>
        <v>1480</v>
      </c>
    </row>
    <row r="1579" spans="1:5">
      <c r="A1579" s="399">
        <v>41304</v>
      </c>
      <c r="B1579" s="393">
        <v>292600</v>
      </c>
      <c r="C1579" s="394">
        <v>2438.5</v>
      </c>
      <c r="D1579" s="397">
        <v>14800</v>
      </c>
      <c r="E1579" s="400">
        <f t="shared" si="27"/>
        <v>1480</v>
      </c>
    </row>
    <row r="1580" spans="1:5">
      <c r="A1580" s="399">
        <v>41305</v>
      </c>
      <c r="B1580" s="393">
        <v>290850</v>
      </c>
      <c r="C1580" s="394">
        <v>2438</v>
      </c>
      <c r="D1580" s="397">
        <v>14800</v>
      </c>
      <c r="E1580" s="400">
        <f t="shared" si="27"/>
        <v>1480</v>
      </c>
    </row>
    <row r="1581" spans="1:5">
      <c r="A1581" s="399">
        <v>41306</v>
      </c>
      <c r="B1581" s="393">
        <v>290125</v>
      </c>
      <c r="C1581" s="394">
        <v>2426</v>
      </c>
      <c r="D1581" s="397">
        <v>14850</v>
      </c>
      <c r="E1581" s="400">
        <f t="shared" si="27"/>
        <v>1485</v>
      </c>
    </row>
    <row r="1582" spans="1:5">
      <c r="A1582" s="399">
        <v>41309</v>
      </c>
      <c r="B1582" s="393">
        <v>290075</v>
      </c>
      <c r="C1582" s="394">
        <v>2443</v>
      </c>
      <c r="D1582" s="397">
        <v>14950</v>
      </c>
      <c r="E1582" s="400">
        <f t="shared" si="27"/>
        <v>1495</v>
      </c>
    </row>
    <row r="1583" spans="1:5">
      <c r="A1583" s="399">
        <v>41310</v>
      </c>
      <c r="B1583" s="393">
        <v>290000</v>
      </c>
      <c r="C1583" s="394">
        <v>2448</v>
      </c>
      <c r="D1583" s="397">
        <v>14900</v>
      </c>
      <c r="E1583" s="400">
        <f t="shared" si="27"/>
        <v>1490</v>
      </c>
    </row>
    <row r="1584" spans="1:5">
      <c r="A1584" s="399">
        <v>41311</v>
      </c>
      <c r="B1584" s="393">
        <v>289900</v>
      </c>
      <c r="C1584" s="394">
        <v>2424.5</v>
      </c>
      <c r="D1584" s="397">
        <v>14900</v>
      </c>
      <c r="E1584" s="400">
        <f t="shared" si="27"/>
        <v>1490</v>
      </c>
    </row>
    <row r="1585" spans="1:5">
      <c r="A1585" s="399">
        <v>41312</v>
      </c>
      <c r="B1585" s="393">
        <v>287500</v>
      </c>
      <c r="C1585" s="394">
        <v>2406.5</v>
      </c>
      <c r="D1585" s="397">
        <v>14800</v>
      </c>
      <c r="E1585" s="400">
        <f t="shared" si="27"/>
        <v>1480</v>
      </c>
    </row>
    <row r="1586" spans="1:5">
      <c r="A1586" s="399">
        <v>41313</v>
      </c>
      <c r="B1586" s="393">
        <v>288100</v>
      </c>
      <c r="C1586" s="394">
        <v>2409</v>
      </c>
      <c r="D1586" s="397">
        <v>14850</v>
      </c>
      <c r="E1586" s="400">
        <f t="shared" si="27"/>
        <v>1485</v>
      </c>
    </row>
    <row r="1587" spans="1:5">
      <c r="A1587" s="399">
        <v>41316</v>
      </c>
      <c r="B1587" s="393">
        <v>288000</v>
      </c>
      <c r="C1587" s="394">
        <v>2409</v>
      </c>
      <c r="D1587" s="397">
        <v>14850</v>
      </c>
      <c r="E1587" s="400">
        <f>D1587/10</f>
        <v>1485</v>
      </c>
    </row>
    <row r="1588" spans="1:5">
      <c r="A1588" s="399">
        <v>41317</v>
      </c>
      <c r="B1588" s="393">
        <v>287625</v>
      </c>
      <c r="C1588" s="394">
        <v>2375.5</v>
      </c>
      <c r="D1588" s="397">
        <v>14850</v>
      </c>
      <c r="E1588" s="400">
        <f>D1588/10</f>
        <v>1485</v>
      </c>
    </row>
    <row r="1589" spans="1:5">
      <c r="A1589" s="399">
        <v>41318</v>
      </c>
      <c r="B1589" s="393">
        <v>287350</v>
      </c>
      <c r="C1589" s="394">
        <v>2423</v>
      </c>
      <c r="D1589" s="397">
        <v>14850</v>
      </c>
      <c r="E1589" s="400">
        <f>D1589/10</f>
        <v>1485</v>
      </c>
    </row>
    <row r="1590" spans="1:5">
      <c r="A1590" s="399">
        <v>41319</v>
      </c>
      <c r="B1590" s="393">
        <v>287075</v>
      </c>
      <c r="C1590" s="394">
        <v>2401</v>
      </c>
      <c r="D1590" s="397">
        <v>14850</v>
      </c>
      <c r="E1590" s="400">
        <f>D1590/10</f>
        <v>1485</v>
      </c>
    </row>
    <row r="1591" spans="1:5">
      <c r="A1591" s="399">
        <v>41320</v>
      </c>
      <c r="B1591" s="393">
        <v>287150</v>
      </c>
      <c r="C1591" s="394">
        <v>2404</v>
      </c>
      <c r="D1591" s="397">
        <v>14850</v>
      </c>
      <c r="E1591" s="400">
        <f>D1591/10</f>
        <v>1485</v>
      </c>
    </row>
    <row r="1592" spans="1:5">
      <c r="A1592" s="399">
        <v>41323</v>
      </c>
      <c r="B1592" s="393">
        <v>288425</v>
      </c>
      <c r="C1592" s="394">
        <v>2395.5</v>
      </c>
      <c r="D1592" s="397">
        <v>14900</v>
      </c>
      <c r="E1592" s="400">
        <f t="shared" ref="E1592:E1653" si="28">D1592/10</f>
        <v>1490</v>
      </c>
    </row>
    <row r="1593" spans="1:5">
      <c r="A1593" s="399">
        <v>41324</v>
      </c>
      <c r="B1593" s="393">
        <v>288325</v>
      </c>
      <c r="C1593" s="394">
        <v>2374</v>
      </c>
      <c r="D1593" s="397">
        <v>14900</v>
      </c>
      <c r="E1593" s="400">
        <f t="shared" si="28"/>
        <v>1490</v>
      </c>
    </row>
    <row r="1594" spans="1:5">
      <c r="A1594" s="399">
        <v>41325</v>
      </c>
      <c r="B1594" s="393">
        <v>288575</v>
      </c>
      <c r="C1594" s="394">
        <v>2364</v>
      </c>
      <c r="D1594" s="397">
        <v>14850</v>
      </c>
      <c r="E1594" s="400">
        <f t="shared" si="28"/>
        <v>1485</v>
      </c>
    </row>
    <row r="1595" spans="1:5">
      <c r="A1595" s="399">
        <v>41326</v>
      </c>
      <c r="B1595" s="393">
        <v>288500</v>
      </c>
      <c r="C1595" s="394">
        <v>2315</v>
      </c>
      <c r="D1595" s="397">
        <v>14850</v>
      </c>
      <c r="E1595" s="400">
        <f t="shared" si="28"/>
        <v>1485</v>
      </c>
    </row>
    <row r="1596" spans="1:5">
      <c r="A1596" s="399">
        <v>41327</v>
      </c>
      <c r="B1596" s="393">
        <v>288025</v>
      </c>
      <c r="C1596" s="394">
        <v>2321</v>
      </c>
      <c r="D1596" s="397">
        <v>14850</v>
      </c>
      <c r="E1596" s="400">
        <f t="shared" si="28"/>
        <v>1485</v>
      </c>
    </row>
    <row r="1597" spans="1:5">
      <c r="A1597" s="399">
        <v>41330</v>
      </c>
      <c r="B1597" s="393">
        <v>287925</v>
      </c>
      <c r="C1597" s="394">
        <v>2306.5</v>
      </c>
      <c r="D1597" s="397">
        <v>14750</v>
      </c>
      <c r="E1597" s="400">
        <f t="shared" si="28"/>
        <v>1475</v>
      </c>
    </row>
    <row r="1598" spans="1:5">
      <c r="A1598" s="399">
        <v>41331</v>
      </c>
      <c r="B1598" s="393">
        <v>288100</v>
      </c>
      <c r="C1598" s="394">
        <v>2280</v>
      </c>
      <c r="D1598" s="397">
        <v>14800</v>
      </c>
      <c r="E1598" s="400">
        <f t="shared" si="28"/>
        <v>1480</v>
      </c>
    </row>
    <row r="1599" spans="1:5">
      <c r="A1599" s="399">
        <v>41332</v>
      </c>
      <c r="B1599" s="393">
        <v>287950</v>
      </c>
      <c r="C1599" s="394">
        <v>2311</v>
      </c>
      <c r="D1599" s="397">
        <v>14800</v>
      </c>
      <c r="E1599" s="400">
        <f t="shared" si="28"/>
        <v>1480</v>
      </c>
    </row>
    <row r="1600" spans="1:5">
      <c r="A1600" s="399">
        <v>41333</v>
      </c>
      <c r="B1600" s="393">
        <v>287275</v>
      </c>
      <c r="C1600" s="394">
        <v>2287.5</v>
      </c>
      <c r="D1600" s="397">
        <v>14800</v>
      </c>
      <c r="E1600" s="400">
        <f t="shared" si="28"/>
        <v>1480</v>
      </c>
    </row>
    <row r="1601" spans="1:5">
      <c r="A1601" s="423">
        <v>41334</v>
      </c>
      <c r="B1601" s="424">
        <v>287225</v>
      </c>
      <c r="C1601" s="426">
        <v>2220</v>
      </c>
      <c r="D1601" s="425">
        <v>14700</v>
      </c>
      <c r="E1601" s="427">
        <f t="shared" si="28"/>
        <v>1470</v>
      </c>
    </row>
    <row r="1602" spans="1:5">
      <c r="A1602" s="423">
        <v>41337</v>
      </c>
      <c r="B1602" s="424">
        <v>287175</v>
      </c>
      <c r="C1602" s="426">
        <v>2235</v>
      </c>
      <c r="D1602" s="425">
        <v>14650</v>
      </c>
      <c r="E1602" s="427">
        <f t="shared" si="28"/>
        <v>1465</v>
      </c>
    </row>
    <row r="1603" spans="1:5">
      <c r="A1603" s="423">
        <v>41338</v>
      </c>
      <c r="B1603" s="424">
        <v>287100</v>
      </c>
      <c r="C1603" s="426">
        <v>2207</v>
      </c>
      <c r="D1603" s="425">
        <v>14650</v>
      </c>
      <c r="E1603" s="427">
        <f t="shared" si="28"/>
        <v>1465</v>
      </c>
    </row>
    <row r="1604" spans="1:5">
      <c r="A1604" s="423">
        <v>41339</v>
      </c>
      <c r="B1604" s="424">
        <v>287700</v>
      </c>
      <c r="C1604" s="426">
        <v>2202</v>
      </c>
      <c r="D1604" s="425">
        <v>14650</v>
      </c>
      <c r="E1604" s="427">
        <f t="shared" si="28"/>
        <v>1465</v>
      </c>
    </row>
    <row r="1605" spans="1:5">
      <c r="A1605" s="423">
        <v>41340</v>
      </c>
      <c r="B1605" s="424">
        <v>286150</v>
      </c>
      <c r="C1605" s="426">
        <v>2167</v>
      </c>
      <c r="D1605" s="425">
        <v>14600</v>
      </c>
      <c r="E1605" s="427">
        <f t="shared" si="28"/>
        <v>1460</v>
      </c>
    </row>
    <row r="1606" spans="1:5">
      <c r="A1606" s="423">
        <v>41341</v>
      </c>
      <c r="B1606" s="424">
        <v>285050</v>
      </c>
      <c r="C1606" s="426">
        <v>2195</v>
      </c>
      <c r="D1606" s="425">
        <v>14600</v>
      </c>
      <c r="E1606" s="427">
        <f t="shared" si="28"/>
        <v>1460</v>
      </c>
    </row>
    <row r="1607" spans="1:5">
      <c r="A1607" s="423">
        <v>41344</v>
      </c>
      <c r="B1607" s="424">
        <v>284900</v>
      </c>
      <c r="C1607" s="426">
        <v>2171</v>
      </c>
      <c r="D1607" s="425">
        <v>14600</v>
      </c>
      <c r="E1607" s="427">
        <f t="shared" si="28"/>
        <v>1460</v>
      </c>
    </row>
    <row r="1608" spans="1:5">
      <c r="A1608" s="423">
        <v>41345</v>
      </c>
      <c r="B1608" s="424">
        <v>283300</v>
      </c>
      <c r="C1608" s="426">
        <v>2219</v>
      </c>
      <c r="D1608" s="425">
        <v>14600</v>
      </c>
      <c r="E1608" s="427">
        <f t="shared" si="28"/>
        <v>1460</v>
      </c>
    </row>
    <row r="1609" spans="1:5">
      <c r="A1609" s="423">
        <v>41346</v>
      </c>
      <c r="B1609" s="424">
        <v>281400</v>
      </c>
      <c r="C1609" s="426">
        <v>2234</v>
      </c>
      <c r="D1609" s="425">
        <v>14600</v>
      </c>
      <c r="E1609" s="427">
        <f t="shared" si="28"/>
        <v>1460</v>
      </c>
    </row>
    <row r="1610" spans="1:5">
      <c r="A1610" s="423">
        <v>41347</v>
      </c>
      <c r="B1610" s="424">
        <v>279000</v>
      </c>
      <c r="C1610" s="426">
        <v>2235</v>
      </c>
      <c r="D1610" s="425">
        <v>14550</v>
      </c>
      <c r="E1610" s="427">
        <f t="shared" si="28"/>
        <v>1455</v>
      </c>
    </row>
    <row r="1611" spans="1:5">
      <c r="A1611" s="423">
        <v>41348</v>
      </c>
      <c r="B1611" s="424">
        <v>277500</v>
      </c>
      <c r="C1611" s="426">
        <v>2235</v>
      </c>
      <c r="D1611" s="425">
        <v>14550</v>
      </c>
      <c r="E1611" s="427">
        <f t="shared" si="28"/>
        <v>1455</v>
      </c>
    </row>
    <row r="1612" spans="1:5">
      <c r="A1612" s="423">
        <v>41351</v>
      </c>
      <c r="B1612" s="424">
        <v>275500</v>
      </c>
      <c r="C1612" s="426">
        <v>2164.5</v>
      </c>
      <c r="D1612" s="425">
        <v>14450</v>
      </c>
      <c r="E1612" s="427">
        <f t="shared" si="28"/>
        <v>1445</v>
      </c>
    </row>
    <row r="1613" spans="1:5">
      <c r="A1613" s="423">
        <v>41352</v>
      </c>
      <c r="B1613" s="424">
        <v>274400</v>
      </c>
      <c r="C1613" s="426">
        <v>2160</v>
      </c>
      <c r="D1613" s="425">
        <v>14450</v>
      </c>
      <c r="E1613" s="427">
        <f t="shared" si="28"/>
        <v>1445</v>
      </c>
    </row>
    <row r="1614" spans="1:5">
      <c r="A1614" s="423">
        <v>41353</v>
      </c>
      <c r="B1614" s="424">
        <v>271475</v>
      </c>
      <c r="C1614" s="426">
        <v>2163</v>
      </c>
      <c r="D1614" s="425">
        <v>14450</v>
      </c>
      <c r="E1614" s="427">
        <f t="shared" si="28"/>
        <v>1445</v>
      </c>
    </row>
    <row r="1615" spans="1:5">
      <c r="A1615" s="423">
        <v>41354</v>
      </c>
      <c r="B1615" s="424">
        <v>269975</v>
      </c>
      <c r="C1615" s="426">
        <v>2184</v>
      </c>
      <c r="D1615" s="425">
        <v>14500</v>
      </c>
      <c r="E1615" s="427">
        <f t="shared" si="28"/>
        <v>1450</v>
      </c>
    </row>
    <row r="1616" spans="1:5">
      <c r="A1616" s="423">
        <v>41355</v>
      </c>
      <c r="B1616" s="424">
        <v>268475</v>
      </c>
      <c r="C1616" s="426">
        <v>2163.5</v>
      </c>
      <c r="D1616" s="425">
        <v>14450</v>
      </c>
      <c r="E1616" s="427">
        <f t="shared" si="28"/>
        <v>1445</v>
      </c>
    </row>
    <row r="1617" spans="1:5">
      <c r="A1617" s="423">
        <v>41358</v>
      </c>
      <c r="B1617" s="424">
        <v>266975</v>
      </c>
      <c r="C1617" s="426">
        <v>2169</v>
      </c>
      <c r="D1617" s="425">
        <v>14450</v>
      </c>
      <c r="E1617" s="427">
        <f t="shared" si="28"/>
        <v>1445</v>
      </c>
    </row>
    <row r="1618" spans="1:5">
      <c r="A1618" s="423">
        <v>41359</v>
      </c>
      <c r="B1618" s="424">
        <v>265975</v>
      </c>
      <c r="C1618" s="426">
        <v>2162.5</v>
      </c>
      <c r="D1618" s="425">
        <v>14450</v>
      </c>
      <c r="E1618" s="427">
        <f t="shared" si="28"/>
        <v>1445</v>
      </c>
    </row>
    <row r="1619" spans="1:5">
      <c r="A1619" s="423">
        <v>41360</v>
      </c>
      <c r="B1619" s="424">
        <v>264475</v>
      </c>
      <c r="C1619" s="426">
        <v>2089</v>
      </c>
      <c r="D1619" s="425">
        <v>14450</v>
      </c>
      <c r="E1619" s="427">
        <f t="shared" si="28"/>
        <v>1445</v>
      </c>
    </row>
    <row r="1620" spans="1:5">
      <c r="A1620" s="423">
        <v>41361</v>
      </c>
      <c r="B1620" s="424">
        <v>262725</v>
      </c>
      <c r="C1620" s="426">
        <v>2094</v>
      </c>
      <c r="D1620" s="425">
        <v>14350</v>
      </c>
      <c r="E1620" s="427">
        <f t="shared" si="28"/>
        <v>1435</v>
      </c>
    </row>
    <row r="1621" spans="1:5">
      <c r="A1621" s="423">
        <v>41362</v>
      </c>
      <c r="B1621" s="603">
        <v>262725</v>
      </c>
      <c r="C1621" s="605">
        <v>2094</v>
      </c>
      <c r="D1621" s="425">
        <v>14350</v>
      </c>
      <c r="E1621" s="427">
        <f t="shared" si="28"/>
        <v>1435</v>
      </c>
    </row>
    <row r="1622" spans="1:5">
      <c r="A1622" s="423">
        <v>41365</v>
      </c>
      <c r="B1622" s="603">
        <v>262725</v>
      </c>
      <c r="C1622" s="605">
        <v>2094</v>
      </c>
      <c r="D1622" s="425">
        <v>14250</v>
      </c>
      <c r="E1622" s="427">
        <f t="shared" si="28"/>
        <v>1425</v>
      </c>
    </row>
    <row r="1623" spans="1:5">
      <c r="A1623" s="423">
        <v>41366</v>
      </c>
      <c r="B1623" s="424">
        <v>262025</v>
      </c>
      <c r="C1623" s="426">
        <v>2078</v>
      </c>
      <c r="D1623" s="425">
        <v>14300</v>
      </c>
      <c r="E1623" s="427">
        <f t="shared" si="28"/>
        <v>1430</v>
      </c>
    </row>
    <row r="1624" spans="1:5">
      <c r="A1624" s="423">
        <v>41367</v>
      </c>
      <c r="B1624" s="424">
        <v>261425</v>
      </c>
      <c r="C1624" s="426">
        <v>2039.5</v>
      </c>
      <c r="D1624" s="425">
        <v>14300</v>
      </c>
      <c r="E1624" s="427">
        <f t="shared" si="28"/>
        <v>1430</v>
      </c>
    </row>
    <row r="1625" spans="1:5">
      <c r="A1625" s="423">
        <v>41368</v>
      </c>
      <c r="B1625" s="424">
        <v>260900</v>
      </c>
      <c r="C1625" s="426">
        <v>2037.5</v>
      </c>
      <c r="D1625" s="604">
        <v>14300</v>
      </c>
      <c r="E1625" s="606">
        <f>D1625/10</f>
        <v>1430</v>
      </c>
    </row>
    <row r="1626" spans="1:5">
      <c r="A1626" s="423">
        <v>41369</v>
      </c>
      <c r="B1626" s="424">
        <v>260400</v>
      </c>
      <c r="C1626" s="426">
        <v>2042.5</v>
      </c>
      <c r="D1626" s="604">
        <v>14300</v>
      </c>
      <c r="E1626" s="606">
        <f>D1626/10</f>
        <v>1430</v>
      </c>
    </row>
    <row r="1627" spans="1:5">
      <c r="A1627" s="423">
        <v>41372</v>
      </c>
      <c r="B1627" s="424">
        <v>260550</v>
      </c>
      <c r="C1627" s="426">
        <v>2038</v>
      </c>
      <c r="D1627" s="425">
        <v>14300</v>
      </c>
      <c r="E1627" s="427">
        <f t="shared" si="28"/>
        <v>1430</v>
      </c>
    </row>
    <row r="1628" spans="1:5">
      <c r="A1628" s="423">
        <v>41373</v>
      </c>
      <c r="B1628" s="424">
        <v>260400</v>
      </c>
      <c r="C1628" s="426">
        <v>2049</v>
      </c>
      <c r="D1628" s="425">
        <v>14300</v>
      </c>
      <c r="E1628" s="427">
        <f t="shared" si="28"/>
        <v>1430</v>
      </c>
    </row>
    <row r="1629" spans="1:5">
      <c r="A1629" s="423">
        <v>41374</v>
      </c>
      <c r="B1629" s="424">
        <v>260250</v>
      </c>
      <c r="C1629" s="426">
        <v>2088</v>
      </c>
      <c r="D1629" s="425">
        <v>14300</v>
      </c>
      <c r="E1629" s="427">
        <f t="shared" si="28"/>
        <v>1430</v>
      </c>
    </row>
    <row r="1630" spans="1:5">
      <c r="A1630" s="423">
        <v>41375</v>
      </c>
      <c r="B1630" s="424">
        <v>260175</v>
      </c>
      <c r="C1630" s="426">
        <v>2061.5</v>
      </c>
      <c r="D1630" s="425">
        <v>14300</v>
      </c>
      <c r="E1630" s="427">
        <f t="shared" si="28"/>
        <v>1430</v>
      </c>
    </row>
    <row r="1631" spans="1:5">
      <c r="A1631" s="423">
        <v>41376</v>
      </c>
      <c r="B1631" s="424">
        <v>259375</v>
      </c>
      <c r="C1631" s="426">
        <v>2047</v>
      </c>
      <c r="D1631" s="425">
        <v>14300</v>
      </c>
      <c r="E1631" s="427">
        <f t="shared" si="28"/>
        <v>1430</v>
      </c>
    </row>
    <row r="1632" spans="1:5">
      <c r="A1632" s="423">
        <v>41379</v>
      </c>
      <c r="B1632" s="424">
        <v>259025</v>
      </c>
      <c r="C1632" s="426">
        <v>1982.5</v>
      </c>
      <c r="D1632" s="425">
        <v>14075</v>
      </c>
      <c r="E1632" s="427">
        <f t="shared" si="28"/>
        <v>1407.5</v>
      </c>
    </row>
    <row r="1633" spans="1:5">
      <c r="A1633" s="423">
        <v>41380</v>
      </c>
      <c r="B1633" s="424">
        <v>259675</v>
      </c>
      <c r="C1633" s="426">
        <v>2038</v>
      </c>
      <c r="D1633" s="425">
        <v>14075</v>
      </c>
      <c r="E1633" s="427">
        <f t="shared" si="28"/>
        <v>1407.5</v>
      </c>
    </row>
    <row r="1634" spans="1:5">
      <c r="A1634" s="423">
        <v>41381</v>
      </c>
      <c r="B1634" s="424">
        <v>259475</v>
      </c>
      <c r="C1634" s="426">
        <v>2013</v>
      </c>
      <c r="D1634" s="425">
        <v>13985</v>
      </c>
      <c r="E1634" s="427">
        <f t="shared" si="28"/>
        <v>1398.5</v>
      </c>
    </row>
    <row r="1635" spans="1:5">
      <c r="A1635" s="423">
        <v>41382</v>
      </c>
      <c r="B1635" s="424">
        <v>259775</v>
      </c>
      <c r="C1635" s="426">
        <v>1997.5</v>
      </c>
      <c r="D1635" s="425">
        <v>13665</v>
      </c>
      <c r="E1635" s="427">
        <f t="shared" si="28"/>
        <v>1366.5</v>
      </c>
    </row>
    <row r="1636" spans="1:5">
      <c r="A1636" s="423">
        <v>41383</v>
      </c>
      <c r="B1636" s="424">
        <v>259850</v>
      </c>
      <c r="C1636" s="426">
        <v>2008.5</v>
      </c>
      <c r="D1636" s="425">
        <v>13730</v>
      </c>
      <c r="E1636" s="427">
        <f t="shared" si="28"/>
        <v>1373</v>
      </c>
    </row>
    <row r="1637" spans="1:5">
      <c r="A1637" s="423">
        <v>41386</v>
      </c>
      <c r="B1637" s="424">
        <v>259850</v>
      </c>
      <c r="C1637" s="426">
        <v>1997.5</v>
      </c>
      <c r="D1637" s="425">
        <v>13730</v>
      </c>
      <c r="E1637" s="427">
        <f t="shared" si="28"/>
        <v>1373</v>
      </c>
    </row>
    <row r="1638" spans="1:5">
      <c r="A1638" s="423">
        <v>41387</v>
      </c>
      <c r="B1638" s="424">
        <v>258825</v>
      </c>
      <c r="C1638" s="426">
        <v>1990</v>
      </c>
      <c r="D1638" s="425">
        <v>13680</v>
      </c>
      <c r="E1638" s="427">
        <f t="shared" si="28"/>
        <v>1368</v>
      </c>
    </row>
    <row r="1639" spans="1:5">
      <c r="A1639" s="423">
        <v>41388</v>
      </c>
      <c r="B1639" s="424">
        <v>258800</v>
      </c>
      <c r="C1639" s="426">
        <v>2009.5</v>
      </c>
      <c r="D1639" s="425">
        <v>13730</v>
      </c>
      <c r="E1639" s="427">
        <f t="shared" si="28"/>
        <v>1373</v>
      </c>
    </row>
    <row r="1640" spans="1:5">
      <c r="A1640" s="423">
        <v>41389</v>
      </c>
      <c r="B1640" s="424">
        <v>258450</v>
      </c>
      <c r="C1640" s="426">
        <v>2041</v>
      </c>
      <c r="D1640" s="425">
        <v>13830</v>
      </c>
      <c r="E1640" s="427">
        <f t="shared" si="28"/>
        <v>1383</v>
      </c>
    </row>
    <row r="1641" spans="1:5">
      <c r="A1641" s="423">
        <v>41390</v>
      </c>
      <c r="B1641" s="424">
        <v>257775</v>
      </c>
      <c r="C1641" s="426">
        <v>2037</v>
      </c>
      <c r="D1641" s="425">
        <v>13830</v>
      </c>
      <c r="E1641" s="427">
        <f t="shared" si="28"/>
        <v>1383</v>
      </c>
    </row>
    <row r="1642" spans="1:5">
      <c r="A1642" s="423">
        <v>41393</v>
      </c>
      <c r="B1642" s="424">
        <v>256700</v>
      </c>
      <c r="C1642" s="426">
        <v>2021</v>
      </c>
      <c r="D1642" s="604">
        <v>13830</v>
      </c>
      <c r="E1642" s="606">
        <f>D1642/10</f>
        <v>1383</v>
      </c>
    </row>
    <row r="1643" spans="1:5">
      <c r="A1643" s="423">
        <v>41394</v>
      </c>
      <c r="B1643" s="424">
        <v>255175</v>
      </c>
      <c r="C1643" s="426">
        <v>2019</v>
      </c>
      <c r="D1643" s="604">
        <v>13830</v>
      </c>
      <c r="E1643" s="606">
        <f>D1643/10</f>
        <v>1383</v>
      </c>
    </row>
    <row r="1644" spans="1:5">
      <c r="A1644" s="423">
        <v>41395</v>
      </c>
      <c r="B1644" s="424">
        <v>254325</v>
      </c>
      <c r="C1644" s="426">
        <v>1970</v>
      </c>
      <c r="D1644" s="604">
        <v>13830</v>
      </c>
      <c r="E1644" s="606">
        <f>D1644/10</f>
        <v>1383</v>
      </c>
    </row>
    <row r="1645" spans="1:5">
      <c r="A1645" s="423">
        <v>41396</v>
      </c>
      <c r="B1645" s="424">
        <v>253925</v>
      </c>
      <c r="C1645" s="426">
        <v>1979</v>
      </c>
      <c r="D1645" s="425">
        <v>13760</v>
      </c>
      <c r="E1645" s="427">
        <f t="shared" si="28"/>
        <v>1376</v>
      </c>
    </row>
    <row r="1646" spans="1:5">
      <c r="A1646" s="423">
        <v>41397</v>
      </c>
      <c r="B1646" s="424">
        <v>252200</v>
      </c>
      <c r="C1646" s="426">
        <v>1970</v>
      </c>
      <c r="D1646" s="425">
        <v>13760</v>
      </c>
      <c r="E1646" s="427">
        <f t="shared" si="28"/>
        <v>1376</v>
      </c>
    </row>
    <row r="1647" spans="1:5">
      <c r="A1647" s="423">
        <v>41400</v>
      </c>
      <c r="B1647" s="603">
        <v>252200</v>
      </c>
      <c r="C1647" s="605">
        <v>1970</v>
      </c>
      <c r="D1647" s="425">
        <v>13800</v>
      </c>
      <c r="E1647" s="427">
        <f t="shared" si="28"/>
        <v>1380</v>
      </c>
    </row>
    <row r="1648" spans="1:5">
      <c r="A1648" s="423">
        <v>41401</v>
      </c>
      <c r="B1648" s="424">
        <v>251075</v>
      </c>
      <c r="C1648" s="426">
        <v>2020</v>
      </c>
      <c r="D1648" s="425">
        <v>13880</v>
      </c>
      <c r="E1648" s="427">
        <f t="shared" si="28"/>
        <v>1388</v>
      </c>
    </row>
    <row r="1649" spans="1:5">
      <c r="A1649" s="423">
        <v>41402</v>
      </c>
      <c r="B1649" s="424">
        <v>248200</v>
      </c>
      <c r="C1649" s="426">
        <v>2048.5</v>
      </c>
      <c r="D1649" s="425">
        <v>13880</v>
      </c>
      <c r="E1649" s="427">
        <f t="shared" si="28"/>
        <v>1388</v>
      </c>
    </row>
    <row r="1650" spans="1:5">
      <c r="A1650" s="423">
        <v>41403</v>
      </c>
      <c r="B1650" s="424">
        <v>247100</v>
      </c>
      <c r="C1650" s="426">
        <v>2012.5</v>
      </c>
      <c r="D1650" s="425">
        <v>13880</v>
      </c>
      <c r="E1650" s="427">
        <f t="shared" si="28"/>
        <v>1388</v>
      </c>
    </row>
    <row r="1651" spans="1:5">
      <c r="A1651" s="423">
        <v>41404</v>
      </c>
      <c r="B1651" s="424">
        <v>245425</v>
      </c>
      <c r="C1651" s="426">
        <v>1983.5</v>
      </c>
      <c r="D1651" s="425">
        <v>13880</v>
      </c>
      <c r="E1651" s="427">
        <f t="shared" si="28"/>
        <v>1388</v>
      </c>
    </row>
    <row r="1652" spans="1:5">
      <c r="A1652" s="423">
        <v>41407</v>
      </c>
      <c r="B1652" s="424">
        <v>243775</v>
      </c>
      <c r="C1652" s="426">
        <v>1981</v>
      </c>
      <c r="D1652" s="425">
        <v>13880</v>
      </c>
      <c r="E1652" s="427">
        <f t="shared" si="28"/>
        <v>1388</v>
      </c>
    </row>
    <row r="1653" spans="1:5">
      <c r="A1653" s="423">
        <v>41408</v>
      </c>
      <c r="B1653" s="424">
        <v>245650</v>
      </c>
      <c r="C1653" s="426">
        <v>1976</v>
      </c>
      <c r="D1653" s="425">
        <v>13860</v>
      </c>
      <c r="E1653" s="427">
        <f t="shared" si="28"/>
        <v>1386</v>
      </c>
    </row>
    <row r="1654" spans="1:5">
      <c r="A1654" s="423">
        <v>41409</v>
      </c>
      <c r="B1654" s="424">
        <v>244525</v>
      </c>
      <c r="C1654" s="426">
        <v>1949</v>
      </c>
      <c r="D1654" s="425">
        <v>13760</v>
      </c>
      <c r="E1654" s="427">
        <f t="shared" ref="E1654:E1717" si="29">D1654/10</f>
        <v>1376</v>
      </c>
    </row>
    <row r="1655" spans="1:5">
      <c r="A1655" s="423">
        <v>41410</v>
      </c>
      <c r="B1655" s="424">
        <v>243250</v>
      </c>
      <c r="C1655" s="426">
        <v>1966.5</v>
      </c>
      <c r="D1655" s="425">
        <v>13760</v>
      </c>
      <c r="E1655" s="427">
        <f t="shared" si="29"/>
        <v>1376</v>
      </c>
    </row>
    <row r="1656" spans="1:5">
      <c r="A1656" s="423">
        <v>41411</v>
      </c>
      <c r="B1656" s="424">
        <v>240875</v>
      </c>
      <c r="C1656" s="426">
        <v>2003</v>
      </c>
      <c r="D1656" s="425">
        <v>13760</v>
      </c>
      <c r="E1656" s="427">
        <f t="shared" si="29"/>
        <v>1376</v>
      </c>
    </row>
    <row r="1657" spans="1:5">
      <c r="A1657" s="423">
        <v>41414</v>
      </c>
      <c r="B1657" s="424">
        <v>239375</v>
      </c>
      <c r="C1657" s="426">
        <v>2002</v>
      </c>
      <c r="D1657" s="425">
        <v>13790</v>
      </c>
      <c r="E1657" s="427">
        <f t="shared" si="29"/>
        <v>1379</v>
      </c>
    </row>
    <row r="1658" spans="1:5">
      <c r="A1658" s="423">
        <v>41415</v>
      </c>
      <c r="B1658" s="424">
        <v>237925</v>
      </c>
      <c r="C1658" s="426">
        <v>2040.5</v>
      </c>
      <c r="D1658" s="425">
        <v>13810</v>
      </c>
      <c r="E1658" s="427">
        <f t="shared" si="29"/>
        <v>1381</v>
      </c>
    </row>
    <row r="1659" spans="1:5">
      <c r="A1659" s="423">
        <v>41416</v>
      </c>
      <c r="B1659" s="424">
        <v>236275</v>
      </c>
      <c r="C1659" s="426">
        <v>2053.5</v>
      </c>
      <c r="D1659" s="425">
        <v>13810</v>
      </c>
      <c r="E1659" s="427">
        <f t="shared" si="29"/>
        <v>1381</v>
      </c>
    </row>
    <row r="1660" spans="1:5">
      <c r="A1660" s="423">
        <v>41417</v>
      </c>
      <c r="B1660" s="424">
        <v>234525</v>
      </c>
      <c r="C1660" s="426">
        <v>2025</v>
      </c>
      <c r="D1660" s="425">
        <v>13780</v>
      </c>
      <c r="E1660" s="427">
        <f t="shared" si="29"/>
        <v>1378</v>
      </c>
    </row>
    <row r="1661" spans="1:5">
      <c r="A1661" s="423">
        <v>41418</v>
      </c>
      <c r="B1661" s="424">
        <v>234525</v>
      </c>
      <c r="C1661" s="426">
        <v>2056</v>
      </c>
      <c r="D1661" s="425">
        <v>13810</v>
      </c>
      <c r="E1661" s="427">
        <f t="shared" si="29"/>
        <v>1381</v>
      </c>
    </row>
    <row r="1662" spans="1:5">
      <c r="A1662" s="423">
        <v>41421</v>
      </c>
      <c r="B1662" s="603">
        <v>234525</v>
      </c>
      <c r="C1662" s="605">
        <v>2056</v>
      </c>
      <c r="D1662" s="425">
        <v>13810</v>
      </c>
      <c r="E1662" s="427">
        <f t="shared" si="29"/>
        <v>1381</v>
      </c>
    </row>
    <row r="1663" spans="1:5">
      <c r="A1663" s="423">
        <v>41422</v>
      </c>
      <c r="B1663" s="424">
        <v>230725</v>
      </c>
      <c r="C1663" s="426">
        <v>2098</v>
      </c>
      <c r="D1663" s="425">
        <v>13810</v>
      </c>
      <c r="E1663" s="427">
        <f t="shared" si="29"/>
        <v>1381</v>
      </c>
    </row>
    <row r="1664" spans="1:5">
      <c r="A1664" s="423">
        <v>41423</v>
      </c>
      <c r="B1664" s="424">
        <v>225150</v>
      </c>
      <c r="C1664" s="426">
        <v>2117</v>
      </c>
      <c r="D1664" s="425">
        <v>13830</v>
      </c>
      <c r="E1664" s="427">
        <f t="shared" si="29"/>
        <v>1383</v>
      </c>
    </row>
    <row r="1665" spans="1:5">
      <c r="A1665" s="423">
        <v>41424</v>
      </c>
      <c r="B1665" s="424">
        <v>222225</v>
      </c>
      <c r="C1665" s="426">
        <v>2150</v>
      </c>
      <c r="D1665" s="425">
        <v>13860</v>
      </c>
      <c r="E1665" s="427">
        <f t="shared" si="29"/>
        <v>1386</v>
      </c>
    </row>
    <row r="1666" spans="1:5">
      <c r="A1666" s="423">
        <v>41425</v>
      </c>
      <c r="B1666" s="424">
        <v>219475</v>
      </c>
      <c r="C1666" s="426">
        <v>2193</v>
      </c>
      <c r="D1666" s="425">
        <v>13910</v>
      </c>
      <c r="E1666" s="427">
        <f t="shared" si="29"/>
        <v>1391</v>
      </c>
    </row>
    <row r="1667" spans="1:5">
      <c r="A1667" s="423">
        <v>41428</v>
      </c>
      <c r="B1667" s="424">
        <v>217000</v>
      </c>
      <c r="C1667" s="426">
        <v>2210</v>
      </c>
      <c r="D1667" s="425">
        <v>13910</v>
      </c>
      <c r="E1667" s="427">
        <f t="shared" si="29"/>
        <v>1391</v>
      </c>
    </row>
    <row r="1668" spans="1:5">
      <c r="A1668" s="423">
        <v>41429</v>
      </c>
      <c r="B1668" s="424">
        <v>213550</v>
      </c>
      <c r="C1668" s="426">
        <v>2219</v>
      </c>
      <c r="D1668" s="425">
        <v>13950</v>
      </c>
      <c r="E1668" s="427">
        <f t="shared" si="29"/>
        <v>1395</v>
      </c>
    </row>
    <row r="1669" spans="1:5">
      <c r="A1669" s="423">
        <v>41430</v>
      </c>
      <c r="B1669" s="424">
        <v>210400</v>
      </c>
      <c r="C1669" s="426">
        <v>2246.5</v>
      </c>
      <c r="D1669" s="425">
        <v>14020</v>
      </c>
      <c r="E1669" s="427">
        <f t="shared" si="29"/>
        <v>1402</v>
      </c>
    </row>
    <row r="1670" spans="1:5">
      <c r="A1670" s="423">
        <v>41431</v>
      </c>
      <c r="B1670" s="424">
        <v>207750</v>
      </c>
      <c r="C1670" s="426">
        <v>2205.5</v>
      </c>
      <c r="D1670" s="425">
        <v>14020</v>
      </c>
      <c r="E1670" s="427">
        <f t="shared" si="29"/>
        <v>1402</v>
      </c>
    </row>
    <row r="1671" spans="1:5">
      <c r="A1671" s="423">
        <v>41432</v>
      </c>
      <c r="B1671" s="424">
        <v>205225</v>
      </c>
      <c r="C1671" s="426">
        <v>2188</v>
      </c>
      <c r="D1671" s="425">
        <v>13990</v>
      </c>
      <c r="E1671" s="427">
        <f t="shared" si="29"/>
        <v>1399</v>
      </c>
    </row>
    <row r="1672" spans="1:5">
      <c r="A1672" s="423">
        <v>41435</v>
      </c>
      <c r="B1672" s="424">
        <v>207350</v>
      </c>
      <c r="C1672" s="426">
        <v>2123</v>
      </c>
      <c r="D1672" s="604">
        <v>13990</v>
      </c>
      <c r="E1672" s="606">
        <f>D1672/10</f>
        <v>1399</v>
      </c>
    </row>
    <row r="1673" spans="1:5">
      <c r="A1673" s="423">
        <v>41436</v>
      </c>
      <c r="B1673" s="424">
        <v>202550</v>
      </c>
      <c r="C1673" s="426">
        <v>2129</v>
      </c>
      <c r="D1673" s="604">
        <v>13990</v>
      </c>
      <c r="E1673" s="606">
        <f>D1673/10</f>
        <v>1399</v>
      </c>
    </row>
    <row r="1674" spans="1:5">
      <c r="A1674" s="423">
        <v>41437</v>
      </c>
      <c r="B1674" s="424">
        <v>200325</v>
      </c>
      <c r="C1674" s="426">
        <v>2133</v>
      </c>
      <c r="D1674" s="604">
        <v>13990</v>
      </c>
      <c r="E1674" s="606">
        <f>D1674/10</f>
        <v>1399</v>
      </c>
    </row>
    <row r="1675" spans="1:5">
      <c r="A1675" s="423">
        <v>41438</v>
      </c>
      <c r="B1675" s="424">
        <v>199975</v>
      </c>
      <c r="C1675" s="426">
        <v>2092</v>
      </c>
      <c r="D1675" s="425">
        <v>13990</v>
      </c>
      <c r="E1675" s="427">
        <f t="shared" si="29"/>
        <v>1399</v>
      </c>
    </row>
    <row r="1676" spans="1:5">
      <c r="A1676" s="423">
        <v>41439</v>
      </c>
      <c r="B1676" s="424">
        <v>197350</v>
      </c>
      <c r="C1676" s="426">
        <v>2100</v>
      </c>
      <c r="D1676" s="425">
        <v>13940</v>
      </c>
      <c r="E1676" s="427">
        <f t="shared" si="29"/>
        <v>1394</v>
      </c>
    </row>
    <row r="1677" spans="1:5">
      <c r="A1677" s="423">
        <v>41442</v>
      </c>
      <c r="B1677" s="424">
        <v>192600</v>
      </c>
      <c r="C1677" s="426">
        <v>2099.5</v>
      </c>
      <c r="D1677" s="425">
        <v>13940</v>
      </c>
      <c r="E1677" s="427">
        <f t="shared" si="29"/>
        <v>1394</v>
      </c>
    </row>
    <row r="1678" spans="1:5">
      <c r="A1678" s="423">
        <v>41443</v>
      </c>
      <c r="B1678" s="424">
        <v>189050</v>
      </c>
      <c r="C1678" s="426">
        <v>2076</v>
      </c>
      <c r="D1678" s="425">
        <v>13920</v>
      </c>
      <c r="E1678" s="427">
        <f t="shared" si="29"/>
        <v>1392</v>
      </c>
    </row>
    <row r="1679" spans="1:5">
      <c r="A1679" s="423">
        <v>41444</v>
      </c>
      <c r="B1679" s="424">
        <v>204625</v>
      </c>
      <c r="C1679" s="426">
        <v>2082</v>
      </c>
      <c r="D1679" s="425">
        <v>13910</v>
      </c>
      <c r="E1679" s="427">
        <f t="shared" si="29"/>
        <v>1391</v>
      </c>
    </row>
    <row r="1680" spans="1:5">
      <c r="A1680" s="423">
        <v>41445</v>
      </c>
      <c r="B1680" s="424">
        <v>203125</v>
      </c>
      <c r="C1680" s="426">
        <v>2009</v>
      </c>
      <c r="D1680" s="425">
        <v>13880</v>
      </c>
      <c r="E1680" s="427">
        <f t="shared" si="29"/>
        <v>1388</v>
      </c>
    </row>
    <row r="1681" spans="1:5">
      <c r="A1681" s="423">
        <v>41446</v>
      </c>
      <c r="B1681" s="424">
        <v>199025</v>
      </c>
      <c r="C1681" s="426">
        <v>2017</v>
      </c>
      <c r="D1681" s="425">
        <v>13880</v>
      </c>
      <c r="E1681" s="427">
        <f t="shared" si="29"/>
        <v>1388</v>
      </c>
    </row>
    <row r="1682" spans="1:5">
      <c r="A1682" s="423">
        <v>41449</v>
      </c>
      <c r="B1682" s="424">
        <v>195875</v>
      </c>
      <c r="C1682" s="426">
        <v>1996</v>
      </c>
      <c r="D1682" s="425">
        <v>13820</v>
      </c>
      <c r="E1682" s="427">
        <f t="shared" si="29"/>
        <v>1382</v>
      </c>
    </row>
    <row r="1683" spans="1:5">
      <c r="A1683" s="423">
        <v>41450</v>
      </c>
      <c r="B1683" s="424">
        <v>194200</v>
      </c>
      <c r="C1683" s="426">
        <v>2023</v>
      </c>
      <c r="D1683" s="425">
        <v>13740</v>
      </c>
      <c r="E1683" s="427">
        <f t="shared" si="29"/>
        <v>1374</v>
      </c>
    </row>
    <row r="1684" spans="1:5">
      <c r="A1684" s="423">
        <v>41451</v>
      </c>
      <c r="B1684" s="424">
        <v>194600</v>
      </c>
      <c r="C1684" s="426">
        <v>2032</v>
      </c>
      <c r="D1684" s="425">
        <v>13740</v>
      </c>
      <c r="E1684" s="427">
        <f t="shared" si="29"/>
        <v>1374</v>
      </c>
    </row>
    <row r="1685" spans="1:5">
      <c r="A1685" s="423">
        <v>41452</v>
      </c>
      <c r="B1685" s="424">
        <v>198000</v>
      </c>
      <c r="C1685" s="426">
        <v>2038</v>
      </c>
      <c r="D1685" s="425">
        <v>13760</v>
      </c>
      <c r="E1685" s="427">
        <f t="shared" si="29"/>
        <v>1376</v>
      </c>
    </row>
    <row r="1686" spans="1:5">
      <c r="A1686" s="423">
        <v>41453</v>
      </c>
      <c r="B1686" s="424">
        <v>198300</v>
      </c>
      <c r="C1686" s="426">
        <v>2058</v>
      </c>
      <c r="D1686" s="425">
        <v>13740</v>
      </c>
      <c r="E1686" s="427">
        <f t="shared" si="29"/>
        <v>1374</v>
      </c>
    </row>
    <row r="1687" spans="1:5">
      <c r="A1687" s="423">
        <v>41456</v>
      </c>
      <c r="B1687" s="424">
        <v>198200</v>
      </c>
      <c r="C1687" s="426">
        <v>2059</v>
      </c>
      <c r="D1687" s="425">
        <v>13760</v>
      </c>
      <c r="E1687" s="427">
        <f t="shared" si="29"/>
        <v>1376</v>
      </c>
    </row>
    <row r="1688" spans="1:5">
      <c r="A1688" s="423">
        <v>41457</v>
      </c>
      <c r="B1688" s="424">
        <v>198050</v>
      </c>
      <c r="C1688" s="426">
        <v>2088</v>
      </c>
      <c r="D1688" s="425">
        <v>13840</v>
      </c>
      <c r="E1688" s="427">
        <f t="shared" si="29"/>
        <v>1384</v>
      </c>
    </row>
    <row r="1689" spans="1:5">
      <c r="A1689" s="423">
        <v>41458</v>
      </c>
      <c r="B1689" s="424">
        <v>197750</v>
      </c>
      <c r="C1689" s="426">
        <v>2058</v>
      </c>
      <c r="D1689" s="425">
        <v>13740</v>
      </c>
      <c r="E1689" s="427">
        <f t="shared" si="29"/>
        <v>1374</v>
      </c>
    </row>
    <row r="1690" spans="1:5">
      <c r="A1690" s="423">
        <v>41459</v>
      </c>
      <c r="B1690" s="424">
        <v>197575</v>
      </c>
      <c r="C1690" s="426">
        <v>2067.5</v>
      </c>
      <c r="D1690" s="425">
        <v>13810</v>
      </c>
      <c r="E1690" s="427">
        <f t="shared" si="29"/>
        <v>1381</v>
      </c>
    </row>
    <row r="1691" spans="1:5">
      <c r="A1691" s="423">
        <v>41460</v>
      </c>
      <c r="B1691" s="424">
        <v>197325</v>
      </c>
      <c r="C1691" s="426">
        <v>2035.5</v>
      </c>
      <c r="D1691" s="425">
        <v>13810</v>
      </c>
      <c r="E1691" s="427">
        <f t="shared" si="29"/>
        <v>1381</v>
      </c>
    </row>
    <row r="1692" spans="1:5">
      <c r="A1692" s="423">
        <v>41463</v>
      </c>
      <c r="B1692" s="424">
        <v>196175</v>
      </c>
      <c r="C1692" s="426">
        <v>2032</v>
      </c>
      <c r="D1692" s="425">
        <v>13760</v>
      </c>
      <c r="E1692" s="427">
        <f t="shared" si="29"/>
        <v>1376</v>
      </c>
    </row>
    <row r="1693" spans="1:5">
      <c r="A1693" s="423">
        <v>41464</v>
      </c>
      <c r="B1693" s="424">
        <v>195975</v>
      </c>
      <c r="C1693" s="426">
        <v>2029</v>
      </c>
      <c r="D1693" s="425">
        <v>13780</v>
      </c>
      <c r="E1693" s="427">
        <f t="shared" si="29"/>
        <v>1378</v>
      </c>
    </row>
    <row r="1694" spans="1:5">
      <c r="A1694" s="423">
        <v>41465</v>
      </c>
      <c r="B1694" s="424">
        <v>194875</v>
      </c>
      <c r="C1694" s="426">
        <v>2046</v>
      </c>
      <c r="D1694" s="425">
        <v>13780</v>
      </c>
      <c r="E1694" s="427">
        <f t="shared" si="29"/>
        <v>1378</v>
      </c>
    </row>
    <row r="1695" spans="1:5">
      <c r="A1695" s="423">
        <v>41466</v>
      </c>
      <c r="B1695" s="424">
        <v>194375</v>
      </c>
      <c r="C1695" s="426">
        <v>2093</v>
      </c>
      <c r="D1695" s="425">
        <v>13830</v>
      </c>
      <c r="E1695" s="427">
        <f t="shared" si="29"/>
        <v>1383</v>
      </c>
    </row>
    <row r="1696" spans="1:5">
      <c r="A1696" s="423">
        <v>41467</v>
      </c>
      <c r="B1696" s="424">
        <v>193825</v>
      </c>
      <c r="C1696" s="426">
        <v>2050</v>
      </c>
      <c r="D1696" s="425">
        <v>13810</v>
      </c>
      <c r="E1696" s="427">
        <f t="shared" si="29"/>
        <v>1381</v>
      </c>
    </row>
    <row r="1697" spans="1:5">
      <c r="A1697" s="423">
        <v>41470</v>
      </c>
      <c r="B1697" s="424">
        <v>193950</v>
      </c>
      <c r="C1697" s="426">
        <v>2049.5</v>
      </c>
      <c r="D1697" s="425">
        <v>13810</v>
      </c>
      <c r="E1697" s="427">
        <f t="shared" si="29"/>
        <v>1381</v>
      </c>
    </row>
    <row r="1698" spans="1:5">
      <c r="A1698" s="423">
        <v>41471</v>
      </c>
      <c r="B1698" s="424">
        <v>193950</v>
      </c>
      <c r="C1698" s="426">
        <v>2044.5</v>
      </c>
      <c r="D1698" s="425">
        <v>13810</v>
      </c>
      <c r="E1698" s="427">
        <f t="shared" si="29"/>
        <v>1381</v>
      </c>
    </row>
    <row r="1699" spans="1:5">
      <c r="A1699" s="423">
        <v>41472</v>
      </c>
      <c r="B1699" s="424">
        <v>196875</v>
      </c>
      <c r="C1699" s="426">
        <v>2037.5</v>
      </c>
      <c r="D1699" s="425">
        <v>13810</v>
      </c>
      <c r="E1699" s="427">
        <f t="shared" si="29"/>
        <v>1381</v>
      </c>
    </row>
    <row r="1700" spans="1:5">
      <c r="A1700" s="423">
        <v>41473</v>
      </c>
      <c r="B1700" s="424">
        <v>196475</v>
      </c>
      <c r="C1700" s="426">
        <v>2016.5</v>
      </c>
      <c r="D1700" s="425">
        <v>13780</v>
      </c>
      <c r="E1700" s="427">
        <f t="shared" si="29"/>
        <v>1378</v>
      </c>
    </row>
    <row r="1701" spans="1:5">
      <c r="A1701" s="423">
        <v>41474</v>
      </c>
      <c r="B1701" s="424">
        <v>196475</v>
      </c>
      <c r="C1701" s="426">
        <v>2036</v>
      </c>
      <c r="D1701" s="425">
        <v>13810</v>
      </c>
      <c r="E1701" s="427">
        <f t="shared" si="29"/>
        <v>1381</v>
      </c>
    </row>
    <row r="1702" spans="1:5">
      <c r="A1702" s="423">
        <v>41477</v>
      </c>
      <c r="B1702" s="424">
        <v>197975</v>
      </c>
      <c r="C1702" s="426">
        <v>2036</v>
      </c>
      <c r="D1702" s="425">
        <v>13810</v>
      </c>
      <c r="E1702" s="427">
        <f t="shared" si="29"/>
        <v>1381</v>
      </c>
    </row>
    <row r="1703" spans="1:5">
      <c r="A1703" s="423">
        <v>41478</v>
      </c>
      <c r="B1703" s="424">
        <v>198775</v>
      </c>
      <c r="C1703" s="426">
        <v>2039.5</v>
      </c>
      <c r="D1703" s="425">
        <v>13810</v>
      </c>
      <c r="E1703" s="427">
        <f t="shared" si="29"/>
        <v>1381</v>
      </c>
    </row>
    <row r="1704" spans="1:5">
      <c r="A1704" s="423">
        <v>41479</v>
      </c>
      <c r="B1704" s="424">
        <v>198775</v>
      </c>
      <c r="C1704" s="426">
        <v>2063</v>
      </c>
      <c r="D1704" s="425">
        <v>13810</v>
      </c>
      <c r="E1704" s="427">
        <f t="shared" si="29"/>
        <v>1381</v>
      </c>
    </row>
    <row r="1705" spans="1:5">
      <c r="A1705" s="423">
        <v>41480</v>
      </c>
      <c r="B1705" s="424">
        <v>198500</v>
      </c>
      <c r="C1705" s="426">
        <v>2050</v>
      </c>
      <c r="D1705" s="425">
        <v>13810</v>
      </c>
      <c r="E1705" s="427">
        <f t="shared" si="29"/>
        <v>1381</v>
      </c>
    </row>
    <row r="1706" spans="1:5">
      <c r="A1706" s="423">
        <v>41481</v>
      </c>
      <c r="B1706" s="424">
        <v>198500</v>
      </c>
      <c r="C1706" s="426">
        <v>2060.5</v>
      </c>
      <c r="D1706" s="425">
        <v>13810</v>
      </c>
      <c r="E1706" s="427">
        <f t="shared" si="29"/>
        <v>1381</v>
      </c>
    </row>
    <row r="1707" spans="1:5">
      <c r="A1707" s="423">
        <v>41484</v>
      </c>
      <c r="B1707" s="424">
        <v>198350</v>
      </c>
      <c r="C1707" s="426">
        <v>2056</v>
      </c>
      <c r="D1707" s="425">
        <v>13760</v>
      </c>
      <c r="E1707" s="427">
        <f t="shared" si="29"/>
        <v>1376</v>
      </c>
    </row>
    <row r="1708" spans="1:5">
      <c r="A1708" s="423">
        <v>41485</v>
      </c>
      <c r="B1708" s="424">
        <v>200225</v>
      </c>
      <c r="C1708" s="426">
        <v>2029</v>
      </c>
      <c r="D1708" s="425">
        <v>13760</v>
      </c>
      <c r="E1708" s="427">
        <f t="shared" si="29"/>
        <v>1376</v>
      </c>
    </row>
    <row r="1709" spans="1:5">
      <c r="A1709" s="423">
        <v>41486</v>
      </c>
      <c r="B1709" s="424">
        <v>200225</v>
      </c>
      <c r="C1709" s="426">
        <v>2033.5</v>
      </c>
      <c r="D1709" s="425">
        <v>13760</v>
      </c>
      <c r="E1709" s="427">
        <f t="shared" si="29"/>
        <v>1376</v>
      </c>
    </row>
    <row r="1710" spans="1:5">
      <c r="A1710" s="423">
        <v>41487</v>
      </c>
      <c r="B1710" s="424">
        <v>200225</v>
      </c>
      <c r="C1710" s="426">
        <v>2090</v>
      </c>
      <c r="D1710" s="425">
        <v>13810</v>
      </c>
      <c r="E1710" s="427">
        <f t="shared" si="29"/>
        <v>1381</v>
      </c>
    </row>
    <row r="1711" spans="1:5">
      <c r="A1711" s="423">
        <v>41488</v>
      </c>
      <c r="B1711" s="424">
        <v>200125</v>
      </c>
      <c r="C1711" s="426">
        <v>2111.5</v>
      </c>
      <c r="D1711" s="425">
        <v>13810</v>
      </c>
      <c r="E1711" s="427">
        <f t="shared" si="29"/>
        <v>1381</v>
      </c>
    </row>
    <row r="1712" spans="1:5">
      <c r="A1712" s="423">
        <v>41491</v>
      </c>
      <c r="B1712" s="424">
        <v>199775</v>
      </c>
      <c r="C1712" s="426">
        <v>2112</v>
      </c>
      <c r="D1712" s="425">
        <v>13860</v>
      </c>
      <c r="E1712" s="427">
        <f t="shared" si="29"/>
        <v>1386</v>
      </c>
    </row>
    <row r="1713" spans="1:5">
      <c r="A1713" s="423">
        <v>41492</v>
      </c>
      <c r="B1713" s="424">
        <v>200200</v>
      </c>
      <c r="C1713" s="426">
        <v>2118</v>
      </c>
      <c r="D1713" s="425">
        <v>13860</v>
      </c>
      <c r="E1713" s="427">
        <f t="shared" si="29"/>
        <v>1386</v>
      </c>
    </row>
    <row r="1714" spans="1:5">
      <c r="A1714" s="423">
        <v>41493</v>
      </c>
      <c r="B1714" s="424">
        <v>199625</v>
      </c>
      <c r="C1714" s="426">
        <v>2090</v>
      </c>
      <c r="D1714" s="425">
        <v>13890</v>
      </c>
      <c r="E1714" s="427">
        <f t="shared" si="29"/>
        <v>1389</v>
      </c>
    </row>
    <row r="1715" spans="1:5">
      <c r="A1715" s="423">
        <v>41494</v>
      </c>
      <c r="B1715" s="424">
        <v>199825</v>
      </c>
      <c r="C1715" s="426">
        <v>2120</v>
      </c>
      <c r="D1715" s="425">
        <v>13950</v>
      </c>
      <c r="E1715" s="427">
        <f t="shared" si="29"/>
        <v>1395</v>
      </c>
    </row>
    <row r="1716" spans="1:5">
      <c r="A1716" s="423">
        <v>41495</v>
      </c>
      <c r="B1716" s="424">
        <v>199275</v>
      </c>
      <c r="C1716" s="426">
        <v>2152</v>
      </c>
      <c r="D1716" s="425">
        <v>14060</v>
      </c>
      <c r="E1716" s="427">
        <f t="shared" si="29"/>
        <v>1406</v>
      </c>
    </row>
    <row r="1717" spans="1:5">
      <c r="A1717" s="423">
        <v>41498</v>
      </c>
      <c r="B1717" s="424">
        <v>198725</v>
      </c>
      <c r="C1717" s="426">
        <v>2180</v>
      </c>
      <c r="D1717" s="425">
        <v>14240</v>
      </c>
      <c r="E1717" s="427">
        <f t="shared" si="29"/>
        <v>1424</v>
      </c>
    </row>
    <row r="1718" spans="1:5">
      <c r="A1718" s="423">
        <v>41499</v>
      </c>
      <c r="B1718" s="424">
        <v>197675</v>
      </c>
      <c r="C1718" s="426">
        <v>2178</v>
      </c>
      <c r="D1718" s="425">
        <v>14290</v>
      </c>
      <c r="E1718" s="427">
        <f t="shared" ref="E1718:E1781" si="30">D1718/10</f>
        <v>1429</v>
      </c>
    </row>
    <row r="1719" spans="1:5">
      <c r="A1719" s="423">
        <v>41500</v>
      </c>
      <c r="B1719" s="424">
        <v>195025</v>
      </c>
      <c r="C1719" s="426">
        <v>2169</v>
      </c>
      <c r="D1719" s="425">
        <v>14290</v>
      </c>
      <c r="E1719" s="427">
        <f t="shared" si="30"/>
        <v>1429</v>
      </c>
    </row>
    <row r="1720" spans="1:5">
      <c r="A1720" s="423">
        <v>41501</v>
      </c>
      <c r="B1720" s="424">
        <v>191975</v>
      </c>
      <c r="C1720" s="426">
        <v>2190</v>
      </c>
      <c r="D1720" s="425">
        <v>14420</v>
      </c>
      <c r="E1720" s="427">
        <f t="shared" si="30"/>
        <v>1442</v>
      </c>
    </row>
    <row r="1721" spans="1:5">
      <c r="A1721" s="423">
        <v>41502</v>
      </c>
      <c r="B1721" s="424">
        <v>190925</v>
      </c>
      <c r="C1721" s="426">
        <v>2224.5</v>
      </c>
      <c r="D1721" s="425">
        <v>14640</v>
      </c>
      <c r="E1721" s="427">
        <f t="shared" si="30"/>
        <v>1464</v>
      </c>
    </row>
    <row r="1722" spans="1:5">
      <c r="A1722" s="423">
        <v>41505</v>
      </c>
      <c r="B1722" s="424">
        <v>189000</v>
      </c>
      <c r="C1722" s="426">
        <v>2238</v>
      </c>
      <c r="D1722" s="425">
        <v>14940</v>
      </c>
      <c r="E1722" s="427">
        <f t="shared" si="30"/>
        <v>1494</v>
      </c>
    </row>
    <row r="1723" spans="1:5">
      <c r="A1723" s="423">
        <v>41506</v>
      </c>
      <c r="B1723" s="424">
        <v>186025</v>
      </c>
      <c r="C1723" s="426">
        <v>2229.5</v>
      </c>
      <c r="D1723" s="425">
        <v>14810</v>
      </c>
      <c r="E1723" s="427">
        <f t="shared" si="30"/>
        <v>1481</v>
      </c>
    </row>
    <row r="1724" spans="1:5">
      <c r="A1724" s="423">
        <v>41507</v>
      </c>
      <c r="B1724" s="424">
        <v>189600</v>
      </c>
      <c r="C1724" s="426">
        <v>2220</v>
      </c>
      <c r="D1724" s="425">
        <v>14760</v>
      </c>
      <c r="E1724" s="427">
        <f t="shared" si="30"/>
        <v>1476</v>
      </c>
    </row>
    <row r="1725" spans="1:5">
      <c r="A1725" s="423">
        <v>41508</v>
      </c>
      <c r="B1725" s="424">
        <v>186625</v>
      </c>
      <c r="C1725" s="426">
        <v>2227.5</v>
      </c>
      <c r="D1725" s="425">
        <v>14790</v>
      </c>
      <c r="E1725" s="427">
        <f t="shared" si="30"/>
        <v>1479</v>
      </c>
    </row>
    <row r="1726" spans="1:5">
      <c r="A1726" s="423">
        <v>41509</v>
      </c>
      <c r="B1726" s="424">
        <v>187850</v>
      </c>
      <c r="C1726" s="426">
        <v>2197</v>
      </c>
      <c r="D1726" s="425">
        <v>14790</v>
      </c>
      <c r="E1726" s="427">
        <f t="shared" si="30"/>
        <v>1479</v>
      </c>
    </row>
    <row r="1727" spans="1:5">
      <c r="A1727" s="423">
        <v>41512</v>
      </c>
      <c r="B1727" s="603">
        <v>187850</v>
      </c>
      <c r="C1727" s="605">
        <v>2197</v>
      </c>
      <c r="D1727" s="425">
        <v>14860</v>
      </c>
      <c r="E1727" s="427">
        <f t="shared" si="30"/>
        <v>1486</v>
      </c>
    </row>
    <row r="1728" spans="1:5">
      <c r="A1728" s="423">
        <v>41513</v>
      </c>
      <c r="B1728" s="424">
        <v>186525</v>
      </c>
      <c r="C1728" s="426">
        <v>2205.5</v>
      </c>
      <c r="D1728" s="425">
        <v>14860</v>
      </c>
      <c r="E1728" s="427">
        <f t="shared" si="30"/>
        <v>1486</v>
      </c>
    </row>
    <row r="1729" spans="1:5">
      <c r="A1729" s="423">
        <v>41514</v>
      </c>
      <c r="B1729" s="424">
        <v>185950</v>
      </c>
      <c r="C1729" s="426">
        <v>2229.5</v>
      </c>
      <c r="D1729" s="425">
        <v>14860</v>
      </c>
      <c r="E1729" s="427">
        <f t="shared" si="30"/>
        <v>1486</v>
      </c>
    </row>
    <row r="1730" spans="1:5">
      <c r="A1730" s="423">
        <v>41515</v>
      </c>
      <c r="B1730" s="424">
        <v>186200</v>
      </c>
      <c r="C1730" s="426">
        <v>2200</v>
      </c>
      <c r="D1730" s="425">
        <v>14760</v>
      </c>
      <c r="E1730" s="427">
        <f t="shared" si="30"/>
        <v>1476</v>
      </c>
    </row>
    <row r="1731" spans="1:5">
      <c r="A1731" s="423">
        <v>41516</v>
      </c>
      <c r="B1731" s="424">
        <v>185675</v>
      </c>
      <c r="C1731" s="426">
        <v>2160.5</v>
      </c>
      <c r="D1731" s="425">
        <v>14690</v>
      </c>
      <c r="E1731" s="427">
        <f t="shared" si="30"/>
        <v>1469</v>
      </c>
    </row>
    <row r="1732" spans="1:5">
      <c r="A1732" s="423">
        <v>41519</v>
      </c>
      <c r="B1732" s="424">
        <v>185150</v>
      </c>
      <c r="C1732" s="426">
        <v>2152</v>
      </c>
      <c r="D1732" s="425">
        <v>14690</v>
      </c>
      <c r="E1732" s="427">
        <f t="shared" si="30"/>
        <v>1469</v>
      </c>
    </row>
    <row r="1733" spans="1:5">
      <c r="A1733" s="423">
        <v>41520</v>
      </c>
      <c r="B1733" s="424">
        <v>184725</v>
      </c>
      <c r="C1733" s="426">
        <v>2151.5</v>
      </c>
      <c r="D1733" s="425">
        <v>14660</v>
      </c>
      <c r="E1733" s="427">
        <f t="shared" si="30"/>
        <v>1466</v>
      </c>
    </row>
    <row r="1734" spans="1:5">
      <c r="A1734" s="423">
        <v>41521</v>
      </c>
      <c r="B1734" s="424">
        <v>185350</v>
      </c>
      <c r="C1734" s="426">
        <v>2122</v>
      </c>
      <c r="D1734" s="425">
        <v>14490</v>
      </c>
      <c r="E1734" s="427">
        <f t="shared" si="30"/>
        <v>1449</v>
      </c>
    </row>
    <row r="1735" spans="1:5">
      <c r="A1735" s="423">
        <v>41522</v>
      </c>
      <c r="B1735" s="424">
        <v>184450</v>
      </c>
      <c r="C1735" s="426">
        <v>2122</v>
      </c>
      <c r="D1735" s="425">
        <v>14440</v>
      </c>
      <c r="E1735" s="427">
        <f t="shared" si="30"/>
        <v>1444</v>
      </c>
    </row>
    <row r="1736" spans="1:5">
      <c r="A1736" s="423">
        <v>41523</v>
      </c>
      <c r="B1736" s="424">
        <v>183400</v>
      </c>
      <c r="C1736" s="426">
        <v>2151</v>
      </c>
      <c r="D1736" s="425">
        <v>14360</v>
      </c>
      <c r="E1736" s="427">
        <f t="shared" si="30"/>
        <v>1436</v>
      </c>
    </row>
    <row r="1737" spans="1:5">
      <c r="A1737" s="423">
        <v>41526</v>
      </c>
      <c r="B1737" s="424">
        <v>182375</v>
      </c>
      <c r="C1737" s="426">
        <v>2134.5</v>
      </c>
      <c r="D1737" s="425">
        <v>14440</v>
      </c>
      <c r="E1737" s="427">
        <f t="shared" si="30"/>
        <v>1444</v>
      </c>
    </row>
    <row r="1738" spans="1:5">
      <c r="A1738" s="423">
        <v>41527</v>
      </c>
      <c r="B1738" s="424">
        <v>181425</v>
      </c>
      <c r="C1738" s="426">
        <v>2125</v>
      </c>
      <c r="D1738" s="425">
        <v>14390</v>
      </c>
      <c r="E1738" s="427">
        <f t="shared" si="30"/>
        <v>1439</v>
      </c>
    </row>
    <row r="1739" spans="1:5">
      <c r="A1739" s="423">
        <v>41528</v>
      </c>
      <c r="B1739" s="424">
        <v>180425</v>
      </c>
      <c r="C1739" s="426">
        <v>2120</v>
      </c>
      <c r="D1739" s="425">
        <v>14370</v>
      </c>
      <c r="E1739" s="427">
        <f t="shared" si="30"/>
        <v>1437</v>
      </c>
    </row>
    <row r="1740" spans="1:5">
      <c r="A1740" s="423">
        <v>41529</v>
      </c>
      <c r="B1740" s="424">
        <v>182200</v>
      </c>
      <c r="C1740" s="426">
        <v>2083</v>
      </c>
      <c r="D1740" s="425">
        <v>14340</v>
      </c>
      <c r="E1740" s="427">
        <f t="shared" si="30"/>
        <v>1434</v>
      </c>
    </row>
    <row r="1741" spans="1:5">
      <c r="A1741" s="423">
        <v>41530</v>
      </c>
      <c r="B1741" s="424">
        <v>231675</v>
      </c>
      <c r="C1741" s="426">
        <v>2063</v>
      </c>
      <c r="D1741" s="425">
        <v>14290</v>
      </c>
      <c r="E1741" s="427">
        <f t="shared" si="30"/>
        <v>1429</v>
      </c>
    </row>
    <row r="1742" spans="1:5">
      <c r="A1742" s="423">
        <v>41533</v>
      </c>
      <c r="B1742" s="424">
        <v>231225</v>
      </c>
      <c r="C1742" s="426">
        <v>2039.5</v>
      </c>
      <c r="D1742" s="425">
        <v>14190</v>
      </c>
      <c r="E1742" s="427">
        <f t="shared" si="30"/>
        <v>1419</v>
      </c>
    </row>
    <row r="1743" spans="1:5">
      <c r="A1743" s="423">
        <v>41534</v>
      </c>
      <c r="B1743" s="424">
        <v>246100</v>
      </c>
      <c r="C1743" s="426">
        <v>2023</v>
      </c>
      <c r="D1743" s="425">
        <v>14060</v>
      </c>
      <c r="E1743" s="427">
        <f t="shared" si="30"/>
        <v>1406</v>
      </c>
    </row>
    <row r="1744" spans="1:5">
      <c r="A1744" s="423">
        <v>41535</v>
      </c>
      <c r="B1744" s="424">
        <v>245100</v>
      </c>
      <c r="C1744" s="426">
        <v>2053</v>
      </c>
      <c r="D1744" s="425">
        <v>13990</v>
      </c>
      <c r="E1744" s="427">
        <f t="shared" si="30"/>
        <v>1399</v>
      </c>
    </row>
    <row r="1745" spans="1:5">
      <c r="A1745" s="423">
        <v>41536</v>
      </c>
      <c r="B1745" s="424">
        <v>244100</v>
      </c>
      <c r="C1745" s="426">
        <v>2092</v>
      </c>
      <c r="D1745" s="604">
        <v>13990</v>
      </c>
      <c r="E1745" s="606">
        <f>D1745/10</f>
        <v>1399</v>
      </c>
    </row>
    <row r="1746" spans="1:5">
      <c r="A1746" s="423">
        <v>41537</v>
      </c>
      <c r="B1746" s="424">
        <v>244375</v>
      </c>
      <c r="C1746" s="426">
        <v>2075.5</v>
      </c>
      <c r="D1746" s="604">
        <v>13990</v>
      </c>
      <c r="E1746" s="606">
        <f>D1746/10</f>
        <v>1399</v>
      </c>
    </row>
    <row r="1747" spans="1:5">
      <c r="A1747" s="423">
        <v>41540</v>
      </c>
      <c r="B1747" s="424">
        <v>243550</v>
      </c>
      <c r="C1747" s="426">
        <v>2043</v>
      </c>
      <c r="D1747" s="425">
        <v>14010</v>
      </c>
      <c r="E1747" s="427">
        <f t="shared" si="30"/>
        <v>1401</v>
      </c>
    </row>
    <row r="1748" spans="1:5">
      <c r="A1748" s="423">
        <v>41541</v>
      </c>
      <c r="B1748" s="424">
        <v>244000</v>
      </c>
      <c r="C1748" s="426">
        <v>2045</v>
      </c>
      <c r="D1748" s="425">
        <v>14060</v>
      </c>
      <c r="E1748" s="427">
        <f t="shared" si="30"/>
        <v>1406</v>
      </c>
    </row>
    <row r="1749" spans="1:5">
      <c r="A1749" s="423">
        <v>41542</v>
      </c>
      <c r="B1749" s="424">
        <v>243500</v>
      </c>
      <c r="C1749" s="426">
        <v>2042.5</v>
      </c>
      <c r="D1749" s="425">
        <v>14060</v>
      </c>
      <c r="E1749" s="427">
        <f t="shared" si="30"/>
        <v>1406</v>
      </c>
    </row>
    <row r="1750" spans="1:5">
      <c r="A1750" s="423">
        <v>41543</v>
      </c>
      <c r="B1750" s="424">
        <v>241725</v>
      </c>
      <c r="C1750" s="426">
        <v>2061</v>
      </c>
      <c r="D1750" s="425">
        <v>14060</v>
      </c>
      <c r="E1750" s="427">
        <f t="shared" si="30"/>
        <v>1406</v>
      </c>
    </row>
    <row r="1751" spans="1:5">
      <c r="A1751" s="423">
        <v>41544</v>
      </c>
      <c r="B1751" s="424">
        <v>240600</v>
      </c>
      <c r="C1751" s="426">
        <v>2083</v>
      </c>
      <c r="D1751" s="425">
        <v>14110</v>
      </c>
      <c r="E1751" s="427">
        <f t="shared" si="30"/>
        <v>1411</v>
      </c>
    </row>
    <row r="1752" spans="1:5">
      <c r="A1752" s="423">
        <v>41547</v>
      </c>
      <c r="B1752" s="424">
        <v>239850</v>
      </c>
      <c r="C1752" s="426">
        <v>2075</v>
      </c>
      <c r="D1752" s="425">
        <v>14110</v>
      </c>
      <c r="E1752" s="427">
        <f t="shared" si="30"/>
        <v>1411</v>
      </c>
    </row>
    <row r="1753" spans="1:5">
      <c r="A1753" s="423">
        <v>41548</v>
      </c>
      <c r="B1753" s="424">
        <v>239350</v>
      </c>
      <c r="C1753" s="426">
        <v>2052.5</v>
      </c>
      <c r="D1753" s="604">
        <v>14110</v>
      </c>
      <c r="E1753" s="606">
        <f>D1753/10</f>
        <v>1411</v>
      </c>
    </row>
    <row r="1754" spans="1:5">
      <c r="A1754" s="423">
        <v>41549</v>
      </c>
      <c r="B1754" s="424">
        <v>238850</v>
      </c>
      <c r="C1754" s="426">
        <v>2035</v>
      </c>
      <c r="D1754" s="604">
        <v>14110</v>
      </c>
      <c r="E1754" s="606">
        <f>D1754/10</f>
        <v>1411</v>
      </c>
    </row>
    <row r="1755" spans="1:5">
      <c r="A1755" s="423">
        <v>41550</v>
      </c>
      <c r="B1755" s="424">
        <v>238300</v>
      </c>
      <c r="C1755" s="426">
        <v>2048</v>
      </c>
      <c r="D1755" s="604">
        <v>14110</v>
      </c>
      <c r="E1755" s="606">
        <f>D1755/10</f>
        <v>1411</v>
      </c>
    </row>
    <row r="1756" spans="1:5">
      <c r="A1756" s="423">
        <v>41551</v>
      </c>
      <c r="B1756" s="424">
        <v>237800</v>
      </c>
      <c r="C1756" s="426">
        <v>2027</v>
      </c>
      <c r="D1756" s="604">
        <v>14110</v>
      </c>
      <c r="E1756" s="606">
        <f>D1756/10</f>
        <v>1411</v>
      </c>
    </row>
    <row r="1757" spans="1:5">
      <c r="A1757" s="423">
        <v>41554</v>
      </c>
      <c r="B1757" s="424">
        <v>237300</v>
      </c>
      <c r="C1757" s="426">
        <v>2028</v>
      </c>
      <c r="D1757" s="604">
        <v>14110</v>
      </c>
      <c r="E1757" s="606">
        <f>D1757/10</f>
        <v>1411</v>
      </c>
    </row>
    <row r="1758" spans="1:5">
      <c r="A1758" s="423">
        <v>41555</v>
      </c>
      <c r="B1758" s="424">
        <v>236800</v>
      </c>
      <c r="C1758" s="426">
        <v>2056</v>
      </c>
      <c r="D1758" s="425">
        <v>14060</v>
      </c>
      <c r="E1758" s="427">
        <f t="shared" si="30"/>
        <v>1406</v>
      </c>
    </row>
    <row r="1759" spans="1:5">
      <c r="A1759" s="423">
        <v>41556</v>
      </c>
      <c r="B1759" s="424">
        <v>236425</v>
      </c>
      <c r="C1759" s="426">
        <v>2061</v>
      </c>
      <c r="D1759" s="425">
        <v>14060</v>
      </c>
      <c r="E1759" s="427">
        <f t="shared" si="30"/>
        <v>1406</v>
      </c>
    </row>
    <row r="1760" spans="1:5">
      <c r="A1760" s="423">
        <v>41557</v>
      </c>
      <c r="B1760" s="424">
        <v>236725</v>
      </c>
      <c r="C1760" s="426">
        <v>2054</v>
      </c>
      <c r="D1760" s="425">
        <v>14060</v>
      </c>
      <c r="E1760" s="427">
        <f t="shared" si="30"/>
        <v>1406</v>
      </c>
    </row>
    <row r="1761" spans="1:5">
      <c r="A1761" s="423">
        <v>41558</v>
      </c>
      <c r="B1761" s="424">
        <v>236725</v>
      </c>
      <c r="C1761" s="426">
        <v>2073</v>
      </c>
      <c r="D1761" s="425">
        <v>14090</v>
      </c>
      <c r="E1761" s="427">
        <f t="shared" si="30"/>
        <v>1409</v>
      </c>
    </row>
    <row r="1762" spans="1:5">
      <c r="A1762" s="423">
        <v>41561</v>
      </c>
      <c r="B1762" s="424">
        <v>235675</v>
      </c>
      <c r="C1762" s="426">
        <v>2102</v>
      </c>
      <c r="D1762" s="425">
        <v>14090</v>
      </c>
      <c r="E1762" s="427">
        <f t="shared" si="30"/>
        <v>1409</v>
      </c>
    </row>
    <row r="1763" spans="1:5">
      <c r="A1763" s="423">
        <v>41562</v>
      </c>
      <c r="B1763" s="424">
        <v>233675</v>
      </c>
      <c r="C1763" s="426">
        <v>2113</v>
      </c>
      <c r="D1763" s="425">
        <v>14140</v>
      </c>
      <c r="E1763" s="427">
        <f t="shared" si="30"/>
        <v>1414</v>
      </c>
    </row>
    <row r="1764" spans="1:5">
      <c r="A1764" s="423">
        <v>41563</v>
      </c>
      <c r="B1764" s="424">
        <v>233025</v>
      </c>
      <c r="C1764" s="426">
        <v>2103.5</v>
      </c>
      <c r="D1764" s="425">
        <v>14140</v>
      </c>
      <c r="E1764" s="427">
        <f t="shared" si="30"/>
        <v>1414</v>
      </c>
    </row>
    <row r="1765" spans="1:5">
      <c r="A1765" s="423">
        <v>41564</v>
      </c>
      <c r="B1765" s="424">
        <v>233025</v>
      </c>
      <c r="C1765" s="426">
        <v>2128</v>
      </c>
      <c r="D1765" s="425">
        <v>14160</v>
      </c>
      <c r="E1765" s="427">
        <f t="shared" si="30"/>
        <v>1416</v>
      </c>
    </row>
    <row r="1766" spans="1:5">
      <c r="A1766" s="423">
        <v>41565</v>
      </c>
      <c r="B1766" s="424">
        <v>232825</v>
      </c>
      <c r="C1766" s="426">
        <v>2158.5</v>
      </c>
      <c r="D1766" s="425">
        <v>14240</v>
      </c>
      <c r="E1766" s="427">
        <f t="shared" si="30"/>
        <v>1424</v>
      </c>
    </row>
    <row r="1767" spans="1:5">
      <c r="A1767" s="423">
        <v>41568</v>
      </c>
      <c r="B1767" s="424">
        <v>232825</v>
      </c>
      <c r="C1767" s="426">
        <v>2157.5</v>
      </c>
      <c r="D1767" s="425">
        <v>14240</v>
      </c>
      <c r="E1767" s="427">
        <f t="shared" si="30"/>
        <v>1424</v>
      </c>
    </row>
    <row r="1768" spans="1:5">
      <c r="A1768" s="423">
        <v>41569</v>
      </c>
      <c r="B1768" s="424">
        <v>232825</v>
      </c>
      <c r="C1768" s="426">
        <v>2183</v>
      </c>
      <c r="D1768" s="425">
        <v>14260</v>
      </c>
      <c r="E1768" s="427">
        <f t="shared" si="30"/>
        <v>1426</v>
      </c>
    </row>
    <row r="1769" spans="1:5">
      <c r="A1769" s="423">
        <v>41570</v>
      </c>
      <c r="B1769" s="424">
        <v>232425</v>
      </c>
      <c r="C1769" s="426">
        <v>2159</v>
      </c>
      <c r="D1769" s="425">
        <v>14310</v>
      </c>
      <c r="E1769" s="427">
        <f t="shared" si="30"/>
        <v>1431</v>
      </c>
    </row>
    <row r="1770" spans="1:5">
      <c r="A1770" s="423">
        <v>41571</v>
      </c>
      <c r="B1770" s="424">
        <v>232225</v>
      </c>
      <c r="C1770" s="426">
        <v>2141</v>
      </c>
      <c r="D1770" s="425">
        <v>14260</v>
      </c>
      <c r="E1770" s="427">
        <f t="shared" si="30"/>
        <v>1426</v>
      </c>
    </row>
    <row r="1771" spans="1:5">
      <c r="A1771" s="423">
        <v>41572</v>
      </c>
      <c r="B1771" s="424">
        <v>231125</v>
      </c>
      <c r="C1771" s="426">
        <v>2149</v>
      </c>
      <c r="D1771" s="425">
        <v>14260</v>
      </c>
      <c r="E1771" s="427">
        <f t="shared" si="30"/>
        <v>1426</v>
      </c>
    </row>
    <row r="1772" spans="1:5">
      <c r="A1772" s="423">
        <v>41575</v>
      </c>
      <c r="B1772" s="424">
        <v>232925</v>
      </c>
      <c r="C1772" s="426">
        <v>2183</v>
      </c>
      <c r="D1772" s="425">
        <v>14340</v>
      </c>
      <c r="E1772" s="427">
        <f t="shared" si="30"/>
        <v>1434</v>
      </c>
    </row>
    <row r="1773" spans="1:5">
      <c r="A1773" s="423">
        <v>41576</v>
      </c>
      <c r="B1773" s="424">
        <v>232925</v>
      </c>
      <c r="C1773" s="426">
        <v>2195</v>
      </c>
      <c r="D1773" s="425">
        <v>14330</v>
      </c>
      <c r="E1773" s="427">
        <f t="shared" si="30"/>
        <v>1433</v>
      </c>
    </row>
    <row r="1774" spans="1:5">
      <c r="A1774" s="423">
        <v>41577</v>
      </c>
      <c r="B1774" s="424">
        <v>232925</v>
      </c>
      <c r="C1774" s="426">
        <v>2186.5</v>
      </c>
      <c r="D1774" s="425">
        <v>14330</v>
      </c>
      <c r="E1774" s="427">
        <f t="shared" si="30"/>
        <v>1433</v>
      </c>
    </row>
    <row r="1775" spans="1:5">
      <c r="A1775" s="423">
        <v>41578</v>
      </c>
      <c r="B1775" s="424">
        <v>232925</v>
      </c>
      <c r="C1775" s="426">
        <v>2170</v>
      </c>
      <c r="D1775" s="425">
        <v>14290</v>
      </c>
      <c r="E1775" s="427">
        <f t="shared" si="30"/>
        <v>1429</v>
      </c>
    </row>
    <row r="1776" spans="1:5">
      <c r="A1776" s="423">
        <v>41579</v>
      </c>
      <c r="B1776" s="424">
        <v>233200</v>
      </c>
      <c r="C1776" s="426">
        <v>2171</v>
      </c>
      <c r="D1776" s="425">
        <v>14290</v>
      </c>
      <c r="E1776" s="427">
        <f t="shared" si="30"/>
        <v>1429</v>
      </c>
    </row>
    <row r="1777" spans="1:5">
      <c r="A1777" s="423">
        <v>41582</v>
      </c>
      <c r="B1777" s="424">
        <v>233150</v>
      </c>
      <c r="C1777" s="426">
        <v>2139</v>
      </c>
      <c r="D1777" s="425">
        <v>14290</v>
      </c>
      <c r="E1777" s="427">
        <f t="shared" si="30"/>
        <v>1429</v>
      </c>
    </row>
    <row r="1778" spans="1:5">
      <c r="A1778" s="423">
        <v>41583</v>
      </c>
      <c r="B1778" s="424">
        <v>233150</v>
      </c>
      <c r="C1778" s="426">
        <v>2123.5</v>
      </c>
      <c r="D1778" s="425">
        <v>14220</v>
      </c>
      <c r="E1778" s="427">
        <f t="shared" si="30"/>
        <v>1422</v>
      </c>
    </row>
    <row r="1779" spans="1:5">
      <c r="A1779" s="423">
        <v>41584</v>
      </c>
      <c r="B1779" s="424">
        <v>233150</v>
      </c>
      <c r="C1779" s="426">
        <v>2150</v>
      </c>
      <c r="D1779" s="425">
        <v>14220</v>
      </c>
      <c r="E1779" s="427">
        <f t="shared" si="30"/>
        <v>1422</v>
      </c>
    </row>
    <row r="1780" spans="1:5">
      <c r="A1780" s="423">
        <v>41585</v>
      </c>
      <c r="B1780" s="424">
        <v>233150</v>
      </c>
      <c r="C1780" s="426">
        <v>2117</v>
      </c>
      <c r="D1780" s="425">
        <v>14220</v>
      </c>
      <c r="E1780" s="427">
        <f t="shared" si="30"/>
        <v>1422</v>
      </c>
    </row>
    <row r="1781" spans="1:5">
      <c r="A1781" s="423">
        <v>41586</v>
      </c>
      <c r="B1781" s="424">
        <v>233000</v>
      </c>
      <c r="C1781" s="426">
        <v>2117</v>
      </c>
      <c r="D1781" s="425">
        <v>14220</v>
      </c>
      <c r="E1781" s="427">
        <f t="shared" si="30"/>
        <v>1422</v>
      </c>
    </row>
    <row r="1782" spans="1:5">
      <c r="A1782" s="423">
        <v>41589</v>
      </c>
      <c r="B1782" s="424">
        <v>233000</v>
      </c>
      <c r="C1782" s="426">
        <v>2107.5</v>
      </c>
      <c r="D1782" s="425">
        <v>14190</v>
      </c>
      <c r="E1782" s="427">
        <f t="shared" ref="E1782:E1817" si="31">D1782/10</f>
        <v>1419</v>
      </c>
    </row>
    <row r="1783" spans="1:5">
      <c r="A1783" s="423">
        <v>41590</v>
      </c>
      <c r="B1783" s="424">
        <v>233000</v>
      </c>
      <c r="C1783" s="426">
        <v>2092</v>
      </c>
      <c r="D1783" s="425">
        <v>14140</v>
      </c>
      <c r="E1783" s="427">
        <f t="shared" si="31"/>
        <v>1414</v>
      </c>
    </row>
    <row r="1784" spans="1:5">
      <c r="A1784" s="423">
        <v>41591</v>
      </c>
      <c r="B1784" s="424">
        <v>236675</v>
      </c>
      <c r="C1784" s="426">
        <v>2077</v>
      </c>
      <c r="D1784" s="425">
        <v>14060</v>
      </c>
      <c r="E1784" s="427">
        <f t="shared" si="31"/>
        <v>1406</v>
      </c>
    </row>
    <row r="1785" spans="1:5">
      <c r="A1785" s="423">
        <v>41592</v>
      </c>
      <c r="B1785" s="424">
        <v>236675</v>
      </c>
      <c r="C1785" s="426">
        <v>2074</v>
      </c>
      <c r="D1785" s="425">
        <v>14060</v>
      </c>
      <c r="E1785" s="427">
        <f t="shared" si="31"/>
        <v>1406</v>
      </c>
    </row>
    <row r="1786" spans="1:5">
      <c r="A1786" s="423">
        <v>41593</v>
      </c>
      <c r="B1786" s="424">
        <v>236675</v>
      </c>
      <c r="C1786" s="426">
        <v>2073</v>
      </c>
      <c r="D1786" s="425">
        <v>14060</v>
      </c>
      <c r="E1786" s="427">
        <f t="shared" si="31"/>
        <v>1406</v>
      </c>
    </row>
    <row r="1787" spans="1:5">
      <c r="A1787" s="423">
        <v>41596</v>
      </c>
      <c r="B1787" s="424">
        <v>236125</v>
      </c>
      <c r="C1787" s="426">
        <v>2072</v>
      </c>
      <c r="D1787" s="425">
        <v>14040</v>
      </c>
      <c r="E1787" s="427">
        <f t="shared" si="31"/>
        <v>1404</v>
      </c>
    </row>
    <row r="1788" spans="1:5">
      <c r="A1788" s="423">
        <v>41597</v>
      </c>
      <c r="B1788" s="424">
        <v>235425</v>
      </c>
      <c r="C1788" s="426">
        <v>2062.5</v>
      </c>
      <c r="D1788" s="425">
        <v>13960</v>
      </c>
      <c r="E1788" s="427">
        <f t="shared" si="31"/>
        <v>1396</v>
      </c>
    </row>
    <row r="1789" spans="1:5">
      <c r="A1789" s="423">
        <v>41598</v>
      </c>
      <c r="B1789" s="424">
        <v>234900</v>
      </c>
      <c r="C1789" s="426">
        <v>2074</v>
      </c>
      <c r="D1789" s="425">
        <v>13960</v>
      </c>
      <c r="E1789" s="427">
        <f t="shared" si="31"/>
        <v>1396</v>
      </c>
    </row>
    <row r="1790" spans="1:5">
      <c r="A1790" s="423">
        <v>41599</v>
      </c>
      <c r="B1790" s="424">
        <v>234125</v>
      </c>
      <c r="C1790" s="426">
        <v>2061</v>
      </c>
      <c r="D1790" s="425">
        <v>13960</v>
      </c>
      <c r="E1790" s="427">
        <f t="shared" si="31"/>
        <v>1396</v>
      </c>
    </row>
    <row r="1791" spans="1:5">
      <c r="A1791" s="423">
        <v>41600</v>
      </c>
      <c r="B1791" s="424">
        <v>233825</v>
      </c>
      <c r="C1791" s="426">
        <v>2083</v>
      </c>
      <c r="D1791" s="425">
        <v>13940</v>
      </c>
      <c r="E1791" s="427">
        <f t="shared" si="31"/>
        <v>1394</v>
      </c>
    </row>
    <row r="1792" spans="1:5">
      <c r="A1792" s="423">
        <v>41603</v>
      </c>
      <c r="B1792" s="424">
        <v>233625</v>
      </c>
      <c r="C1792" s="426">
        <v>2068</v>
      </c>
      <c r="D1792" s="425">
        <v>13940</v>
      </c>
      <c r="E1792" s="427">
        <f t="shared" si="31"/>
        <v>1394</v>
      </c>
    </row>
    <row r="1793" spans="1:5">
      <c r="A1793" s="423">
        <v>41604</v>
      </c>
      <c r="B1793" s="424">
        <v>232900</v>
      </c>
      <c r="C1793" s="426">
        <v>2073</v>
      </c>
      <c r="D1793" s="425">
        <v>13920</v>
      </c>
      <c r="E1793" s="427">
        <f t="shared" si="31"/>
        <v>1392</v>
      </c>
    </row>
    <row r="1794" spans="1:5">
      <c r="A1794" s="423">
        <v>41605</v>
      </c>
      <c r="B1794" s="424">
        <v>232375</v>
      </c>
      <c r="C1794" s="426">
        <v>2067</v>
      </c>
      <c r="D1794" s="425">
        <v>13920</v>
      </c>
      <c r="E1794" s="427">
        <f t="shared" si="31"/>
        <v>1392</v>
      </c>
    </row>
    <row r="1795" spans="1:5">
      <c r="A1795" s="423">
        <v>41606</v>
      </c>
      <c r="B1795" s="424">
        <v>231875</v>
      </c>
      <c r="C1795" s="426">
        <v>2041</v>
      </c>
      <c r="D1795" s="425">
        <v>13890</v>
      </c>
      <c r="E1795" s="427">
        <f t="shared" si="31"/>
        <v>1389</v>
      </c>
    </row>
    <row r="1796" spans="1:5">
      <c r="A1796" s="423">
        <v>41607</v>
      </c>
      <c r="B1796" s="424">
        <v>231375</v>
      </c>
      <c r="C1796" s="426">
        <v>2051.5</v>
      </c>
      <c r="D1796" s="425">
        <v>13890</v>
      </c>
      <c r="E1796" s="427">
        <f t="shared" si="31"/>
        <v>1389</v>
      </c>
    </row>
    <row r="1797" spans="1:5">
      <c r="A1797" s="423">
        <v>41610</v>
      </c>
      <c r="B1797" s="424">
        <v>230175</v>
      </c>
      <c r="C1797" s="426">
        <v>2040.5</v>
      </c>
      <c r="D1797" s="425">
        <v>13890</v>
      </c>
      <c r="E1797" s="427">
        <f t="shared" si="31"/>
        <v>1389</v>
      </c>
    </row>
    <row r="1798" spans="1:5">
      <c r="A1798" s="423">
        <v>41611</v>
      </c>
      <c r="B1798" s="424">
        <v>229950</v>
      </c>
      <c r="C1798" s="426">
        <v>2035.5</v>
      </c>
      <c r="D1798" s="425">
        <v>13840</v>
      </c>
      <c r="E1798" s="427">
        <f t="shared" si="31"/>
        <v>1384</v>
      </c>
    </row>
    <row r="1799" spans="1:5">
      <c r="A1799" s="423">
        <v>41612</v>
      </c>
      <c r="B1799" s="424">
        <v>229450</v>
      </c>
      <c r="C1799" s="426">
        <v>2047</v>
      </c>
      <c r="D1799" s="425">
        <v>13840</v>
      </c>
      <c r="E1799" s="427">
        <f t="shared" si="31"/>
        <v>1384</v>
      </c>
    </row>
    <row r="1800" spans="1:5">
      <c r="A1800" s="423">
        <v>41613</v>
      </c>
      <c r="B1800" s="424">
        <v>228925</v>
      </c>
      <c r="C1800" s="426">
        <v>2074</v>
      </c>
      <c r="D1800" s="425">
        <v>13840</v>
      </c>
      <c r="E1800" s="427">
        <f t="shared" si="31"/>
        <v>1384</v>
      </c>
    </row>
    <row r="1801" spans="1:5">
      <c r="A1801" s="423">
        <v>41614</v>
      </c>
      <c r="B1801" s="424">
        <v>227925</v>
      </c>
      <c r="C1801" s="426">
        <v>2067</v>
      </c>
      <c r="D1801" s="425">
        <v>13820</v>
      </c>
      <c r="E1801" s="427">
        <f t="shared" si="31"/>
        <v>1382</v>
      </c>
    </row>
    <row r="1802" spans="1:5">
      <c r="A1802" s="423">
        <v>41617</v>
      </c>
      <c r="B1802" s="424">
        <v>226950</v>
      </c>
      <c r="C1802" s="426">
        <v>2085.5</v>
      </c>
      <c r="D1802" s="425">
        <v>13840</v>
      </c>
      <c r="E1802" s="427">
        <f t="shared" si="31"/>
        <v>1384</v>
      </c>
    </row>
    <row r="1803" spans="1:5">
      <c r="A1803" s="423">
        <v>41618</v>
      </c>
      <c r="B1803" s="424">
        <v>225950</v>
      </c>
      <c r="C1803" s="426">
        <v>2103.5</v>
      </c>
      <c r="D1803" s="425">
        <v>13890</v>
      </c>
      <c r="E1803" s="427">
        <f t="shared" si="31"/>
        <v>1389</v>
      </c>
    </row>
    <row r="1804" spans="1:5">
      <c r="A1804" s="423">
        <v>41619</v>
      </c>
      <c r="B1804" s="424">
        <v>225950</v>
      </c>
      <c r="C1804" s="426">
        <v>2114</v>
      </c>
      <c r="D1804" s="425">
        <v>13910</v>
      </c>
      <c r="E1804" s="427">
        <f t="shared" si="31"/>
        <v>1391</v>
      </c>
    </row>
    <row r="1805" spans="1:5">
      <c r="A1805" s="423">
        <v>41620</v>
      </c>
      <c r="B1805" s="424">
        <v>223250</v>
      </c>
      <c r="C1805" s="426">
        <v>2114</v>
      </c>
      <c r="D1805" s="425">
        <v>13940</v>
      </c>
      <c r="E1805" s="427">
        <f t="shared" si="31"/>
        <v>1394</v>
      </c>
    </row>
    <row r="1806" spans="1:5">
      <c r="A1806" s="423">
        <v>41621</v>
      </c>
      <c r="B1806" s="424">
        <v>222150</v>
      </c>
      <c r="C1806" s="426">
        <v>2115.5</v>
      </c>
      <c r="D1806" s="425">
        <v>13920</v>
      </c>
      <c r="E1806" s="427">
        <f t="shared" si="31"/>
        <v>1392</v>
      </c>
    </row>
    <row r="1807" spans="1:5">
      <c r="A1807" s="423">
        <v>41624</v>
      </c>
      <c r="B1807" s="424">
        <v>221175</v>
      </c>
      <c r="C1807" s="426">
        <v>2151.5</v>
      </c>
      <c r="D1807" s="425">
        <v>13940</v>
      </c>
      <c r="E1807" s="427">
        <f t="shared" si="31"/>
        <v>1394</v>
      </c>
    </row>
    <row r="1808" spans="1:5">
      <c r="A1808" s="423">
        <v>41625</v>
      </c>
      <c r="B1808" s="424">
        <v>220150</v>
      </c>
      <c r="C1808" s="426">
        <v>2150</v>
      </c>
      <c r="D1808" s="425">
        <v>14025</v>
      </c>
      <c r="E1808" s="427">
        <f t="shared" si="31"/>
        <v>1402.5</v>
      </c>
    </row>
    <row r="1809" spans="1:5">
      <c r="A1809" s="423">
        <v>41626</v>
      </c>
      <c r="B1809" s="424">
        <v>219100</v>
      </c>
      <c r="C1809" s="426">
        <v>2131.5</v>
      </c>
      <c r="D1809" s="425">
        <v>14120</v>
      </c>
      <c r="E1809" s="427">
        <f t="shared" si="31"/>
        <v>1412</v>
      </c>
    </row>
    <row r="1810" spans="1:5">
      <c r="A1810" s="423">
        <v>41627</v>
      </c>
      <c r="B1810" s="424">
        <v>217475</v>
      </c>
      <c r="C1810" s="426">
        <v>2137.5</v>
      </c>
      <c r="D1810" s="425">
        <v>14090</v>
      </c>
      <c r="E1810" s="427">
        <f t="shared" si="31"/>
        <v>1409</v>
      </c>
    </row>
    <row r="1811" spans="1:5">
      <c r="A1811" s="423">
        <v>41628</v>
      </c>
      <c r="B1811" s="424">
        <v>216950</v>
      </c>
      <c r="C1811" s="426">
        <v>2169</v>
      </c>
      <c r="D1811" s="425">
        <v>14090</v>
      </c>
      <c r="E1811" s="427">
        <f t="shared" si="31"/>
        <v>1409</v>
      </c>
    </row>
    <row r="1812" spans="1:5">
      <c r="A1812" s="423">
        <v>41631</v>
      </c>
      <c r="B1812" s="424">
        <v>216450</v>
      </c>
      <c r="C1812" s="426">
        <v>2195.5</v>
      </c>
      <c r="D1812" s="425">
        <v>14190</v>
      </c>
      <c r="E1812" s="427">
        <f t="shared" si="31"/>
        <v>1419</v>
      </c>
    </row>
    <row r="1813" spans="1:5">
      <c r="A1813" s="423">
        <v>41632</v>
      </c>
      <c r="B1813" s="424">
        <v>215450</v>
      </c>
      <c r="C1813" s="426">
        <v>2223.5</v>
      </c>
      <c r="D1813" s="425">
        <v>14140</v>
      </c>
      <c r="E1813" s="427">
        <f t="shared" si="31"/>
        <v>1414</v>
      </c>
    </row>
    <row r="1814" spans="1:5">
      <c r="A1814" s="423">
        <v>41633</v>
      </c>
      <c r="B1814" s="603">
        <v>215450</v>
      </c>
      <c r="C1814" s="605">
        <v>2223.5</v>
      </c>
      <c r="D1814" s="425">
        <v>14220</v>
      </c>
      <c r="E1814" s="427">
        <f t="shared" si="31"/>
        <v>1422</v>
      </c>
    </row>
    <row r="1815" spans="1:5">
      <c r="A1815" s="423">
        <v>41634</v>
      </c>
      <c r="B1815" s="603">
        <v>215450</v>
      </c>
      <c r="C1815" s="605">
        <v>2223.5</v>
      </c>
      <c r="D1815" s="425">
        <v>14220</v>
      </c>
      <c r="E1815" s="427">
        <f t="shared" si="31"/>
        <v>1422</v>
      </c>
    </row>
    <row r="1816" spans="1:5">
      <c r="A1816" s="423">
        <v>41635</v>
      </c>
      <c r="B1816" s="424">
        <v>214950</v>
      </c>
      <c r="C1816" s="426">
        <v>2259</v>
      </c>
      <c r="D1816" s="425">
        <v>14190</v>
      </c>
      <c r="E1816" s="427">
        <f t="shared" si="31"/>
        <v>1419</v>
      </c>
    </row>
    <row r="1817" spans="1:5">
      <c r="A1817" s="423">
        <v>41638</v>
      </c>
      <c r="B1817" s="424">
        <v>214950</v>
      </c>
      <c r="C1817" s="426">
        <v>2240</v>
      </c>
      <c r="D1817" s="425">
        <v>14210</v>
      </c>
      <c r="E1817" s="427">
        <f t="shared" si="31"/>
        <v>1421</v>
      </c>
    </row>
    <row r="1818" spans="1:5">
      <c r="A1818" s="423">
        <v>41639</v>
      </c>
      <c r="B1818" s="424">
        <v>214450</v>
      </c>
      <c r="C1818" s="426">
        <v>2206</v>
      </c>
      <c r="D1818" s="425">
        <v>14210</v>
      </c>
      <c r="E1818" s="427">
        <f>D1818/10</f>
        <v>1421</v>
      </c>
    </row>
    <row r="1819" spans="1:5">
      <c r="A1819" s="423">
        <v>41641</v>
      </c>
      <c r="B1819" s="424">
        <v>213950</v>
      </c>
      <c r="C1819" s="426">
        <v>2212</v>
      </c>
      <c r="D1819" s="425">
        <v>14190</v>
      </c>
      <c r="E1819" s="427">
        <f>D1819/10</f>
        <v>1419</v>
      </c>
    </row>
    <row r="1820" spans="1:5">
      <c r="A1820" s="423">
        <v>41642</v>
      </c>
      <c r="B1820" s="424">
        <v>215200</v>
      </c>
      <c r="C1820" s="426">
        <v>2168</v>
      </c>
      <c r="D1820" s="425">
        <v>14190</v>
      </c>
      <c r="E1820" s="427">
        <f>D1820/10</f>
        <v>1419</v>
      </c>
    </row>
    <row r="1821" spans="1:5">
      <c r="A1821" s="423">
        <v>41645</v>
      </c>
      <c r="B1821" s="424">
        <v>215000</v>
      </c>
      <c r="C1821" s="426">
        <v>2136</v>
      </c>
      <c r="D1821" s="425">
        <v>14140</v>
      </c>
      <c r="E1821" s="427">
        <f t="shared" ref="E1821:E1881" si="32">D1821/10</f>
        <v>1414</v>
      </c>
    </row>
    <row r="1822" spans="1:5">
      <c r="A1822" s="423">
        <v>41646</v>
      </c>
      <c r="B1822" s="424">
        <v>214500</v>
      </c>
      <c r="C1822" s="426">
        <v>2157</v>
      </c>
      <c r="D1822" s="425">
        <v>14140</v>
      </c>
      <c r="E1822" s="427">
        <f t="shared" si="32"/>
        <v>1414</v>
      </c>
    </row>
    <row r="1823" spans="1:5">
      <c r="A1823" s="423">
        <v>41647</v>
      </c>
      <c r="B1823" s="424">
        <v>214000</v>
      </c>
      <c r="C1823" s="426">
        <v>2127</v>
      </c>
      <c r="D1823" s="425">
        <v>14120</v>
      </c>
      <c r="E1823" s="427">
        <f t="shared" si="32"/>
        <v>1412</v>
      </c>
    </row>
    <row r="1824" spans="1:5">
      <c r="A1824" s="423">
        <v>41648</v>
      </c>
      <c r="B1824" s="424">
        <v>213500</v>
      </c>
      <c r="C1824" s="426">
        <v>2093</v>
      </c>
      <c r="D1824" s="425">
        <v>14070</v>
      </c>
      <c r="E1824" s="427">
        <f t="shared" si="32"/>
        <v>1407</v>
      </c>
    </row>
    <row r="1825" spans="1:5">
      <c r="A1825" s="423">
        <v>41649</v>
      </c>
      <c r="B1825" s="424">
        <v>213000</v>
      </c>
      <c r="C1825" s="426">
        <v>2097</v>
      </c>
      <c r="D1825" s="425">
        <v>14010</v>
      </c>
      <c r="E1825" s="427">
        <f t="shared" si="32"/>
        <v>1401</v>
      </c>
    </row>
    <row r="1826" spans="1:5">
      <c r="A1826" s="423">
        <v>41652</v>
      </c>
      <c r="B1826" s="424">
        <v>212500</v>
      </c>
      <c r="C1826" s="426">
        <v>2119</v>
      </c>
      <c r="D1826" s="425">
        <v>14090</v>
      </c>
      <c r="E1826" s="427">
        <f t="shared" si="32"/>
        <v>1409</v>
      </c>
    </row>
    <row r="1827" spans="1:5">
      <c r="A1827" s="423">
        <v>41653</v>
      </c>
      <c r="B1827" s="424">
        <v>212000</v>
      </c>
      <c r="C1827" s="426">
        <v>2181.5</v>
      </c>
      <c r="D1827" s="425">
        <v>14090</v>
      </c>
      <c r="E1827" s="427">
        <f t="shared" si="32"/>
        <v>1409</v>
      </c>
    </row>
    <row r="1828" spans="1:5">
      <c r="A1828" s="423">
        <v>41654</v>
      </c>
      <c r="B1828" s="424">
        <v>211500</v>
      </c>
      <c r="C1828" s="426">
        <v>2151</v>
      </c>
      <c r="D1828" s="425">
        <v>14090</v>
      </c>
      <c r="E1828" s="427">
        <f t="shared" si="32"/>
        <v>1409</v>
      </c>
    </row>
    <row r="1829" spans="1:5">
      <c r="A1829" s="423">
        <v>41655</v>
      </c>
      <c r="B1829" s="424">
        <v>211000</v>
      </c>
      <c r="C1829" s="426">
        <v>2198.5</v>
      </c>
      <c r="D1829" s="425">
        <v>14090</v>
      </c>
      <c r="E1829" s="427">
        <f t="shared" si="32"/>
        <v>1409</v>
      </c>
    </row>
    <row r="1830" spans="1:5">
      <c r="A1830" s="423">
        <v>41656</v>
      </c>
      <c r="B1830" s="424">
        <v>209750</v>
      </c>
      <c r="C1830" s="426">
        <v>2175.5</v>
      </c>
      <c r="D1830" s="425">
        <v>14090</v>
      </c>
      <c r="E1830" s="427">
        <f t="shared" si="32"/>
        <v>1409</v>
      </c>
    </row>
    <row r="1831" spans="1:5">
      <c r="A1831" s="423">
        <v>41659</v>
      </c>
      <c r="B1831" s="424">
        <v>209250</v>
      </c>
      <c r="C1831" s="426">
        <v>2187.5</v>
      </c>
      <c r="D1831" s="425">
        <v>14090</v>
      </c>
      <c r="E1831" s="427">
        <f t="shared" si="32"/>
        <v>1409</v>
      </c>
    </row>
    <row r="1832" spans="1:5">
      <c r="A1832" s="423">
        <v>41660</v>
      </c>
      <c r="B1832" s="424">
        <v>209450</v>
      </c>
      <c r="C1832" s="426">
        <v>2176.5</v>
      </c>
      <c r="D1832" s="425">
        <v>14070</v>
      </c>
      <c r="E1832" s="427">
        <f t="shared" si="32"/>
        <v>1407</v>
      </c>
    </row>
    <row r="1833" spans="1:5">
      <c r="A1833" s="423">
        <v>41661</v>
      </c>
      <c r="B1833" s="424">
        <v>208850</v>
      </c>
      <c r="C1833" s="426">
        <v>2182</v>
      </c>
      <c r="D1833" s="425">
        <v>14060</v>
      </c>
      <c r="E1833" s="427">
        <f t="shared" si="32"/>
        <v>1406</v>
      </c>
    </row>
    <row r="1834" spans="1:5">
      <c r="A1834" s="423">
        <v>41662</v>
      </c>
      <c r="B1834" s="424">
        <v>207950</v>
      </c>
      <c r="C1834" s="426">
        <v>2155</v>
      </c>
      <c r="D1834" s="425">
        <v>14010</v>
      </c>
      <c r="E1834" s="427">
        <f t="shared" si="32"/>
        <v>1401</v>
      </c>
    </row>
    <row r="1835" spans="1:5">
      <c r="A1835" s="423">
        <v>41663</v>
      </c>
      <c r="B1835" s="424">
        <v>207575</v>
      </c>
      <c r="C1835" s="426">
        <v>2145.5</v>
      </c>
      <c r="D1835" s="425">
        <v>14010</v>
      </c>
      <c r="E1835" s="427">
        <f t="shared" si="32"/>
        <v>1401</v>
      </c>
    </row>
    <row r="1836" spans="1:5">
      <c r="A1836" s="423">
        <v>41666</v>
      </c>
      <c r="B1836" s="424">
        <v>209675</v>
      </c>
      <c r="C1836" s="426">
        <v>2136</v>
      </c>
      <c r="D1836" s="425">
        <v>13990</v>
      </c>
      <c r="E1836" s="427">
        <f t="shared" si="32"/>
        <v>1399</v>
      </c>
    </row>
    <row r="1837" spans="1:5">
      <c r="A1837" s="423">
        <v>41667</v>
      </c>
      <c r="B1837" s="424">
        <v>209175</v>
      </c>
      <c r="C1837" s="426">
        <v>2127</v>
      </c>
      <c r="D1837" s="425">
        <v>13990</v>
      </c>
      <c r="E1837" s="427">
        <f t="shared" si="32"/>
        <v>1399</v>
      </c>
    </row>
    <row r="1838" spans="1:5">
      <c r="A1838" s="423">
        <v>41668</v>
      </c>
      <c r="B1838" s="424">
        <v>209175</v>
      </c>
      <c r="C1838" s="426">
        <v>2143</v>
      </c>
      <c r="D1838" s="425">
        <v>13990</v>
      </c>
      <c r="E1838" s="427">
        <f t="shared" si="32"/>
        <v>1399</v>
      </c>
    </row>
    <row r="1839" spans="1:5">
      <c r="A1839" s="423">
        <v>41669</v>
      </c>
      <c r="B1839" s="424">
        <v>208975</v>
      </c>
      <c r="C1839" s="426">
        <v>2116</v>
      </c>
      <c r="D1839" s="425">
        <v>13990</v>
      </c>
      <c r="E1839" s="427">
        <f t="shared" si="32"/>
        <v>1399</v>
      </c>
    </row>
    <row r="1840" spans="1:5">
      <c r="A1840" s="602">
        <v>41670</v>
      </c>
      <c r="B1840" s="603">
        <v>208475</v>
      </c>
      <c r="C1840" s="605">
        <v>2091.5</v>
      </c>
      <c r="D1840" s="604">
        <v>13990</v>
      </c>
      <c r="E1840" s="606">
        <f>D1840/10</f>
        <v>1399</v>
      </c>
    </row>
    <row r="1841" spans="1:5">
      <c r="A1841" s="602">
        <v>41673</v>
      </c>
      <c r="B1841" s="603">
        <v>208425</v>
      </c>
      <c r="C1841" s="605">
        <v>2087.5</v>
      </c>
      <c r="D1841" s="604">
        <v>13990</v>
      </c>
      <c r="E1841" s="606">
        <f>D1841/10</f>
        <v>1399</v>
      </c>
    </row>
    <row r="1842" spans="1:5">
      <c r="A1842" s="602">
        <v>41674</v>
      </c>
      <c r="B1842" s="603">
        <v>207925</v>
      </c>
      <c r="C1842" s="605">
        <v>2091.5</v>
      </c>
      <c r="D1842" s="604">
        <v>13990</v>
      </c>
      <c r="E1842" s="606">
        <f>D1842/10</f>
        <v>1399</v>
      </c>
    </row>
    <row r="1843" spans="1:5">
      <c r="A1843" s="602">
        <v>41675</v>
      </c>
      <c r="B1843" s="603">
        <v>207425</v>
      </c>
      <c r="C1843" s="605">
        <v>2093</v>
      </c>
      <c r="D1843" s="604">
        <v>13990</v>
      </c>
      <c r="E1843" s="606">
        <f>D1843/10</f>
        <v>1399</v>
      </c>
    </row>
    <row r="1844" spans="1:5">
      <c r="A1844" s="602">
        <v>41676</v>
      </c>
      <c r="B1844" s="603">
        <v>206925</v>
      </c>
      <c r="C1844" s="605">
        <v>2078</v>
      </c>
      <c r="D1844" s="604">
        <v>13990</v>
      </c>
      <c r="E1844" s="606">
        <f>D1844/10</f>
        <v>1399</v>
      </c>
    </row>
    <row r="1845" spans="1:5">
      <c r="A1845" s="602">
        <v>41677</v>
      </c>
      <c r="B1845" s="603">
        <v>206425</v>
      </c>
      <c r="C1845" s="605">
        <v>2117</v>
      </c>
      <c r="D1845" s="607">
        <v>13990</v>
      </c>
      <c r="E1845" s="606">
        <f t="shared" si="32"/>
        <v>1399</v>
      </c>
    </row>
    <row r="1846" spans="1:5">
      <c r="A1846" s="602">
        <v>41680</v>
      </c>
      <c r="B1846" s="603">
        <v>205925</v>
      </c>
      <c r="C1846" s="605">
        <v>2111.5</v>
      </c>
      <c r="D1846" s="607">
        <v>13990</v>
      </c>
      <c r="E1846" s="606">
        <f t="shared" si="32"/>
        <v>1399</v>
      </c>
    </row>
    <row r="1847" spans="1:5">
      <c r="A1847" s="602">
        <v>41681</v>
      </c>
      <c r="B1847" s="603">
        <v>205425</v>
      </c>
      <c r="C1847" s="605">
        <v>2085</v>
      </c>
      <c r="D1847" s="607">
        <v>13990</v>
      </c>
      <c r="E1847" s="606">
        <f t="shared" si="32"/>
        <v>1399</v>
      </c>
    </row>
    <row r="1848" spans="1:5">
      <c r="A1848" s="602">
        <v>41682</v>
      </c>
      <c r="B1848" s="603">
        <v>204925</v>
      </c>
      <c r="C1848" s="605">
        <v>2103.5</v>
      </c>
      <c r="D1848" s="607">
        <v>13990</v>
      </c>
      <c r="E1848" s="606">
        <f t="shared" si="32"/>
        <v>1399</v>
      </c>
    </row>
    <row r="1849" spans="1:5">
      <c r="A1849" s="602">
        <v>41683</v>
      </c>
      <c r="B1849" s="603">
        <v>204425</v>
      </c>
      <c r="C1849" s="605">
        <v>2105</v>
      </c>
      <c r="D1849" s="607">
        <v>13960</v>
      </c>
      <c r="E1849" s="606">
        <f t="shared" si="32"/>
        <v>1396</v>
      </c>
    </row>
    <row r="1850" spans="1:5">
      <c r="A1850" s="602">
        <v>41684</v>
      </c>
      <c r="B1850" s="603">
        <v>203925</v>
      </c>
      <c r="C1850" s="605">
        <v>2123</v>
      </c>
      <c r="D1850" s="607">
        <v>13910</v>
      </c>
      <c r="E1850" s="606">
        <f t="shared" si="32"/>
        <v>1391</v>
      </c>
    </row>
    <row r="1851" spans="1:5">
      <c r="A1851" s="602">
        <v>41687</v>
      </c>
      <c r="B1851" s="603">
        <v>203425</v>
      </c>
      <c r="C1851" s="605">
        <v>2131.5</v>
      </c>
      <c r="D1851" s="607">
        <v>13910</v>
      </c>
      <c r="E1851" s="606">
        <f t="shared" si="32"/>
        <v>1391</v>
      </c>
    </row>
    <row r="1852" spans="1:5">
      <c r="A1852" s="602">
        <v>41688</v>
      </c>
      <c r="B1852" s="603">
        <v>202925</v>
      </c>
      <c r="C1852" s="605">
        <v>2132.5</v>
      </c>
      <c r="D1852" s="607">
        <v>13910</v>
      </c>
      <c r="E1852" s="606">
        <f t="shared" si="32"/>
        <v>1391</v>
      </c>
    </row>
    <row r="1853" spans="1:5">
      <c r="A1853" s="602">
        <v>41689</v>
      </c>
      <c r="B1853" s="603">
        <v>201875</v>
      </c>
      <c r="C1853" s="605">
        <v>2155</v>
      </c>
      <c r="D1853" s="607">
        <v>13940</v>
      </c>
      <c r="E1853" s="606">
        <f t="shared" si="32"/>
        <v>1394</v>
      </c>
    </row>
    <row r="1854" spans="1:5">
      <c r="A1854" s="602">
        <v>41690</v>
      </c>
      <c r="B1854" s="603">
        <v>201275</v>
      </c>
      <c r="C1854" s="605">
        <v>2124</v>
      </c>
      <c r="D1854" s="607">
        <v>13940</v>
      </c>
      <c r="E1854" s="606">
        <f t="shared" si="32"/>
        <v>1394</v>
      </c>
    </row>
    <row r="1855" spans="1:5">
      <c r="A1855" s="602">
        <v>41691</v>
      </c>
      <c r="B1855" s="603">
        <v>201350</v>
      </c>
      <c r="C1855" s="605">
        <v>2133</v>
      </c>
      <c r="D1855" s="607">
        <v>13920</v>
      </c>
      <c r="E1855" s="606">
        <f t="shared" si="32"/>
        <v>1392</v>
      </c>
    </row>
    <row r="1856" spans="1:5">
      <c r="A1856" s="602">
        <v>41694</v>
      </c>
      <c r="B1856" s="603">
        <v>201350</v>
      </c>
      <c r="C1856" s="605">
        <v>2102</v>
      </c>
      <c r="D1856" s="607">
        <v>13870</v>
      </c>
      <c r="E1856" s="606">
        <f t="shared" si="32"/>
        <v>1387</v>
      </c>
    </row>
    <row r="1857" spans="1:6">
      <c r="A1857" s="602">
        <v>41695</v>
      </c>
      <c r="B1857" s="603">
        <v>201350</v>
      </c>
      <c r="C1857" s="605">
        <v>2112</v>
      </c>
      <c r="D1857" s="607">
        <v>13870</v>
      </c>
      <c r="E1857" s="606">
        <f t="shared" si="32"/>
        <v>1387</v>
      </c>
    </row>
    <row r="1858" spans="1:6">
      <c r="A1858" s="602">
        <v>41696</v>
      </c>
      <c r="B1858" s="603">
        <v>202575</v>
      </c>
      <c r="C1858" s="605">
        <v>2110</v>
      </c>
      <c r="D1858" s="607">
        <v>13840</v>
      </c>
      <c r="E1858" s="606">
        <f t="shared" si="32"/>
        <v>1384</v>
      </c>
    </row>
    <row r="1859" spans="1:6">
      <c r="A1859" s="602">
        <v>41697</v>
      </c>
      <c r="B1859" s="603">
        <v>202425</v>
      </c>
      <c r="C1859" s="605">
        <v>2099</v>
      </c>
      <c r="D1859" s="607">
        <v>13840</v>
      </c>
      <c r="E1859" s="606">
        <f t="shared" si="32"/>
        <v>1384</v>
      </c>
    </row>
    <row r="1860" spans="1:6">
      <c r="A1860" s="627">
        <v>41698</v>
      </c>
      <c r="B1860" s="628">
        <v>202225</v>
      </c>
      <c r="C1860" s="629">
        <v>2115.5</v>
      </c>
      <c r="D1860" s="630">
        <v>13840</v>
      </c>
      <c r="E1860" s="631">
        <f t="shared" si="32"/>
        <v>1384</v>
      </c>
      <c r="F1860" s="632"/>
    </row>
    <row r="1861" spans="1:6">
      <c r="A1861" s="602">
        <v>41701</v>
      </c>
      <c r="B1861" s="603">
        <v>202775</v>
      </c>
      <c r="C1861" s="605">
        <v>2081</v>
      </c>
      <c r="D1861" s="607">
        <v>13790</v>
      </c>
      <c r="E1861" s="606">
        <f t="shared" si="32"/>
        <v>1379</v>
      </c>
    </row>
    <row r="1862" spans="1:6">
      <c r="A1862" s="602">
        <v>41702</v>
      </c>
      <c r="B1862" s="603">
        <v>202775</v>
      </c>
      <c r="C1862" s="605">
        <v>2102.5</v>
      </c>
      <c r="D1862" s="607">
        <v>13790</v>
      </c>
      <c r="E1862" s="606">
        <f t="shared" si="32"/>
        <v>1379</v>
      </c>
    </row>
    <row r="1863" spans="1:6">
      <c r="A1863" s="602">
        <v>41703</v>
      </c>
      <c r="B1863" s="603">
        <v>202650</v>
      </c>
      <c r="C1863" s="605">
        <v>2123.5</v>
      </c>
      <c r="D1863" s="607">
        <v>13810</v>
      </c>
      <c r="E1863" s="606">
        <f t="shared" si="32"/>
        <v>1381</v>
      </c>
    </row>
    <row r="1864" spans="1:6">
      <c r="A1864" s="602">
        <v>41704</v>
      </c>
      <c r="B1864" s="603">
        <v>203975</v>
      </c>
      <c r="C1864" s="605">
        <v>2105</v>
      </c>
      <c r="D1864" s="607">
        <v>13790</v>
      </c>
      <c r="E1864" s="606">
        <f t="shared" si="32"/>
        <v>1379</v>
      </c>
    </row>
    <row r="1865" spans="1:6">
      <c r="A1865" s="602">
        <v>41705</v>
      </c>
      <c r="B1865" s="603">
        <v>203975</v>
      </c>
      <c r="C1865" s="605">
        <v>2084.5</v>
      </c>
      <c r="D1865" s="607">
        <v>13760</v>
      </c>
      <c r="E1865" s="606">
        <f t="shared" si="32"/>
        <v>1376</v>
      </c>
    </row>
    <row r="1866" spans="1:6">
      <c r="A1866" s="602">
        <v>41708</v>
      </c>
      <c r="B1866" s="603">
        <v>203800</v>
      </c>
      <c r="C1866" s="605">
        <v>2039</v>
      </c>
      <c r="D1866" s="607">
        <v>13640</v>
      </c>
      <c r="E1866" s="606">
        <f t="shared" si="32"/>
        <v>1364</v>
      </c>
    </row>
    <row r="1867" spans="1:6">
      <c r="A1867" s="602">
        <v>41709</v>
      </c>
      <c r="B1867" s="603">
        <v>203325</v>
      </c>
      <c r="C1867" s="605">
        <v>2079</v>
      </c>
      <c r="D1867" s="607">
        <v>13690</v>
      </c>
      <c r="E1867" s="606">
        <f t="shared" si="32"/>
        <v>1369</v>
      </c>
    </row>
    <row r="1868" spans="1:6">
      <c r="A1868" s="602">
        <v>41710</v>
      </c>
      <c r="B1868" s="603">
        <v>203100</v>
      </c>
      <c r="C1868" s="605">
        <v>2022</v>
      </c>
      <c r="D1868" s="607">
        <v>13660</v>
      </c>
      <c r="E1868" s="606">
        <f t="shared" si="32"/>
        <v>1366</v>
      </c>
    </row>
    <row r="1869" spans="1:6">
      <c r="A1869" s="602">
        <v>41711</v>
      </c>
      <c r="B1869" s="603">
        <v>202400</v>
      </c>
      <c r="C1869" s="605">
        <v>2008</v>
      </c>
      <c r="D1869" s="607">
        <v>13660</v>
      </c>
      <c r="E1869" s="606">
        <f t="shared" si="32"/>
        <v>1366</v>
      </c>
    </row>
    <row r="1870" spans="1:6">
      <c r="A1870" s="602">
        <v>41712</v>
      </c>
      <c r="B1870" s="603">
        <v>201850</v>
      </c>
      <c r="C1870" s="605">
        <v>2018</v>
      </c>
      <c r="D1870" s="607">
        <v>13640</v>
      </c>
      <c r="E1870" s="606">
        <f t="shared" si="32"/>
        <v>1364</v>
      </c>
    </row>
    <row r="1871" spans="1:6">
      <c r="A1871" s="602">
        <v>41715</v>
      </c>
      <c r="B1871" s="603">
        <v>202075</v>
      </c>
      <c r="C1871" s="605">
        <v>2035.5</v>
      </c>
      <c r="D1871" s="607">
        <v>13640</v>
      </c>
      <c r="E1871" s="606">
        <f t="shared" si="32"/>
        <v>1364</v>
      </c>
    </row>
    <row r="1872" spans="1:6">
      <c r="A1872" s="602">
        <v>41716</v>
      </c>
      <c r="B1872" s="603">
        <v>201675</v>
      </c>
      <c r="C1872" s="605">
        <v>2027</v>
      </c>
      <c r="D1872" s="607">
        <v>13640</v>
      </c>
      <c r="E1872" s="606">
        <f t="shared" si="32"/>
        <v>1364</v>
      </c>
    </row>
    <row r="1873" spans="1:5">
      <c r="A1873" s="602">
        <v>41717</v>
      </c>
      <c r="B1873" s="603">
        <v>201050</v>
      </c>
      <c r="C1873" s="605">
        <v>2035.5</v>
      </c>
      <c r="D1873" s="607">
        <v>13660</v>
      </c>
      <c r="E1873" s="606">
        <f t="shared" si="32"/>
        <v>1366</v>
      </c>
    </row>
    <row r="1874" spans="1:5">
      <c r="A1874" s="602">
        <v>41718</v>
      </c>
      <c r="B1874" s="603">
        <v>200700</v>
      </c>
      <c r="C1874" s="605">
        <v>2046</v>
      </c>
      <c r="D1874" s="607">
        <v>13690</v>
      </c>
      <c r="E1874" s="606">
        <f t="shared" si="32"/>
        <v>1369</v>
      </c>
    </row>
    <row r="1875" spans="1:5">
      <c r="A1875" s="602">
        <v>41719</v>
      </c>
      <c r="B1875" s="603">
        <v>200700</v>
      </c>
      <c r="C1875" s="605">
        <v>2061</v>
      </c>
      <c r="D1875" s="607">
        <v>13690</v>
      </c>
      <c r="E1875" s="606">
        <f t="shared" si="32"/>
        <v>1369</v>
      </c>
    </row>
    <row r="1876" spans="1:5">
      <c r="A1876" s="602">
        <v>41722</v>
      </c>
      <c r="B1876" s="603">
        <v>200700</v>
      </c>
      <c r="C1876" s="605">
        <v>2049.5</v>
      </c>
      <c r="D1876" s="607">
        <v>13690</v>
      </c>
      <c r="E1876" s="606">
        <f t="shared" si="32"/>
        <v>1369</v>
      </c>
    </row>
    <row r="1877" spans="1:5">
      <c r="A1877" s="602">
        <v>41723</v>
      </c>
      <c r="B1877" s="603">
        <v>200700</v>
      </c>
      <c r="C1877" s="605">
        <v>2059</v>
      </c>
      <c r="D1877" s="607">
        <v>13690</v>
      </c>
      <c r="E1877" s="606">
        <f t="shared" si="32"/>
        <v>1369</v>
      </c>
    </row>
    <row r="1878" spans="1:5">
      <c r="A1878" s="602">
        <v>41724</v>
      </c>
      <c r="B1878" s="603">
        <v>200625</v>
      </c>
      <c r="C1878" s="605">
        <v>2065</v>
      </c>
      <c r="D1878" s="607">
        <v>13720</v>
      </c>
      <c r="E1878" s="606">
        <f t="shared" si="32"/>
        <v>1372</v>
      </c>
    </row>
    <row r="1879" spans="1:5">
      <c r="A1879" s="602">
        <v>41725</v>
      </c>
      <c r="B1879" s="603">
        <v>200400</v>
      </c>
      <c r="C1879" s="605">
        <v>2043.5</v>
      </c>
      <c r="D1879" s="607">
        <v>13720</v>
      </c>
      <c r="E1879" s="606">
        <f t="shared" si="32"/>
        <v>1372</v>
      </c>
    </row>
    <row r="1880" spans="1:5">
      <c r="A1880" s="602">
        <v>41726</v>
      </c>
      <c r="B1880" s="603">
        <v>200375</v>
      </c>
      <c r="C1880" s="605">
        <v>2058</v>
      </c>
      <c r="D1880" s="607">
        <v>13720</v>
      </c>
      <c r="E1880" s="606">
        <f t="shared" si="32"/>
        <v>1372</v>
      </c>
    </row>
    <row r="1881" spans="1:5">
      <c r="A1881" s="627">
        <v>41729</v>
      </c>
      <c r="B1881" s="628">
        <v>200325</v>
      </c>
      <c r="C1881" s="629">
        <v>2041</v>
      </c>
      <c r="D1881" s="630">
        <v>13720</v>
      </c>
      <c r="E1881" s="631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enableFormatConditionsCalculation="0">
    <tabColor indexed="17"/>
  </sheetPr>
  <dimension ref="A1:IV68"/>
  <sheetViews>
    <sheetView showGridLines="0" topLeftCell="A2" zoomScale="90" zoomScaleNormal="90" workbookViewId="0">
      <selection activeCell="I63" sqref="I63"/>
    </sheetView>
  </sheetViews>
  <sheetFormatPr defaultRowHeight="15" customHeight="1"/>
  <cols>
    <col min="1" max="1" width="10.44140625" style="68" customWidth="1"/>
    <col min="2" max="14" width="8.77734375" style="53" customWidth="1"/>
    <col min="15" max="16384" width="8.88671875" style="53"/>
  </cols>
  <sheetData>
    <row r="1" spans="1:14" ht="18.75" customHeight="1">
      <c r="A1" s="65" t="s">
        <v>128</v>
      </c>
    </row>
    <row r="2" spans="1:14" s="68" customFormat="1" ht="18.75" customHeight="1">
      <c r="A2" s="66" t="s">
        <v>129</v>
      </c>
      <c r="B2" s="67" t="s">
        <v>130</v>
      </c>
      <c r="C2" s="67" t="s">
        <v>22</v>
      </c>
      <c r="D2" s="67" t="s">
        <v>23</v>
      </c>
      <c r="E2" s="67" t="s">
        <v>24</v>
      </c>
      <c r="F2" s="67" t="s">
        <v>25</v>
      </c>
      <c r="G2" s="67" t="s">
        <v>26</v>
      </c>
      <c r="H2" s="67" t="s">
        <v>27</v>
      </c>
      <c r="I2" s="67" t="s">
        <v>28</v>
      </c>
      <c r="J2" s="67" t="s">
        <v>29</v>
      </c>
      <c r="K2" s="67" t="s">
        <v>30</v>
      </c>
      <c r="L2" s="67" t="s">
        <v>31</v>
      </c>
      <c r="M2" s="67" t="s">
        <v>32</v>
      </c>
      <c r="N2" s="67" t="s">
        <v>131</v>
      </c>
    </row>
    <row r="3" spans="1:14" s="178" customFormat="1" ht="18.75" hidden="1" customHeight="1">
      <c r="A3" s="176" t="s">
        <v>132</v>
      </c>
      <c r="B3" s="177">
        <v>673.19</v>
      </c>
      <c r="C3" s="177">
        <v>810.15</v>
      </c>
      <c r="D3" s="177">
        <v>557.22</v>
      </c>
      <c r="E3" s="177">
        <v>541.66</v>
      </c>
      <c r="F3" s="177">
        <v>206.43</v>
      </c>
      <c r="G3" s="177">
        <v>547.76</v>
      </c>
      <c r="H3" s="177">
        <v>630.99</v>
      </c>
      <c r="I3" s="177">
        <v>774</v>
      </c>
      <c r="J3" s="177">
        <v>624.19000000000005</v>
      </c>
      <c r="K3" s="177">
        <v>528.63</v>
      </c>
      <c r="L3" s="177">
        <v>502.62</v>
      </c>
      <c r="M3" s="177">
        <v>453.95</v>
      </c>
      <c r="N3" s="177">
        <f>AVERAGE(B3:M3)</f>
        <v>570.8991666666667</v>
      </c>
    </row>
    <row r="4" spans="1:14" s="174" customFormat="1" ht="18.75" hidden="1" customHeight="1">
      <c r="A4" s="172" t="s">
        <v>33</v>
      </c>
      <c r="B4" s="173">
        <v>707.66</v>
      </c>
      <c r="C4" s="173">
        <v>779.93</v>
      </c>
      <c r="D4" s="173">
        <v>1060.67</v>
      </c>
      <c r="E4" s="173">
        <v>836.17</v>
      </c>
      <c r="F4" s="173">
        <v>825.47</v>
      </c>
      <c r="G4" s="173">
        <v>837.46</v>
      </c>
      <c r="H4" s="173">
        <v>874.08</v>
      </c>
      <c r="I4" s="173">
        <v>874.07</v>
      </c>
      <c r="J4" s="173">
        <v>838.05</v>
      </c>
      <c r="K4" s="173">
        <v>760.63</v>
      </c>
      <c r="L4" s="173">
        <v>701.14</v>
      </c>
      <c r="M4" s="173">
        <v>626.49</v>
      </c>
      <c r="N4" s="173">
        <f t="shared" ref="N4:N18" si="0">AVERAGE(B4:M4)</f>
        <v>810.15166666666664</v>
      </c>
    </row>
    <row r="5" spans="1:14" s="174" customFormat="1" ht="18.75" hidden="1" customHeight="1">
      <c r="A5" s="172" t="s">
        <v>34</v>
      </c>
      <c r="B5" s="173">
        <v>600.01</v>
      </c>
      <c r="C5" s="173">
        <v>593.98</v>
      </c>
      <c r="D5" s="173">
        <v>604.78</v>
      </c>
      <c r="E5" s="173">
        <v>600.38</v>
      </c>
      <c r="F5" s="173">
        <v>555.91</v>
      </c>
      <c r="G5" s="173">
        <v>548.4</v>
      </c>
      <c r="H5" s="173">
        <v>546.71</v>
      </c>
      <c r="I5" s="173">
        <v>539.78</v>
      </c>
      <c r="J5" s="173">
        <v>538.97</v>
      </c>
      <c r="K5" s="173">
        <v>522.11</v>
      </c>
      <c r="L5" s="173">
        <v>505.49</v>
      </c>
      <c r="M5" s="173">
        <v>530.09</v>
      </c>
      <c r="N5" s="173">
        <f t="shared" si="0"/>
        <v>557.21749999999997</v>
      </c>
    </row>
    <row r="6" spans="1:14" s="174" customFormat="1" ht="18.75" hidden="1" customHeight="1">
      <c r="A6" s="172" t="s">
        <v>35</v>
      </c>
      <c r="B6" s="173">
        <v>515.69000000000005</v>
      </c>
      <c r="C6" s="173">
        <v>504.68</v>
      </c>
      <c r="D6" s="173">
        <v>521.38</v>
      </c>
      <c r="E6" s="173">
        <v>532.79</v>
      </c>
      <c r="F6" s="173">
        <v>520.55999999999995</v>
      </c>
      <c r="G6" s="173">
        <v>547.59</v>
      </c>
      <c r="H6" s="173">
        <v>626.45000000000005</v>
      </c>
      <c r="I6" s="173">
        <v>652.46</v>
      </c>
      <c r="J6" s="173">
        <v>623.74</v>
      </c>
      <c r="K6" s="173">
        <v>538.91999999999996</v>
      </c>
      <c r="L6" s="173">
        <v>460.52</v>
      </c>
      <c r="M6" s="173">
        <v>455.16</v>
      </c>
      <c r="N6" s="173">
        <f t="shared" si="0"/>
        <v>541.66166666666675</v>
      </c>
    </row>
    <row r="7" spans="1:14" s="174" customFormat="1" ht="18.75" hidden="1" customHeight="1">
      <c r="A7" s="172" t="s">
        <v>36</v>
      </c>
      <c r="B7" s="173">
        <v>436.54</v>
      </c>
      <c r="C7" s="173">
        <v>413.5</v>
      </c>
      <c r="D7" s="173">
        <v>405.68</v>
      </c>
      <c r="E7" s="173">
        <v>421.27</v>
      </c>
      <c r="F7" s="173">
        <v>407.25</v>
      </c>
      <c r="G7" s="173">
        <v>394.79</v>
      </c>
      <c r="H7" s="173">
        <v>388.25</v>
      </c>
      <c r="I7" s="173">
        <v>388.38</v>
      </c>
      <c r="J7" s="173">
        <v>375.73</v>
      </c>
      <c r="K7" s="173">
        <v>384.26</v>
      </c>
      <c r="L7" s="173">
        <v>400.25</v>
      </c>
      <c r="M7" s="173">
        <v>461.21</v>
      </c>
      <c r="N7" s="173">
        <f t="shared" si="0"/>
        <v>406.42583333333329</v>
      </c>
    </row>
    <row r="8" spans="1:14" s="174" customFormat="1" ht="18.75" hidden="1" customHeight="1">
      <c r="A8" s="172" t="s">
        <v>37</v>
      </c>
      <c r="B8" s="173">
        <v>490.08</v>
      </c>
      <c r="C8" s="173">
        <v>485.43</v>
      </c>
      <c r="D8" s="173">
        <v>451.46</v>
      </c>
      <c r="E8" s="173">
        <v>439.89</v>
      </c>
      <c r="F8" s="173">
        <v>473.5</v>
      </c>
      <c r="G8" s="173">
        <v>525.04999999999995</v>
      </c>
      <c r="H8" s="173">
        <v>580.14</v>
      </c>
      <c r="I8" s="173">
        <v>570.75</v>
      </c>
      <c r="J8" s="173">
        <v>613.45000000000005</v>
      </c>
      <c r="K8" s="173">
        <v>641.83000000000004</v>
      </c>
      <c r="L8" s="173">
        <v>667.18</v>
      </c>
      <c r="M8" s="173">
        <v>634.29999999999995</v>
      </c>
      <c r="N8" s="173">
        <f t="shared" si="0"/>
        <v>547.755</v>
      </c>
    </row>
    <row r="9" spans="1:14" s="174" customFormat="1" ht="18.75" hidden="1" customHeight="1">
      <c r="A9" s="172" t="s">
        <v>133</v>
      </c>
      <c r="B9" s="173">
        <v>666.64</v>
      </c>
      <c r="C9" s="173">
        <v>580.35</v>
      </c>
      <c r="D9" s="173">
        <v>585.57000000000005</v>
      </c>
      <c r="E9" s="173">
        <v>608.5</v>
      </c>
      <c r="F9" s="173">
        <v>596.48</v>
      </c>
      <c r="G9" s="173">
        <v>611.79999999999995</v>
      </c>
      <c r="H9" s="173">
        <v>621.9</v>
      </c>
      <c r="I9" s="173">
        <v>623.64</v>
      </c>
      <c r="J9" s="173">
        <v>592.71</v>
      </c>
      <c r="K9" s="173">
        <v>639.09</v>
      </c>
      <c r="L9" s="173">
        <v>713.59</v>
      </c>
      <c r="M9" s="173">
        <v>731.61</v>
      </c>
      <c r="N9" s="173">
        <f t="shared" si="0"/>
        <v>630.99</v>
      </c>
    </row>
    <row r="10" spans="1:14" s="174" customFormat="1" ht="18.75" hidden="1" customHeight="1">
      <c r="A10" s="172" t="s">
        <v>134</v>
      </c>
      <c r="B10" s="173">
        <v>709.5</v>
      </c>
      <c r="C10" s="173">
        <v>769.67</v>
      </c>
      <c r="D10" s="173">
        <v>813.45</v>
      </c>
      <c r="E10" s="173">
        <v>815</v>
      </c>
      <c r="F10" s="173">
        <v>840.24</v>
      </c>
      <c r="G10" s="173">
        <v>796.53</v>
      </c>
      <c r="H10" s="173">
        <v>784.09</v>
      </c>
      <c r="I10" s="173">
        <v>815.67</v>
      </c>
      <c r="J10" s="173">
        <v>796.57</v>
      </c>
      <c r="K10" s="173">
        <v>741.89</v>
      </c>
      <c r="L10" s="173">
        <v>716.55</v>
      </c>
      <c r="M10" s="173">
        <v>688.78</v>
      </c>
      <c r="N10" s="173">
        <f t="shared" si="0"/>
        <v>773.995</v>
      </c>
    </row>
    <row r="11" spans="1:14" s="174" customFormat="1" ht="18.75" hidden="1" customHeight="1">
      <c r="A11" s="172" t="s">
        <v>135</v>
      </c>
      <c r="B11" s="173">
        <v>692.25</v>
      </c>
      <c r="C11" s="173">
        <v>660.23</v>
      </c>
      <c r="D11" s="173">
        <v>694.63</v>
      </c>
      <c r="E11" s="173">
        <v>642.48</v>
      </c>
      <c r="F11" s="173">
        <v>618.6</v>
      </c>
      <c r="G11" s="173">
        <v>614.92999999999995</v>
      </c>
      <c r="H11" s="173">
        <v>634.33000000000004</v>
      </c>
      <c r="I11" s="173">
        <v>608.1</v>
      </c>
      <c r="J11" s="173">
        <v>634.42999999999995</v>
      </c>
      <c r="K11" s="173">
        <v>600.26</v>
      </c>
      <c r="L11" s="173">
        <v>563.4</v>
      </c>
      <c r="M11" s="173">
        <v>526.62</v>
      </c>
      <c r="N11" s="173">
        <f t="shared" si="0"/>
        <v>624.18833333333339</v>
      </c>
    </row>
    <row r="12" spans="1:14" s="175" customFormat="1" ht="18.75" hidden="1" customHeight="1">
      <c r="A12" s="172" t="s">
        <v>38</v>
      </c>
      <c r="B12" s="173">
        <v>531.58000000000004</v>
      </c>
      <c r="C12" s="173">
        <v>516.38</v>
      </c>
      <c r="D12" s="173">
        <v>559.82000000000005</v>
      </c>
      <c r="E12" s="173">
        <v>572.65</v>
      </c>
      <c r="F12" s="173">
        <v>543.47</v>
      </c>
      <c r="G12" s="173">
        <v>528.32000000000005</v>
      </c>
      <c r="H12" s="173">
        <v>546.20000000000005</v>
      </c>
      <c r="I12" s="173">
        <v>536.70000000000005</v>
      </c>
      <c r="J12" s="173">
        <v>520.16</v>
      </c>
      <c r="K12" s="173">
        <v>492.82</v>
      </c>
      <c r="L12" s="173">
        <v>494.17</v>
      </c>
      <c r="M12" s="173">
        <v>501.26</v>
      </c>
      <c r="N12" s="173">
        <f t="shared" si="0"/>
        <v>528.62750000000005</v>
      </c>
    </row>
    <row r="13" spans="1:14" s="175" customFormat="1" ht="18.75" hidden="1" customHeight="1">
      <c r="A13" s="172" t="s">
        <v>39</v>
      </c>
      <c r="B13" s="173">
        <v>492.3</v>
      </c>
      <c r="C13" s="173">
        <v>513.654</v>
      </c>
      <c r="D13" s="173">
        <v>507.83</v>
      </c>
      <c r="E13" s="173">
        <v>519.33000000000004</v>
      </c>
      <c r="F13" s="173">
        <v>541.53</v>
      </c>
      <c r="G13" s="173">
        <v>496.11</v>
      </c>
      <c r="H13" s="173">
        <v>495.8</v>
      </c>
      <c r="I13" s="173">
        <v>503.07</v>
      </c>
      <c r="J13" s="173">
        <v>507.32</v>
      </c>
      <c r="K13" s="173">
        <v>497.1</v>
      </c>
      <c r="L13" s="173">
        <v>478.32</v>
      </c>
      <c r="M13" s="173">
        <v>479.05</v>
      </c>
      <c r="N13" s="173">
        <f t="shared" si="0"/>
        <v>502.61783333333341</v>
      </c>
    </row>
    <row r="14" spans="1:14" s="175" customFormat="1" ht="18.75" hidden="1" customHeight="1">
      <c r="A14" s="172" t="s">
        <v>40</v>
      </c>
      <c r="B14" s="173">
        <v>472.08</v>
      </c>
      <c r="C14" s="173">
        <v>452.38</v>
      </c>
      <c r="D14" s="173">
        <v>441.3</v>
      </c>
      <c r="E14" s="173">
        <v>421.14</v>
      </c>
      <c r="F14" s="173">
        <v>412.12</v>
      </c>
      <c r="G14" s="173">
        <v>419.59</v>
      </c>
      <c r="H14" s="173">
        <v>452.12</v>
      </c>
      <c r="I14" s="173">
        <v>473.09</v>
      </c>
      <c r="J14" s="173">
        <v>487.05</v>
      </c>
      <c r="K14" s="173">
        <v>486.14</v>
      </c>
      <c r="L14" s="173">
        <v>468.02</v>
      </c>
      <c r="M14" s="173">
        <v>462.34</v>
      </c>
      <c r="N14" s="173">
        <f t="shared" si="0"/>
        <v>453.94750000000005</v>
      </c>
    </row>
    <row r="15" spans="1:14" ht="18.75" hidden="1" customHeight="1">
      <c r="A15" s="56" t="s">
        <v>41</v>
      </c>
      <c r="B15" s="57">
        <v>478.05</v>
      </c>
      <c r="C15" s="57">
        <v>501.8</v>
      </c>
      <c r="D15" s="57">
        <v>498.39</v>
      </c>
      <c r="E15" s="57">
        <v>477.5</v>
      </c>
      <c r="F15" s="57">
        <v>466.69</v>
      </c>
      <c r="G15" s="57">
        <v>444.14</v>
      </c>
      <c r="H15" s="57">
        <v>461.55</v>
      </c>
      <c r="I15" s="57">
        <v>482.95</v>
      </c>
      <c r="J15" s="57">
        <v>464.8</v>
      </c>
      <c r="K15" s="57">
        <v>468.11</v>
      </c>
      <c r="L15" s="57">
        <v>486.48</v>
      </c>
      <c r="M15" s="57">
        <v>483.26</v>
      </c>
      <c r="N15" s="57">
        <f t="shared" si="0"/>
        <v>476.14333333333326</v>
      </c>
    </row>
    <row r="16" spans="1:14" ht="18.75" hidden="1" customHeight="1">
      <c r="A16" s="56" t="s">
        <v>42</v>
      </c>
      <c r="B16" s="57">
        <v>513.07000000000005</v>
      </c>
      <c r="C16" s="57">
        <v>479.95</v>
      </c>
      <c r="D16" s="57">
        <v>480.15</v>
      </c>
      <c r="E16" s="57">
        <v>472.36</v>
      </c>
      <c r="F16" s="57">
        <v>451.89</v>
      </c>
      <c r="G16" s="57">
        <v>440</v>
      </c>
      <c r="H16" s="57">
        <v>446.13</v>
      </c>
      <c r="I16" s="57">
        <v>423.24</v>
      </c>
      <c r="J16" s="57">
        <v>421.26</v>
      </c>
      <c r="K16" s="57">
        <v>418.15</v>
      </c>
      <c r="L16" s="57">
        <v>442.17</v>
      </c>
      <c r="M16" s="57">
        <v>443.61</v>
      </c>
      <c r="N16" s="57">
        <f t="shared" si="0"/>
        <v>452.66499999999996</v>
      </c>
    </row>
    <row r="17" spans="1:15" ht="18.75" hidden="1" customHeight="1">
      <c r="A17" s="58" t="s">
        <v>43</v>
      </c>
      <c r="B17" s="59">
        <v>444.66</v>
      </c>
      <c r="C17" s="59">
        <v>475.83</v>
      </c>
      <c r="D17" s="59">
        <v>456.67</v>
      </c>
      <c r="E17" s="59">
        <v>437.38</v>
      </c>
      <c r="F17" s="59">
        <v>463.5</v>
      </c>
      <c r="G17" s="59">
        <v>468.02</v>
      </c>
      <c r="H17" s="59">
        <v>514.78</v>
      </c>
      <c r="I17" s="59">
        <v>496.53</v>
      </c>
      <c r="J17" s="59">
        <v>521.27</v>
      </c>
      <c r="K17" s="59">
        <v>587.33000000000004</v>
      </c>
      <c r="L17" s="59">
        <v>622.33000000000004</v>
      </c>
      <c r="M17" s="59">
        <v>692.07</v>
      </c>
      <c r="N17" s="59">
        <f t="shared" si="0"/>
        <v>515.03083333333325</v>
      </c>
    </row>
    <row r="18" spans="1:15" ht="18.75" hidden="1" customHeight="1">
      <c r="A18" s="58" t="s">
        <v>136</v>
      </c>
      <c r="B18" s="59">
        <v>758.38</v>
      </c>
      <c r="C18" s="59">
        <v>888.48</v>
      </c>
      <c r="D18" s="59">
        <v>886.48</v>
      </c>
      <c r="E18" s="59">
        <v>753.68</v>
      </c>
      <c r="F18" s="59">
        <v>808.89</v>
      </c>
      <c r="G18" s="59">
        <v>870.32</v>
      </c>
      <c r="H18" s="59">
        <v>939.59</v>
      </c>
      <c r="I18" s="59">
        <v>921.81</v>
      </c>
      <c r="J18" s="59">
        <v>935.45</v>
      </c>
      <c r="K18" s="59">
        <v>932.76</v>
      </c>
      <c r="L18" s="59">
        <v>967.8</v>
      </c>
      <c r="M18" s="59">
        <v>974.9</v>
      </c>
      <c r="N18" s="59">
        <f t="shared" si="0"/>
        <v>886.54499999999973</v>
      </c>
    </row>
    <row r="19" spans="1:15" ht="18.75" hidden="1" customHeight="1">
      <c r="A19" s="58" t="s">
        <v>137</v>
      </c>
      <c r="B19" s="59">
        <v>953.15</v>
      </c>
      <c r="C19" s="59">
        <v>977.55</v>
      </c>
      <c r="D19" s="59">
        <v>1005.83</v>
      </c>
      <c r="E19" s="59">
        <v>985.76</v>
      </c>
      <c r="F19" s="59">
        <v>988.08</v>
      </c>
      <c r="G19" s="59">
        <v>986.07</v>
      </c>
      <c r="H19" s="59">
        <v>854.48</v>
      </c>
      <c r="I19" s="59">
        <v>887.02</v>
      </c>
      <c r="J19" s="59">
        <v>933.07</v>
      </c>
      <c r="K19" s="59">
        <v>1004.76</v>
      </c>
      <c r="L19" s="59">
        <v>1018.41</v>
      </c>
      <c r="M19" s="59">
        <v>1124.08</v>
      </c>
      <c r="N19" s="59">
        <f>+'Pb 가격및재고'!O2024</f>
        <v>975.65476190476193</v>
      </c>
    </row>
    <row r="20" spans="1:15" ht="18.75" hidden="1" customHeight="1">
      <c r="A20" s="58" t="s">
        <v>180</v>
      </c>
      <c r="B20" s="59">
        <v>1256.33</v>
      </c>
      <c r="C20" s="59">
        <v>1277.05</v>
      </c>
      <c r="D20" s="59">
        <v>1192.0899999999999</v>
      </c>
      <c r="E20" s="59">
        <v>1170.42</v>
      </c>
      <c r="F20" s="59">
        <v>1166.8599999999999</v>
      </c>
      <c r="G20" s="59">
        <v>963.86</v>
      </c>
      <c r="H20" s="59">
        <v>1052.3800000000001</v>
      </c>
      <c r="I20" s="59">
        <v>1174.1400000000001</v>
      </c>
      <c r="J20" s="59">
        <v>1342.38</v>
      </c>
      <c r="K20" s="59">
        <v>1531.14</v>
      </c>
      <c r="L20" s="59">
        <v>1624.52</v>
      </c>
      <c r="M20" s="59">
        <v>1725.5</v>
      </c>
      <c r="N20" s="59">
        <v>1287.49</v>
      </c>
    </row>
    <row r="21" spans="1:15" s="60" customFormat="1" ht="18.75" hidden="1" customHeight="1">
      <c r="A21" s="56" t="s">
        <v>138</v>
      </c>
      <c r="B21" s="57">
        <v>1666.09</v>
      </c>
      <c r="C21" s="57">
        <v>1779.6</v>
      </c>
      <c r="D21" s="57">
        <v>1914.05</v>
      </c>
      <c r="E21" s="57">
        <v>2000.95</v>
      </c>
      <c r="F21" s="57">
        <v>2100.64</v>
      </c>
      <c r="G21" s="57">
        <v>2425.98</v>
      </c>
      <c r="H21" s="57">
        <v>3083.55</v>
      </c>
      <c r="I21" s="57">
        <v>3119.45</v>
      </c>
      <c r="J21" s="119">
        <v>3226.55</v>
      </c>
      <c r="K21" s="57">
        <v>3719.72</v>
      </c>
      <c r="L21" s="119">
        <v>3328.18</v>
      </c>
      <c r="M21" s="57">
        <v>2596.0300000000002</v>
      </c>
      <c r="N21" s="799">
        <v>2594.96</v>
      </c>
    </row>
    <row r="22" spans="1:15" s="60" customFormat="1" ht="18.75" hidden="1" customHeight="1">
      <c r="A22" s="54" t="s">
        <v>139</v>
      </c>
      <c r="B22" s="55">
        <v>2608.14</v>
      </c>
      <c r="C22" s="55">
        <v>3079.88</v>
      </c>
      <c r="D22" s="55">
        <v>3008.58</v>
      </c>
      <c r="E22" s="55">
        <v>2822.75</v>
      </c>
      <c r="F22" s="55">
        <v>2234.63</v>
      </c>
      <c r="G22" s="55">
        <v>1863.05</v>
      </c>
      <c r="H22" s="55">
        <v>1944.91</v>
      </c>
      <c r="I22" s="55">
        <v>1923.58</v>
      </c>
      <c r="J22" s="55">
        <v>1868.36</v>
      </c>
      <c r="K22" s="55">
        <v>1480.11</v>
      </c>
      <c r="L22" s="55">
        <v>1291.0999999999999</v>
      </c>
      <c r="M22" s="55">
        <v>962.88</v>
      </c>
      <c r="N22" s="800">
        <v>2084.7600000000002</v>
      </c>
    </row>
    <row r="23" spans="1:15" s="60" customFormat="1" ht="18.75" hidden="1" customHeight="1">
      <c r="A23" s="56" t="s">
        <v>56</v>
      </c>
      <c r="B23" s="119">
        <v>1132.74</v>
      </c>
      <c r="C23" s="57">
        <v>1100.53</v>
      </c>
      <c r="D23" s="119">
        <v>1238.9100000000001</v>
      </c>
      <c r="E23" s="57">
        <v>1383.1</v>
      </c>
      <c r="F23" s="57">
        <v>1440.16</v>
      </c>
      <c r="G23" s="119">
        <v>1674.45</v>
      </c>
      <c r="H23" s="182">
        <v>1678.61</v>
      </c>
      <c r="I23" s="57">
        <v>1900.1</v>
      </c>
      <c r="J23" s="57">
        <v>2204.5500000000002</v>
      </c>
      <c r="K23" s="119">
        <v>2240.77</v>
      </c>
      <c r="L23" s="119">
        <v>2308.7600000000002</v>
      </c>
      <c r="M23" s="798">
        <v>2328.52</v>
      </c>
      <c r="N23" s="799">
        <v>1726.11</v>
      </c>
    </row>
    <row r="24" spans="1:15" s="60" customFormat="1" ht="18.75" customHeight="1">
      <c r="A24" s="58" t="s">
        <v>62</v>
      </c>
      <c r="B24" s="61">
        <v>2368.38</v>
      </c>
      <c r="C24" s="61">
        <v>2123.6750000000002</v>
      </c>
      <c r="D24" s="61">
        <v>2172.0869565217399</v>
      </c>
      <c r="E24" s="61">
        <v>2264.85</v>
      </c>
      <c r="F24" s="61">
        <v>1882.6842105263158</v>
      </c>
      <c r="G24" s="796">
        <v>1703.9545454545455</v>
      </c>
      <c r="H24" s="797">
        <v>1836.9772727272727</v>
      </c>
      <c r="I24" s="797">
        <v>2075.2380952380954</v>
      </c>
      <c r="J24" s="61">
        <v>2184.2272727272725</v>
      </c>
      <c r="K24" s="61">
        <v>2379.6666666666665</v>
      </c>
      <c r="L24" s="61">
        <v>2376.7272727272725</v>
      </c>
      <c r="M24" s="61">
        <v>2412.9285714285702</v>
      </c>
      <c r="N24" s="801">
        <v>2147.5612648221299</v>
      </c>
    </row>
    <row r="25" spans="1:15" s="60" customFormat="1" ht="18.75" customHeight="1">
      <c r="A25" s="56" t="s">
        <v>76</v>
      </c>
      <c r="B25" s="119">
        <v>2601.65</v>
      </c>
      <c r="C25" s="119">
        <v>2586.6750000000002</v>
      </c>
      <c r="D25" s="119">
        <v>2624.195652173913</v>
      </c>
      <c r="E25" s="119">
        <v>2741.1388888888887</v>
      </c>
      <c r="F25" s="119">
        <v>2420.375</v>
      </c>
      <c r="G25" s="119">
        <v>2512.2045454545455</v>
      </c>
      <c r="H25" s="119">
        <v>2682.5952380952381</v>
      </c>
      <c r="I25" s="119">
        <v>2404.7045454545455</v>
      </c>
      <c r="J25" s="119">
        <v>2298.7954545454545</v>
      </c>
      <c r="K25" s="119">
        <v>1948.5952380952381</v>
      </c>
      <c r="L25" s="119">
        <v>1982.0454545454545</v>
      </c>
      <c r="M25" s="119">
        <v>2018.9749999999999</v>
      </c>
      <c r="N25" s="183">
        <v>2397.8326693227091</v>
      </c>
    </row>
    <row r="26" spans="1:15" s="60" customFormat="1" ht="18.75" customHeight="1">
      <c r="A26" s="56" t="s">
        <v>87</v>
      </c>
      <c r="B26" s="119">
        <v>2094.0714285714284</v>
      </c>
      <c r="C26" s="119">
        <v>2126.1190476190477</v>
      </c>
      <c r="D26" s="119">
        <v>2061.4545454545455</v>
      </c>
      <c r="E26" s="119">
        <v>2063.0526315789475</v>
      </c>
      <c r="F26" s="119">
        <v>1998.909090909091</v>
      </c>
      <c r="G26" s="119">
        <v>1854.7368421052631</v>
      </c>
      <c r="H26" s="119">
        <v>1876.3863636363637</v>
      </c>
      <c r="I26" s="119">
        <v>1895.75</v>
      </c>
      <c r="J26" s="119">
        <v>2169.2750000000001</v>
      </c>
      <c r="K26" s="119">
        <v>2153.304347826087</v>
      </c>
      <c r="L26" s="119">
        <v>2179.4772727272725</v>
      </c>
      <c r="M26" s="416">
        <v>2275.5</v>
      </c>
      <c r="N26" s="183">
        <v>2061.39</v>
      </c>
    </row>
    <row r="27" spans="1:15" s="60" customFormat="1" ht="18.75" customHeight="1">
      <c r="A27" s="56" t="s">
        <v>113</v>
      </c>
      <c r="B27" s="416">
        <v>2340.27</v>
      </c>
      <c r="C27" s="416">
        <v>2376.1999999999998</v>
      </c>
      <c r="D27" s="416">
        <v>2183.48</v>
      </c>
      <c r="E27" s="416">
        <v>2030.26</v>
      </c>
      <c r="F27" s="416">
        <v>2028.29</v>
      </c>
      <c r="G27" s="416">
        <v>2103.83</v>
      </c>
      <c r="H27" s="416">
        <v>2048.2399999999998</v>
      </c>
      <c r="I27" s="416">
        <v>2173.4499999999998</v>
      </c>
      <c r="J27" s="416">
        <v>2088.4</v>
      </c>
      <c r="K27" s="416">
        <v>2111.46</v>
      </c>
      <c r="L27" s="416">
        <v>2090.19</v>
      </c>
      <c r="M27" s="416">
        <v>2133</v>
      </c>
      <c r="N27" s="183">
        <v>2141.15</v>
      </c>
    </row>
    <row r="28" spans="1:15" s="60" customFormat="1" ht="18.75" customHeight="1">
      <c r="A28" s="56" t="s">
        <v>160</v>
      </c>
      <c r="B28" s="416">
        <v>2148.89</v>
      </c>
      <c r="C28" s="416">
        <v>2110.48</v>
      </c>
      <c r="D28" s="416">
        <v>2056.36</v>
      </c>
      <c r="E28" s="416">
        <v>2085.9499999999998</v>
      </c>
      <c r="F28" s="416">
        <v>2097.13</v>
      </c>
      <c r="G28" s="119">
        <v>2103.31</v>
      </c>
      <c r="H28" s="119">
        <v>2189.2600000000002</v>
      </c>
      <c r="I28" s="119">
        <v>2236.58</v>
      </c>
      <c r="J28" s="119">
        <v>2122.25</v>
      </c>
      <c r="K28" s="119">
        <v>2038.09</v>
      </c>
      <c r="L28" s="119">
        <v>2023.73</v>
      </c>
      <c r="M28" s="119">
        <v>1936.1</v>
      </c>
      <c r="N28" s="414">
        <v>2095.98</v>
      </c>
    </row>
    <row r="29" spans="1:15" s="60" customFormat="1" ht="18.75" customHeight="1">
      <c r="A29" s="411" t="s">
        <v>194</v>
      </c>
      <c r="B29" s="412"/>
      <c r="C29" s="412"/>
      <c r="D29" s="412"/>
      <c r="E29" s="412"/>
      <c r="F29" s="412"/>
      <c r="G29" s="314"/>
      <c r="H29" s="314"/>
      <c r="I29" s="314"/>
      <c r="J29" s="314"/>
      <c r="K29" s="314"/>
      <c r="L29" s="314"/>
      <c r="M29" s="314"/>
      <c r="N29" s="510"/>
    </row>
    <row r="30" spans="1:15" s="60" customFormat="1" ht="18.75" customHeight="1">
      <c r="A30" s="73" t="s">
        <v>140</v>
      </c>
      <c r="B30" s="352">
        <f>B29-M28</f>
        <v>-1936.1</v>
      </c>
      <c r="C30" s="352">
        <f t="shared" ref="C30:M30" si="1">+C29-B29</f>
        <v>0</v>
      </c>
      <c r="D30" s="352">
        <f t="shared" si="1"/>
        <v>0</v>
      </c>
      <c r="E30" s="352">
        <f t="shared" si="1"/>
        <v>0</v>
      </c>
      <c r="F30" s="352">
        <f t="shared" si="1"/>
        <v>0</v>
      </c>
      <c r="G30" s="837">
        <f t="shared" si="1"/>
        <v>0</v>
      </c>
      <c r="H30" s="122">
        <f t="shared" si="1"/>
        <v>0</v>
      </c>
      <c r="I30" s="122">
        <f t="shared" si="1"/>
        <v>0</v>
      </c>
      <c r="J30" s="122">
        <f t="shared" si="1"/>
        <v>0</v>
      </c>
      <c r="K30" s="122">
        <f t="shared" si="1"/>
        <v>0</v>
      </c>
      <c r="L30" s="837">
        <f t="shared" si="1"/>
        <v>0</v>
      </c>
      <c r="M30" s="122">
        <f t="shared" si="1"/>
        <v>0</v>
      </c>
      <c r="N30" s="70"/>
      <c r="O30" s="68"/>
    </row>
    <row r="31" spans="1:15" s="68" customFormat="1" ht="18.75" hidden="1" customHeight="1">
      <c r="A31" s="73"/>
      <c r="B31" s="72"/>
      <c r="C31" s="70"/>
      <c r="D31" s="70"/>
      <c r="E31" s="70"/>
      <c r="F31" s="70"/>
      <c r="G31" s="113"/>
      <c r="H31" s="70"/>
      <c r="I31" s="70"/>
      <c r="J31" s="70"/>
      <c r="K31" s="70"/>
      <c r="L31" s="305"/>
      <c r="M31" s="223"/>
      <c r="N31" s="70"/>
      <c r="O31" s="53"/>
    </row>
    <row r="32" spans="1:15" s="68" customFormat="1" ht="18.75" customHeight="1">
      <c r="A32" s="73"/>
      <c r="B32" s="72"/>
      <c r="C32" s="70"/>
      <c r="D32" s="70"/>
      <c r="E32" s="70"/>
      <c r="F32" s="70"/>
      <c r="G32" s="113"/>
      <c r="H32" s="70"/>
      <c r="I32" s="70"/>
      <c r="J32" s="70"/>
      <c r="K32" s="70"/>
      <c r="L32" s="305"/>
      <c r="M32" s="223"/>
      <c r="N32" s="70"/>
      <c r="O32" s="53"/>
    </row>
    <row r="33" spans="1:256" ht="18.75" customHeight="1">
      <c r="A33" s="65" t="s">
        <v>166</v>
      </c>
      <c r="H33" s="71"/>
    </row>
    <row r="34" spans="1:256" ht="18.75" customHeight="1">
      <c r="A34" s="66" t="s">
        <v>129</v>
      </c>
      <c r="B34" s="67" t="s">
        <v>130</v>
      </c>
      <c r="C34" s="67" t="s">
        <v>22</v>
      </c>
      <c r="D34" s="67" t="s">
        <v>23</v>
      </c>
      <c r="E34" s="67" t="s">
        <v>24</v>
      </c>
      <c r="F34" s="67" t="s">
        <v>25</v>
      </c>
      <c r="G34" s="67" t="s">
        <v>26</v>
      </c>
      <c r="H34" s="67" t="s">
        <v>27</v>
      </c>
      <c r="I34" s="67" t="s">
        <v>28</v>
      </c>
      <c r="J34" s="67" t="s">
        <v>29</v>
      </c>
      <c r="K34" s="67" t="s">
        <v>30</v>
      </c>
      <c r="L34" s="67" t="s">
        <v>31</v>
      </c>
      <c r="M34" s="67" t="s">
        <v>32</v>
      </c>
      <c r="N34" s="67" t="s">
        <v>167</v>
      </c>
    </row>
    <row r="35" spans="1:256" s="60" customFormat="1" ht="18.75" hidden="1" customHeight="1">
      <c r="A35" s="537" t="s">
        <v>137</v>
      </c>
      <c r="B35" s="538">
        <v>1048.3599999999999</v>
      </c>
      <c r="C35" s="538">
        <v>1032.3900000000001</v>
      </c>
      <c r="D35" s="538">
        <v>1017.32</v>
      </c>
      <c r="E35" s="538">
        <v>1020.8</v>
      </c>
      <c r="F35" s="538">
        <v>1012</v>
      </c>
      <c r="G35" s="538">
        <v>1020.73</v>
      </c>
      <c r="H35" s="538">
        <v>1047.55</v>
      </c>
      <c r="I35" s="59">
        <v>1031.1300000000001</v>
      </c>
      <c r="J35" s="59">
        <v>1039.3599999999999</v>
      </c>
      <c r="K35" s="59">
        <v>1056.45</v>
      </c>
      <c r="L35" s="59">
        <v>1051.5899999999999</v>
      </c>
      <c r="M35" s="59">
        <v>1034.1400000000001</v>
      </c>
      <c r="N35" s="59">
        <f>AVERAGE(B35:M35)</f>
        <v>1034.3183333333334</v>
      </c>
    </row>
    <row r="36" spans="1:256" s="60" customFormat="1" ht="18.75" hidden="1" customHeight="1">
      <c r="A36" s="537" t="s">
        <v>168</v>
      </c>
      <c r="B36" s="538">
        <v>996.65</v>
      </c>
      <c r="C36" s="538">
        <v>979.68</v>
      </c>
      <c r="D36" s="538">
        <v>984.6</v>
      </c>
      <c r="E36" s="538">
        <v>963.74</v>
      </c>
      <c r="F36" s="538">
        <v>950.58</v>
      </c>
      <c r="G36" s="538">
        <v>964.47</v>
      </c>
      <c r="H36" s="538">
        <v>959.42</v>
      </c>
      <c r="I36" s="59">
        <v>970.09</v>
      </c>
      <c r="J36" s="59">
        <v>962.96</v>
      </c>
      <c r="K36" s="59">
        <v>963.52</v>
      </c>
      <c r="L36" s="59">
        <v>945.35</v>
      </c>
      <c r="M36" s="59">
        <v>934.77</v>
      </c>
      <c r="N36" s="59">
        <f>AVERAGE(B36:M36)</f>
        <v>964.65250000000015</v>
      </c>
    </row>
    <row r="37" spans="1:256" s="60" customFormat="1" ht="18.75" hidden="1" customHeight="1">
      <c r="A37" s="537" t="s">
        <v>169</v>
      </c>
      <c r="B37" s="538">
        <v>945.48</v>
      </c>
      <c r="C37" s="538">
        <v>946.14</v>
      </c>
      <c r="D37" s="538">
        <v>952.44</v>
      </c>
      <c r="E37" s="538">
        <v>940.58</v>
      </c>
      <c r="F37" s="538">
        <v>936.96</v>
      </c>
      <c r="G37" s="538">
        <v>937.35</v>
      </c>
      <c r="H37" s="538">
        <v>927.8</v>
      </c>
      <c r="I37" s="61">
        <v>942.91</v>
      </c>
      <c r="J37" s="59">
        <v>941.49</v>
      </c>
      <c r="K37" s="59">
        <v>924.76</v>
      </c>
      <c r="L37" s="59">
        <v>925.9</v>
      </c>
      <c r="M37" s="59">
        <v>939.31</v>
      </c>
      <c r="N37" s="59">
        <f>AVERAGE(B37:M37)</f>
        <v>938.42666666666673</v>
      </c>
    </row>
    <row r="38" spans="1:256" s="60" customFormat="1" ht="18.75" hidden="1" customHeight="1">
      <c r="A38" s="64" t="s">
        <v>139</v>
      </c>
      <c r="B38" s="539">
        <v>951.56</v>
      </c>
      <c r="C38" s="539">
        <v>953.89</v>
      </c>
      <c r="D38" s="539">
        <v>989.41</v>
      </c>
      <c r="E38" s="539">
        <v>996.27</v>
      </c>
      <c r="F38" s="539">
        <v>1046.8499999999999</v>
      </c>
      <c r="G38" s="539">
        <v>1039.3</v>
      </c>
      <c r="H38" s="539">
        <v>1029.05</v>
      </c>
      <c r="I38" s="57">
        <v>1051.71</v>
      </c>
      <c r="J38" s="57">
        <v>1141.43</v>
      </c>
      <c r="K38" s="57">
        <v>1339.88</v>
      </c>
      <c r="L38" s="57">
        <v>1403.67</v>
      </c>
      <c r="M38" s="57">
        <v>1387.27</v>
      </c>
      <c r="N38" s="57">
        <v>1113.3399999999999</v>
      </c>
      <c r="O38" s="53"/>
    </row>
    <row r="39" spans="1:256" s="63" customFormat="1" ht="18.75" hidden="1" customHeight="1">
      <c r="A39" s="64" t="s">
        <v>57</v>
      </c>
      <c r="B39" s="540">
        <v>1359.25</v>
      </c>
      <c r="C39" s="539">
        <v>1443.42</v>
      </c>
      <c r="D39" s="540">
        <v>1476.25</v>
      </c>
      <c r="E39" s="540">
        <v>1355</v>
      </c>
      <c r="F39" s="540">
        <v>1270.99</v>
      </c>
      <c r="G39" s="541">
        <v>1273.67</v>
      </c>
      <c r="H39" s="540">
        <v>1276.3</v>
      </c>
      <c r="I39" s="57">
        <v>1250.49</v>
      </c>
      <c r="J39" s="57">
        <v>1231.06</v>
      </c>
      <c r="K39" s="119">
        <v>1186.71</v>
      </c>
      <c r="L39" s="119">
        <v>1175.5899999999999</v>
      </c>
      <c r="M39" s="119">
        <v>1177.83</v>
      </c>
      <c r="N39" s="57">
        <v>1288.8599999999999</v>
      </c>
      <c r="O39" s="68"/>
      <c r="P39" s="53"/>
      <c r="Q39" s="65"/>
      <c r="R39" s="53"/>
      <c r="S39" s="53"/>
      <c r="T39" s="53"/>
      <c r="U39" s="65"/>
      <c r="V39" s="53"/>
      <c r="W39" s="53"/>
      <c r="X39" s="53"/>
      <c r="Y39" s="65"/>
      <c r="Z39" s="53"/>
      <c r="AA39" s="53"/>
      <c r="AB39" s="53"/>
      <c r="AC39" s="65"/>
      <c r="AD39" s="53"/>
      <c r="AE39" s="53"/>
      <c r="AF39" s="53"/>
      <c r="AG39" s="65"/>
      <c r="AH39" s="53"/>
      <c r="AI39" s="53"/>
      <c r="AJ39" s="53"/>
      <c r="AK39" s="65"/>
      <c r="AL39" s="53"/>
      <c r="AM39" s="53"/>
      <c r="AN39" s="53"/>
      <c r="AO39" s="65"/>
      <c r="AP39" s="53"/>
      <c r="AQ39" s="53"/>
      <c r="AR39" s="53"/>
      <c r="AS39" s="65"/>
      <c r="AT39" s="53"/>
      <c r="AU39" s="53"/>
      <c r="AV39" s="53"/>
      <c r="AW39" s="65"/>
      <c r="AX39" s="53"/>
      <c r="AY39" s="53"/>
      <c r="AZ39" s="53"/>
      <c r="BA39" s="65"/>
      <c r="BB39" s="53"/>
      <c r="BC39" s="53"/>
      <c r="BD39" s="53"/>
      <c r="BE39" s="65"/>
      <c r="BF39" s="53"/>
      <c r="BG39" s="53"/>
      <c r="BH39" s="53"/>
      <c r="BI39" s="65"/>
      <c r="BJ39" s="53"/>
      <c r="BK39" s="53"/>
      <c r="BL39" s="53"/>
      <c r="BM39" s="65"/>
      <c r="BN39" s="53"/>
      <c r="BO39" s="53"/>
      <c r="BP39" s="53"/>
      <c r="BQ39" s="65"/>
      <c r="BR39" s="53"/>
      <c r="BS39" s="53"/>
      <c r="BT39" s="53"/>
      <c r="BU39" s="65"/>
      <c r="BV39" s="53"/>
      <c r="BW39" s="53"/>
      <c r="BX39" s="53"/>
      <c r="BY39" s="65"/>
      <c r="BZ39" s="53"/>
      <c r="CA39" s="53"/>
      <c r="CB39" s="53"/>
      <c r="CC39" s="65"/>
      <c r="CD39" s="53"/>
      <c r="CE39" s="53"/>
      <c r="CF39" s="53"/>
      <c r="CG39" s="65"/>
      <c r="CH39" s="53"/>
      <c r="CI39" s="53"/>
      <c r="CJ39" s="53"/>
      <c r="CK39" s="65"/>
      <c r="CL39" s="53"/>
      <c r="CM39" s="53"/>
      <c r="CN39" s="53"/>
      <c r="CO39" s="65"/>
      <c r="CP39" s="53"/>
      <c r="CQ39" s="53"/>
      <c r="CR39" s="53"/>
      <c r="CS39" s="65"/>
      <c r="CT39" s="53"/>
      <c r="CU39" s="53"/>
      <c r="CV39" s="53"/>
      <c r="CW39" s="65"/>
      <c r="CX39" s="53"/>
      <c r="CY39" s="53"/>
      <c r="CZ39" s="53"/>
      <c r="DA39" s="65"/>
      <c r="DB39" s="53"/>
      <c r="DC39" s="53"/>
      <c r="DD39" s="53"/>
      <c r="DE39" s="65"/>
      <c r="DF39" s="53"/>
      <c r="DG39" s="53"/>
      <c r="DH39" s="53"/>
      <c r="DI39" s="65"/>
      <c r="DJ39" s="53"/>
      <c r="DK39" s="53"/>
      <c r="DL39" s="53"/>
      <c r="DM39" s="65"/>
      <c r="DN39" s="53"/>
      <c r="DO39" s="53"/>
      <c r="DP39" s="53"/>
      <c r="DQ39" s="65"/>
      <c r="DR39" s="53"/>
      <c r="DS39" s="53"/>
      <c r="DT39" s="53"/>
      <c r="DU39" s="65"/>
      <c r="DV39" s="53"/>
      <c r="DW39" s="53"/>
      <c r="DX39" s="53"/>
      <c r="DY39" s="65"/>
      <c r="DZ39" s="53"/>
      <c r="EA39" s="53"/>
      <c r="EB39" s="53"/>
      <c r="EC39" s="65"/>
      <c r="ED39" s="53"/>
      <c r="EE39" s="53"/>
      <c r="EF39" s="53"/>
      <c r="EG39" s="65"/>
      <c r="EH39" s="53"/>
      <c r="EI39" s="53"/>
      <c r="EJ39" s="53"/>
      <c r="EK39" s="65"/>
      <c r="EL39" s="53"/>
      <c r="EM39" s="53"/>
      <c r="EN39" s="53"/>
      <c r="EO39" s="65"/>
      <c r="EP39" s="53"/>
      <c r="EQ39" s="53"/>
      <c r="ER39" s="53"/>
      <c r="ES39" s="65"/>
      <c r="ET39" s="53"/>
      <c r="EU39" s="53"/>
      <c r="EV39" s="53"/>
      <c r="EW39" s="65"/>
      <c r="EX39" s="53"/>
      <c r="EY39" s="53"/>
      <c r="EZ39" s="53"/>
      <c r="FA39" s="65"/>
      <c r="FB39" s="53"/>
      <c r="FC39" s="53"/>
      <c r="FD39" s="53"/>
      <c r="FE39" s="65"/>
      <c r="FF39" s="53"/>
      <c r="FG39" s="53"/>
      <c r="FH39" s="53"/>
      <c r="FI39" s="65"/>
      <c r="FJ39" s="53"/>
      <c r="FK39" s="53"/>
      <c r="FL39" s="53"/>
      <c r="FM39" s="65"/>
      <c r="FN39" s="53"/>
      <c r="FO39" s="53"/>
      <c r="FP39" s="53"/>
      <c r="FQ39" s="65"/>
      <c r="FR39" s="53"/>
      <c r="FS39" s="53"/>
      <c r="FT39" s="53"/>
      <c r="FU39" s="65"/>
      <c r="FV39" s="53"/>
      <c r="FW39" s="53"/>
      <c r="FX39" s="53"/>
      <c r="FY39" s="65"/>
      <c r="FZ39" s="53"/>
      <c r="GA39" s="53"/>
      <c r="GB39" s="53"/>
      <c r="GC39" s="65"/>
      <c r="GD39" s="53"/>
      <c r="GE39" s="53"/>
      <c r="GF39" s="53"/>
      <c r="GG39" s="65"/>
      <c r="GH39" s="53"/>
      <c r="GI39" s="53"/>
      <c r="GJ39" s="53"/>
      <c r="GK39" s="65"/>
      <c r="GL39" s="53"/>
      <c r="GM39" s="53"/>
      <c r="GN39" s="53"/>
      <c r="GO39" s="65"/>
      <c r="GP39" s="53"/>
      <c r="GQ39" s="53"/>
      <c r="GR39" s="53"/>
      <c r="GS39" s="65"/>
      <c r="GT39" s="53"/>
      <c r="GU39" s="53"/>
      <c r="GV39" s="53"/>
      <c r="GW39" s="65"/>
      <c r="GX39" s="53"/>
      <c r="GY39" s="53"/>
      <c r="GZ39" s="53"/>
      <c r="HA39" s="65"/>
      <c r="HB39" s="53"/>
      <c r="HC39" s="53"/>
      <c r="HD39" s="53"/>
      <c r="HE39" s="65"/>
      <c r="HF39" s="53"/>
      <c r="HG39" s="53"/>
      <c r="HH39" s="53"/>
      <c r="HI39" s="65"/>
      <c r="HJ39" s="53"/>
      <c r="HK39" s="53"/>
      <c r="HL39" s="53"/>
      <c r="HM39" s="65"/>
      <c r="HN39" s="53"/>
      <c r="HO39" s="53"/>
      <c r="HP39" s="53"/>
      <c r="HQ39" s="65"/>
      <c r="HR39" s="53"/>
      <c r="HS39" s="53"/>
      <c r="HT39" s="53"/>
      <c r="HU39" s="65"/>
      <c r="HV39" s="53"/>
      <c r="HW39" s="53"/>
      <c r="HX39" s="53"/>
      <c r="HY39" s="65"/>
      <c r="HZ39" s="53"/>
      <c r="IA39" s="53"/>
      <c r="IB39" s="53"/>
      <c r="IC39" s="65"/>
      <c r="ID39" s="53"/>
      <c r="IE39" s="53"/>
      <c r="IF39" s="53"/>
      <c r="IG39" s="65"/>
      <c r="IH39" s="53"/>
      <c r="II39" s="53"/>
      <c r="IJ39" s="53"/>
      <c r="IK39" s="65"/>
      <c r="IL39" s="53"/>
      <c r="IM39" s="53"/>
      <c r="IN39" s="53"/>
      <c r="IO39" s="65"/>
      <c r="IP39" s="53"/>
      <c r="IQ39" s="53"/>
      <c r="IR39" s="53"/>
      <c r="IS39" s="65"/>
      <c r="IT39" s="53"/>
      <c r="IU39" s="53"/>
      <c r="IV39" s="53"/>
    </row>
    <row r="40" spans="1:256" s="68" customFormat="1" ht="18.75" customHeight="1">
      <c r="A40" s="537" t="s">
        <v>170</v>
      </c>
      <c r="B40" s="542">
        <v>1149.94</v>
      </c>
      <c r="C40" s="542">
        <v>1168.3699999999999</v>
      </c>
      <c r="D40" s="542">
        <v>1148.74</v>
      </c>
      <c r="E40" s="542">
        <v>1128.01</v>
      </c>
      <c r="F40" s="542">
        <v>1174.45</v>
      </c>
      <c r="G40" s="543">
        <v>1224.17</v>
      </c>
      <c r="H40" s="544">
        <v>1219.0899999999999</v>
      </c>
      <c r="I40" s="544">
        <v>1191.44</v>
      </c>
      <c r="J40" s="61">
        <v>1178.3800000000001</v>
      </c>
      <c r="K40" s="61">
        <v>1134.4100000000001</v>
      </c>
      <c r="L40" s="61">
        <v>1137.2</v>
      </c>
      <c r="M40" s="61">
        <v>1158.75</v>
      </c>
      <c r="N40" s="59">
        <v>1167.54</v>
      </c>
      <c r="O40" s="53"/>
    </row>
    <row r="41" spans="1:256" s="68" customFormat="1" ht="18.75" customHeight="1">
      <c r="A41" s="64" t="s">
        <v>76</v>
      </c>
      <c r="B41" s="540">
        <v>1131</v>
      </c>
      <c r="C41" s="540">
        <v>1129.06</v>
      </c>
      <c r="D41" s="540">
        <v>1133.4000000000001</v>
      </c>
      <c r="E41" s="540">
        <v>1097.44</v>
      </c>
      <c r="F41" s="540">
        <v>1094.1099999999999</v>
      </c>
      <c r="G41" s="540">
        <v>1091.82</v>
      </c>
      <c r="H41" s="540">
        <v>1069.83</v>
      </c>
      <c r="I41" s="540">
        <v>1083.6400000000001</v>
      </c>
      <c r="J41" s="540">
        <v>1129.53</v>
      </c>
      <c r="K41" s="540">
        <v>1166.72</v>
      </c>
      <c r="L41" s="540">
        <v>1143.3699999999999</v>
      </c>
      <c r="M41" s="540">
        <v>1158.6500000000001</v>
      </c>
      <c r="N41" s="57">
        <v>1118.92</v>
      </c>
      <c r="O41" s="53"/>
    </row>
    <row r="42" spans="1:256" s="68" customFormat="1" ht="18.75" customHeight="1">
      <c r="A42" s="64" t="s">
        <v>87</v>
      </c>
      <c r="B42" s="540">
        <v>1157.04</v>
      </c>
      <c r="C42" s="540">
        <v>1134.31</v>
      </c>
      <c r="D42" s="540">
        <v>1136.8900000000001</v>
      </c>
      <c r="E42" s="540">
        <v>1146.6300000000001</v>
      </c>
      <c r="F42" s="540">
        <v>1165.52</v>
      </c>
      <c r="G42" s="540">
        <v>1176.8699999999999</v>
      </c>
      <c r="H42" s="540">
        <v>1154.52</v>
      </c>
      <c r="I42" s="540">
        <v>1142.74</v>
      </c>
      <c r="J42" s="540">
        <v>1135.74</v>
      </c>
      <c r="K42" s="540">
        <v>1117.73</v>
      </c>
      <c r="L42" s="540">
        <v>1098.1199999999999</v>
      </c>
      <c r="M42" s="418">
        <v>1087.5</v>
      </c>
      <c r="N42" s="416">
        <v>1137.8699999999999</v>
      </c>
      <c r="O42" s="53"/>
    </row>
    <row r="43" spans="1:256" s="68" customFormat="1" ht="18.75" customHeight="1">
      <c r="A43" s="64" t="s">
        <v>163</v>
      </c>
      <c r="B43" s="540">
        <v>1075.75</v>
      </c>
      <c r="C43" s="540">
        <v>1097.28</v>
      </c>
      <c r="D43" s="540">
        <v>1112.95</v>
      </c>
      <c r="E43" s="540">
        <v>1132.77</v>
      </c>
      <c r="F43" s="540">
        <v>1121.51</v>
      </c>
      <c r="G43" s="540">
        <v>1146.29</v>
      </c>
      <c r="H43" s="540">
        <v>1138.23</v>
      </c>
      <c r="I43" s="540">
        <v>1127.8800000000001</v>
      </c>
      <c r="J43" s="540">
        <v>1097.97</v>
      </c>
      <c r="K43" s="540">
        <v>1077.21</v>
      </c>
      <c r="L43" s="540">
        <v>1073.19</v>
      </c>
      <c r="M43" s="418">
        <v>1066.98</v>
      </c>
      <c r="N43" s="416">
        <v>1112.78</v>
      </c>
      <c r="O43" s="53"/>
    </row>
    <row r="44" spans="1:256" s="68" customFormat="1" ht="18.75" customHeight="1">
      <c r="A44" s="64" t="s">
        <v>172</v>
      </c>
      <c r="B44" s="416">
        <v>1075.1400000000001</v>
      </c>
      <c r="C44" s="416">
        <v>1081.76</v>
      </c>
      <c r="D44" s="416">
        <v>1081.33</v>
      </c>
      <c r="E44" s="416">
        <v>1054.74</v>
      </c>
      <c r="F44" s="416">
        <v>1035</v>
      </c>
      <c r="G44" s="119">
        <v>1029.29</v>
      </c>
      <c r="H44" s="540">
        <v>1029.8699999999999</v>
      </c>
      <c r="I44" s="540">
        <v>1035.3599999999999</v>
      </c>
      <c r="J44" s="540">
        <v>1043.32</v>
      </c>
      <c r="K44" s="540">
        <v>1070.6199999999999</v>
      </c>
      <c r="L44" s="540">
        <v>1105.78</v>
      </c>
      <c r="M44" s="540">
        <v>1115.0999999999999</v>
      </c>
      <c r="N44" s="416">
        <v>1063.49</v>
      </c>
      <c r="O44" s="53"/>
    </row>
    <row r="45" spans="1:256" s="68" customFormat="1" ht="18.75" customHeight="1">
      <c r="A45" s="983" t="s">
        <v>194</v>
      </c>
      <c r="B45" s="412"/>
      <c r="C45" s="412"/>
      <c r="D45" s="412"/>
      <c r="E45" s="412"/>
      <c r="F45" s="412"/>
      <c r="G45" s="314"/>
      <c r="H45" s="951"/>
      <c r="I45" s="951"/>
      <c r="J45" s="951"/>
      <c r="K45" s="951"/>
      <c r="L45" s="951"/>
      <c r="M45" s="951"/>
      <c r="N45" s="984"/>
      <c r="O45" s="53"/>
    </row>
    <row r="46" spans="1:256" ht="18.75" customHeight="1">
      <c r="A46" s="111" t="s">
        <v>171</v>
      </c>
      <c r="B46" s="352">
        <f>B45-M44</f>
        <v>-1115.0999999999999</v>
      </c>
      <c r="C46" s="352">
        <f t="shared" ref="C46:M46" si="2">+C45-B45</f>
        <v>0</v>
      </c>
      <c r="D46" s="352">
        <f t="shared" si="2"/>
        <v>0</v>
      </c>
      <c r="E46" s="352">
        <f t="shared" si="2"/>
        <v>0</v>
      </c>
      <c r="F46" s="352">
        <f t="shared" si="2"/>
        <v>0</v>
      </c>
      <c r="G46" s="837">
        <f t="shared" si="2"/>
        <v>0</v>
      </c>
      <c r="H46" s="121">
        <f t="shared" si="2"/>
        <v>0</v>
      </c>
      <c r="I46" s="121">
        <f t="shared" si="2"/>
        <v>0</v>
      </c>
      <c r="J46" s="121">
        <f t="shared" si="2"/>
        <v>0</v>
      </c>
      <c r="K46" s="121">
        <f t="shared" si="2"/>
        <v>0</v>
      </c>
      <c r="L46" s="121">
        <f t="shared" si="2"/>
        <v>0</v>
      </c>
      <c r="M46" s="121">
        <f t="shared" si="2"/>
        <v>0</v>
      </c>
      <c r="N46" s="62"/>
    </row>
    <row r="47" spans="1:256" s="68" customFormat="1" ht="18.75" customHeight="1">
      <c r="A47" s="73"/>
      <c r="B47" s="72"/>
      <c r="C47" s="72"/>
      <c r="D47" s="70"/>
      <c r="E47" s="70"/>
      <c r="F47" s="70"/>
      <c r="G47" s="113"/>
      <c r="H47" s="70"/>
      <c r="I47" s="70"/>
      <c r="J47" s="70"/>
      <c r="K47" s="70"/>
      <c r="L47" s="305"/>
      <c r="M47" s="223"/>
      <c r="N47" s="70"/>
      <c r="O47" s="53"/>
    </row>
    <row r="48" spans="1:256" ht="6.75" customHeight="1">
      <c r="A48" s="111"/>
      <c r="B48" s="121"/>
      <c r="C48" s="121"/>
      <c r="D48" s="121"/>
      <c r="E48" s="121"/>
      <c r="F48" s="121"/>
      <c r="G48" s="112"/>
      <c r="H48" s="115"/>
      <c r="I48" s="116"/>
      <c r="J48" s="116"/>
      <c r="K48" s="117"/>
      <c r="L48" s="306"/>
      <c r="M48" s="224"/>
      <c r="N48" s="62"/>
    </row>
    <row r="49" spans="1:15" ht="18.75" customHeight="1">
      <c r="A49" s="65" t="s">
        <v>174</v>
      </c>
      <c r="D49" s="108"/>
      <c r="E49" s="108"/>
      <c r="F49" s="108"/>
      <c r="G49" s="65"/>
      <c r="H49" s="71"/>
      <c r="I49" s="65"/>
      <c r="L49" s="108"/>
      <c r="M49" s="225"/>
      <c r="O49" s="60"/>
    </row>
    <row r="50" spans="1:15" s="60" customFormat="1" ht="18.75" customHeight="1">
      <c r="A50" s="66" t="s">
        <v>129</v>
      </c>
      <c r="B50" s="67" t="s">
        <v>130</v>
      </c>
      <c r="C50" s="67" t="s">
        <v>173</v>
      </c>
      <c r="D50" s="109" t="s">
        <v>23</v>
      </c>
      <c r="E50" s="109" t="s">
        <v>24</v>
      </c>
      <c r="F50" s="109" t="s">
        <v>25</v>
      </c>
      <c r="G50" s="67" t="s">
        <v>26</v>
      </c>
      <c r="H50" s="67" t="s">
        <v>27</v>
      </c>
      <c r="I50" s="67" t="s">
        <v>28</v>
      </c>
      <c r="J50" s="67" t="s">
        <v>29</v>
      </c>
      <c r="K50" s="67" t="s">
        <v>30</v>
      </c>
      <c r="L50" s="109" t="s">
        <v>31</v>
      </c>
      <c r="M50" s="67" t="s">
        <v>32</v>
      </c>
      <c r="N50" s="67" t="s">
        <v>131</v>
      </c>
      <c r="O50" s="53"/>
    </row>
    <row r="51" spans="1:15" ht="18.75" hidden="1" customHeight="1">
      <c r="A51" s="64" t="s">
        <v>137</v>
      </c>
      <c r="B51" s="48">
        <v>1038.23</v>
      </c>
      <c r="C51" s="48">
        <v>1022.43</v>
      </c>
      <c r="D51" s="209">
        <v>1007.49</v>
      </c>
      <c r="E51" s="209">
        <v>1010.94</v>
      </c>
      <c r="F51" s="209">
        <v>1002.21</v>
      </c>
      <c r="G51" s="48">
        <v>1010.87</v>
      </c>
      <c r="H51" s="48">
        <v>1037.44</v>
      </c>
      <c r="I51" s="48">
        <v>1021.17</v>
      </c>
      <c r="J51" s="48">
        <v>1029.33</v>
      </c>
      <c r="K51" s="49">
        <v>1046.25</v>
      </c>
      <c r="L51" s="110">
        <v>1041.43</v>
      </c>
      <c r="M51" s="49">
        <v>1024.1500000000001</v>
      </c>
      <c r="N51" s="48">
        <f>AVERAGE(B51:M51)</f>
        <v>1024.3283333333331</v>
      </c>
      <c r="O51" s="71"/>
    </row>
    <row r="52" spans="1:15" ht="18.75" hidden="1" customHeight="1">
      <c r="A52" s="64" t="s">
        <v>178</v>
      </c>
      <c r="B52" s="48">
        <v>987.03</v>
      </c>
      <c r="C52" s="48">
        <v>970.22</v>
      </c>
      <c r="D52" s="209">
        <v>975.09</v>
      </c>
      <c r="E52" s="209">
        <v>954.44</v>
      </c>
      <c r="F52" s="209">
        <v>941.4</v>
      </c>
      <c r="G52" s="48">
        <v>955.16</v>
      </c>
      <c r="H52" s="48">
        <v>950.15</v>
      </c>
      <c r="I52" s="48">
        <v>960.72</v>
      </c>
      <c r="J52" s="48">
        <v>953.68</v>
      </c>
      <c r="K52" s="49">
        <v>954.23</v>
      </c>
      <c r="L52" s="110">
        <v>936.22</v>
      </c>
      <c r="M52" s="49">
        <v>925.75</v>
      </c>
      <c r="N52" s="48">
        <f>AVERAGE(B52:M52)</f>
        <v>955.34083333333319</v>
      </c>
      <c r="O52" s="71"/>
    </row>
    <row r="53" spans="1:15" s="71" customFormat="1" ht="18.75" hidden="1" customHeight="1">
      <c r="A53" s="58" t="s">
        <v>138</v>
      </c>
      <c r="B53" s="50">
        <v>936.36</v>
      </c>
      <c r="C53" s="50">
        <v>937.02</v>
      </c>
      <c r="D53" s="52">
        <v>943.26</v>
      </c>
      <c r="E53" s="52">
        <v>931.5</v>
      </c>
      <c r="F53" s="52">
        <v>927.91</v>
      </c>
      <c r="G53" s="50">
        <v>928.32</v>
      </c>
      <c r="H53" s="50">
        <v>918.85</v>
      </c>
      <c r="I53" s="52">
        <v>933.8</v>
      </c>
      <c r="J53" s="50">
        <v>932.41</v>
      </c>
      <c r="K53" s="50">
        <v>915.86</v>
      </c>
      <c r="L53" s="52">
        <v>916.98</v>
      </c>
      <c r="M53" s="50">
        <v>930.24</v>
      </c>
      <c r="N53" s="51">
        <f>AVERAGE(B53:M53)</f>
        <v>929.37583333333339</v>
      </c>
      <c r="O53" s="53"/>
    </row>
    <row r="54" spans="1:15" ht="18.75" hidden="1" customHeight="1">
      <c r="A54" s="58" t="s">
        <v>139</v>
      </c>
      <c r="B54" s="50">
        <v>942.39</v>
      </c>
      <c r="C54" s="50">
        <v>944.69</v>
      </c>
      <c r="D54" s="52">
        <v>979.86</v>
      </c>
      <c r="E54" s="52">
        <v>986.66</v>
      </c>
      <c r="F54" s="52">
        <v>1036.73</v>
      </c>
      <c r="G54" s="50">
        <v>1029.27</v>
      </c>
      <c r="H54" s="50">
        <v>1019.12</v>
      </c>
      <c r="I54" s="50">
        <v>1041.54</v>
      </c>
      <c r="J54" s="50">
        <v>1130.4000000000001</v>
      </c>
      <c r="K54" s="50">
        <v>1326.92</v>
      </c>
      <c r="L54" s="50">
        <v>1390.09</v>
      </c>
      <c r="M54" s="50">
        <v>1373.84</v>
      </c>
      <c r="N54" s="50">
        <v>1102.5899999999999</v>
      </c>
      <c r="O54" s="71"/>
    </row>
    <row r="55" spans="1:15" s="71" customFormat="1" ht="18.75" hidden="1" customHeight="1">
      <c r="A55" s="56" t="s">
        <v>57</v>
      </c>
      <c r="B55" s="110">
        <v>1346.1</v>
      </c>
      <c r="C55" s="110">
        <v>1429.46</v>
      </c>
      <c r="D55" s="110">
        <v>1461.98</v>
      </c>
      <c r="E55" s="110">
        <v>1341.9</v>
      </c>
      <c r="F55" s="110">
        <v>1258.71</v>
      </c>
      <c r="G55" s="49">
        <v>1261.3499999999999</v>
      </c>
      <c r="H55" s="110">
        <v>1263.97</v>
      </c>
      <c r="I55" s="49">
        <v>1238.4000000000001</v>
      </c>
      <c r="J55" s="49">
        <v>1219.1500000000001</v>
      </c>
      <c r="K55" s="110">
        <v>1175.25</v>
      </c>
      <c r="L55" s="110">
        <v>1164.23</v>
      </c>
      <c r="M55" s="110">
        <v>1166.45</v>
      </c>
      <c r="N55" s="49">
        <v>1276.4000000000001</v>
      </c>
      <c r="O55" s="53"/>
    </row>
    <row r="56" spans="1:15" ht="18.75" customHeight="1">
      <c r="A56" s="58" t="s">
        <v>62</v>
      </c>
      <c r="B56" s="52">
        <v>1138.82</v>
      </c>
      <c r="C56" s="52">
        <v>1157.08</v>
      </c>
      <c r="D56" s="52">
        <v>1137.6400000000001</v>
      </c>
      <c r="E56" s="52">
        <v>1117.1099999999999</v>
      </c>
      <c r="F56" s="52">
        <v>1163.1099999999999</v>
      </c>
      <c r="G56" s="52">
        <v>1212.33</v>
      </c>
      <c r="H56" s="52">
        <v>1207.3</v>
      </c>
      <c r="I56" s="52">
        <v>1179.92</v>
      </c>
      <c r="J56" s="52">
        <v>1167.01</v>
      </c>
      <c r="K56" s="52">
        <v>1123.45</v>
      </c>
      <c r="L56" s="52">
        <v>1126.2</v>
      </c>
      <c r="M56" s="52">
        <v>1147.55</v>
      </c>
      <c r="N56" s="50">
        <v>1156.26</v>
      </c>
    </row>
    <row r="57" spans="1:15" ht="18.75" customHeight="1">
      <c r="A57" s="56" t="s">
        <v>76</v>
      </c>
      <c r="B57" s="110">
        <v>1120.07</v>
      </c>
      <c r="C57" s="110">
        <v>1118.1400000000001</v>
      </c>
      <c r="D57" s="110">
        <v>1122.45</v>
      </c>
      <c r="E57" s="110">
        <v>1086.8399999999999</v>
      </c>
      <c r="F57" s="110">
        <v>1083.54</v>
      </c>
      <c r="G57" s="110">
        <v>1081.27</v>
      </c>
      <c r="H57" s="110">
        <v>1059.5</v>
      </c>
      <c r="I57" s="110">
        <v>1073.17</v>
      </c>
      <c r="J57" s="110">
        <v>1118.6099999999999</v>
      </c>
      <c r="K57" s="110">
        <v>1155.45</v>
      </c>
      <c r="L57" s="110">
        <v>1132.31</v>
      </c>
      <c r="M57" s="110">
        <v>1147.45</v>
      </c>
      <c r="N57" s="49">
        <v>1108.1099999999999</v>
      </c>
    </row>
    <row r="58" spans="1:15" ht="18.75" customHeight="1">
      <c r="A58" s="56" t="s">
        <v>87</v>
      </c>
      <c r="B58" s="110">
        <v>1145.8499999999999</v>
      </c>
      <c r="C58" s="110">
        <v>1123.3499999999999</v>
      </c>
      <c r="D58" s="110">
        <v>1125.9000000000001</v>
      </c>
      <c r="E58" s="110">
        <v>1135.55</v>
      </c>
      <c r="F58" s="110">
        <v>1154.27</v>
      </c>
      <c r="G58" s="110">
        <v>1165.51</v>
      </c>
      <c r="H58" s="110">
        <v>1143.3599999999999</v>
      </c>
      <c r="I58" s="110">
        <v>1131.69</v>
      </c>
      <c r="J58" s="110">
        <v>1124.78</v>
      </c>
      <c r="K58" s="110">
        <v>1106.93</v>
      </c>
      <c r="L58" s="110">
        <v>1087.52</v>
      </c>
      <c r="M58" s="417">
        <v>1076.97</v>
      </c>
      <c r="N58" s="49">
        <v>1126.8800000000001</v>
      </c>
    </row>
    <row r="59" spans="1:15" ht="18.75" customHeight="1">
      <c r="A59" s="56" t="s">
        <v>113</v>
      </c>
      <c r="B59" s="417">
        <v>1065.3499999999999</v>
      </c>
      <c r="C59" s="417">
        <v>1086.68</v>
      </c>
      <c r="D59" s="417">
        <v>1102.2</v>
      </c>
      <c r="E59" s="417">
        <v>1121.83</v>
      </c>
      <c r="F59" s="417">
        <v>1110.67</v>
      </c>
      <c r="G59" s="417">
        <v>1135.21</v>
      </c>
      <c r="H59" s="417">
        <v>1127.23</v>
      </c>
      <c r="I59" s="417">
        <v>1116.98</v>
      </c>
      <c r="J59" s="417">
        <v>1087.3499999999999</v>
      </c>
      <c r="K59" s="418">
        <v>1066.8</v>
      </c>
      <c r="L59" s="418">
        <v>1062.82</v>
      </c>
      <c r="M59" s="417">
        <v>1056.67</v>
      </c>
      <c r="N59" s="49">
        <v>1095.04</v>
      </c>
    </row>
    <row r="60" spans="1:15" ht="18.75" customHeight="1">
      <c r="A60" s="56" t="s">
        <v>161</v>
      </c>
      <c r="B60" s="416">
        <v>1064.75</v>
      </c>
      <c r="C60" s="416">
        <v>1071.3</v>
      </c>
      <c r="D60" s="416">
        <v>1070.8900000000001</v>
      </c>
      <c r="E60" s="416">
        <v>1044.55</v>
      </c>
      <c r="F60" s="416">
        <v>1024.99</v>
      </c>
      <c r="G60" s="119">
        <v>1019.36</v>
      </c>
      <c r="H60" s="110">
        <v>1019.93</v>
      </c>
      <c r="I60" s="110">
        <v>1025.3599999999999</v>
      </c>
      <c r="J60" s="110">
        <v>1033.24</v>
      </c>
      <c r="K60" s="540">
        <v>1060.28</v>
      </c>
      <c r="L60" s="540">
        <v>1095.0999999999999</v>
      </c>
      <c r="M60" s="110">
        <v>1104.33</v>
      </c>
      <c r="N60" s="417">
        <v>1053.22</v>
      </c>
      <c r="O60" s="108"/>
    </row>
    <row r="61" spans="1:15" ht="18.75" customHeight="1">
      <c r="A61" s="69" t="s">
        <v>194</v>
      </c>
      <c r="B61" s="987"/>
      <c r="C61" s="987"/>
      <c r="D61" s="987"/>
      <c r="E61" s="987"/>
      <c r="F61" s="987"/>
      <c r="G61" s="120"/>
      <c r="H61" s="988"/>
      <c r="I61" s="988"/>
      <c r="J61" s="988"/>
      <c r="K61" s="545"/>
      <c r="L61" s="545"/>
      <c r="M61" s="988"/>
      <c r="N61" s="989"/>
      <c r="O61" s="108"/>
    </row>
    <row r="62" spans="1:15" ht="18.75" customHeight="1">
      <c r="A62" s="985" t="s">
        <v>140</v>
      </c>
      <c r="B62" s="352">
        <f>B61-M60</f>
        <v>-1104.33</v>
      </c>
      <c r="C62" s="352">
        <f t="shared" ref="C62:M62" si="3">+C61-B61</f>
        <v>0</v>
      </c>
      <c r="D62" s="352">
        <f t="shared" si="3"/>
        <v>0</v>
      </c>
      <c r="E62" s="352">
        <f t="shared" si="3"/>
        <v>0</v>
      </c>
      <c r="F62" s="352">
        <f t="shared" si="3"/>
        <v>0</v>
      </c>
      <c r="G62" s="837">
        <f t="shared" si="3"/>
        <v>0</v>
      </c>
      <c r="H62" s="306">
        <f t="shared" si="3"/>
        <v>0</v>
      </c>
      <c r="I62" s="306">
        <f t="shared" si="3"/>
        <v>0</v>
      </c>
      <c r="J62" s="306">
        <f t="shared" si="3"/>
        <v>0</v>
      </c>
      <c r="K62" s="121">
        <f t="shared" si="3"/>
        <v>0</v>
      </c>
      <c r="L62" s="121">
        <f t="shared" si="3"/>
        <v>0</v>
      </c>
      <c r="M62" s="306">
        <f t="shared" si="3"/>
        <v>0</v>
      </c>
      <c r="N62" s="986"/>
    </row>
    <row r="63" spans="1:15" ht="15" customHeight="1">
      <c r="H63" s="108"/>
    </row>
    <row r="66" spans="4:11" ht="15" customHeight="1">
      <c r="I66" s="241"/>
      <c r="K66" s="68"/>
    </row>
    <row r="68" spans="4:11" ht="15" customHeight="1">
      <c r="D68" s="220"/>
    </row>
  </sheetData>
  <phoneticPr fontId="2" type="noConversion"/>
  <printOptions horizontalCentered="1" verticalCentered="1"/>
  <pageMargins left="0.11811023622047245" right="0.47244094488188981" top="0.19685039370078741" bottom="0.15748031496062992" header="0.35433070866141736" footer="0.11811023622047245"/>
  <pageSetup paperSize="9" scale="75" orientation="landscape" horizontalDpi="300" verticalDpi="300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indexed="53"/>
  </sheetPr>
  <dimension ref="A1:K2080"/>
  <sheetViews>
    <sheetView zoomScaleNormal="100" workbookViewId="0">
      <pane xSplit="1" ySplit="2" topLeftCell="B2070" activePane="bottomRight" state="frozen"/>
      <selection pane="topRight" activeCell="B1" sqref="B1"/>
      <selection pane="bottomLeft" activeCell="A3" sqref="A3"/>
      <selection pane="bottomRight" activeCell="H2080" sqref="H2080"/>
    </sheetView>
  </sheetViews>
  <sheetFormatPr defaultRowHeight="15" customHeight="1"/>
  <cols>
    <col min="1" max="1" width="10.44140625" style="83" customWidth="1"/>
    <col min="2" max="4" width="8" style="84" customWidth="1"/>
    <col min="5" max="6" width="9.5546875" style="86" customWidth="1"/>
    <col min="7" max="7" width="9.21875" style="87" customWidth="1"/>
    <col min="8" max="8" width="8" style="79" customWidth="1"/>
    <col min="9" max="9" width="9.21875" style="80" customWidth="1"/>
    <col min="10" max="16384" width="8.88671875" style="81"/>
  </cols>
  <sheetData>
    <row r="1" spans="1:9" ht="15" customHeight="1">
      <c r="A1" s="1057" t="s">
        <v>46</v>
      </c>
      <c r="B1" s="1057"/>
      <c r="C1" s="1057"/>
      <c r="D1" s="1057"/>
      <c r="E1" s="1057"/>
      <c r="F1" s="1057"/>
      <c r="G1" s="1057"/>
    </row>
    <row r="2" spans="1:9" s="82" customFormat="1" ht="15" customHeight="1">
      <c r="A2" s="74" t="s">
        <v>3</v>
      </c>
      <c r="B2" s="75" t="s">
        <v>15</v>
      </c>
      <c r="C2" s="75" t="s">
        <v>16</v>
      </c>
      <c r="D2" s="75" t="s">
        <v>17</v>
      </c>
      <c r="E2" s="76"/>
      <c r="F2" s="76" t="s">
        <v>159</v>
      </c>
      <c r="G2" s="77" t="s">
        <v>20</v>
      </c>
      <c r="H2" s="82" t="s">
        <v>51</v>
      </c>
      <c r="I2" s="75" t="s">
        <v>58</v>
      </c>
    </row>
    <row r="3" spans="1:9" ht="15" customHeight="1">
      <c r="A3" s="83">
        <v>39084</v>
      </c>
      <c r="C3" s="85"/>
      <c r="D3" s="84">
        <v>5350</v>
      </c>
    </row>
    <row r="4" spans="1:9" ht="15" customHeight="1">
      <c r="A4" s="83">
        <v>39085</v>
      </c>
      <c r="C4" s="85"/>
      <c r="D4" s="84">
        <v>5350</v>
      </c>
    </row>
    <row r="5" spans="1:9" ht="15" customHeight="1">
      <c r="A5" s="83">
        <v>39086</v>
      </c>
      <c r="C5" s="85"/>
      <c r="D5" s="84">
        <v>5350</v>
      </c>
    </row>
    <row r="6" spans="1:9" ht="15" customHeight="1">
      <c r="A6" s="83">
        <v>39087</v>
      </c>
      <c r="C6" s="85"/>
      <c r="D6" s="84">
        <v>5350</v>
      </c>
    </row>
    <row r="7" spans="1:9" ht="15" customHeight="1">
      <c r="A7" s="83">
        <v>39090</v>
      </c>
      <c r="C7" s="85"/>
      <c r="D7" s="84">
        <v>5350</v>
      </c>
    </row>
    <row r="8" spans="1:9" ht="15" customHeight="1">
      <c r="A8" s="83">
        <v>39091</v>
      </c>
      <c r="C8" s="85"/>
      <c r="D8" s="84">
        <v>5350</v>
      </c>
    </row>
    <row r="9" spans="1:9" ht="15" customHeight="1">
      <c r="A9" s="83">
        <v>39092</v>
      </c>
      <c r="C9" s="85"/>
      <c r="D9" s="84">
        <v>5350</v>
      </c>
    </row>
    <row r="10" spans="1:9" ht="15" customHeight="1">
      <c r="A10" s="83">
        <v>39093</v>
      </c>
      <c r="C10" s="85"/>
      <c r="D10" s="84">
        <v>5350</v>
      </c>
    </row>
    <row r="11" spans="1:9" ht="15" customHeight="1">
      <c r="A11" s="83">
        <v>39094</v>
      </c>
      <c r="C11" s="85"/>
      <c r="D11" s="84">
        <v>5350</v>
      </c>
    </row>
    <row r="12" spans="1:9" ht="15" customHeight="1">
      <c r="A12" s="83">
        <v>39097</v>
      </c>
      <c r="C12" s="85"/>
      <c r="D12" s="84">
        <v>5350</v>
      </c>
    </row>
    <row r="13" spans="1:9" ht="15" customHeight="1">
      <c r="A13" s="83">
        <v>39098</v>
      </c>
      <c r="C13" s="85"/>
      <c r="D13" s="84">
        <v>5350</v>
      </c>
    </row>
    <row r="14" spans="1:9" ht="15" customHeight="1">
      <c r="A14" s="83">
        <v>39099</v>
      </c>
      <c r="C14" s="85"/>
      <c r="D14" s="84">
        <v>5350</v>
      </c>
    </row>
    <row r="15" spans="1:9" ht="15" customHeight="1">
      <c r="A15" s="83">
        <v>39100</v>
      </c>
      <c r="C15" s="85"/>
      <c r="D15" s="84">
        <v>5350</v>
      </c>
    </row>
    <row r="16" spans="1:9" ht="15" customHeight="1">
      <c r="A16" s="83">
        <v>39101</v>
      </c>
      <c r="C16" s="85"/>
      <c r="D16" s="84">
        <v>5350</v>
      </c>
    </row>
    <row r="17" spans="1:7" ht="15" customHeight="1">
      <c r="A17" s="83">
        <v>39104</v>
      </c>
      <c r="C17" s="85"/>
      <c r="D17" s="84">
        <v>5350</v>
      </c>
    </row>
    <row r="18" spans="1:7" ht="15" customHeight="1">
      <c r="A18" s="83">
        <v>39105</v>
      </c>
      <c r="C18" s="85"/>
      <c r="D18" s="84">
        <v>5350</v>
      </c>
    </row>
    <row r="19" spans="1:7" ht="15" customHeight="1">
      <c r="A19" s="83">
        <v>39106</v>
      </c>
      <c r="C19" s="85"/>
      <c r="D19" s="84">
        <v>5350</v>
      </c>
    </row>
    <row r="20" spans="1:7" ht="15" customHeight="1">
      <c r="A20" s="83">
        <v>39107</v>
      </c>
      <c r="C20" s="85"/>
      <c r="D20" s="84">
        <v>5350</v>
      </c>
    </row>
    <row r="21" spans="1:7" ht="15" customHeight="1" thickBot="1">
      <c r="A21" s="88">
        <v>39108</v>
      </c>
      <c r="B21" s="89"/>
      <c r="C21" s="90"/>
      <c r="D21" s="89">
        <v>5350</v>
      </c>
      <c r="E21" s="91">
        <f>AVERAGE(D3:D21)</f>
        <v>5350</v>
      </c>
      <c r="F21" s="91"/>
      <c r="G21" s="92"/>
    </row>
    <row r="22" spans="1:7" ht="15" customHeight="1">
      <c r="A22" s="93">
        <v>39114</v>
      </c>
      <c r="B22" s="94"/>
      <c r="C22" s="95"/>
      <c r="D22" s="94">
        <v>5350</v>
      </c>
    </row>
    <row r="23" spans="1:7" ht="15" customHeight="1">
      <c r="A23" s="83">
        <v>39115</v>
      </c>
      <c r="C23" s="85"/>
      <c r="D23" s="84">
        <v>5350</v>
      </c>
    </row>
    <row r="24" spans="1:7" ht="15" customHeight="1">
      <c r="A24" s="83">
        <v>39118</v>
      </c>
      <c r="C24" s="85"/>
      <c r="D24" s="84">
        <v>5350</v>
      </c>
    </row>
    <row r="25" spans="1:7" ht="15" customHeight="1">
      <c r="A25" s="83">
        <v>39119</v>
      </c>
      <c r="C25" s="85"/>
      <c r="D25" s="84">
        <v>5350</v>
      </c>
    </row>
    <row r="26" spans="1:7" ht="15" customHeight="1">
      <c r="A26" s="83">
        <v>39120</v>
      </c>
      <c r="C26" s="85"/>
      <c r="D26" s="84">
        <v>5350</v>
      </c>
    </row>
    <row r="27" spans="1:7" ht="15" customHeight="1">
      <c r="A27" s="83">
        <v>39121</v>
      </c>
      <c r="C27" s="85"/>
      <c r="D27" s="84">
        <v>5350</v>
      </c>
    </row>
    <row r="28" spans="1:7" ht="15" customHeight="1">
      <c r="A28" s="83">
        <v>39122</v>
      </c>
      <c r="C28" s="85"/>
      <c r="D28" s="84">
        <v>5350</v>
      </c>
    </row>
    <row r="29" spans="1:7" ht="15" customHeight="1">
      <c r="A29" s="83">
        <v>39125</v>
      </c>
      <c r="C29" s="85"/>
      <c r="D29" s="84">
        <v>5350</v>
      </c>
    </row>
    <row r="30" spans="1:7" ht="15" customHeight="1">
      <c r="A30" s="83">
        <v>39126</v>
      </c>
      <c r="C30" s="85"/>
      <c r="D30" s="84">
        <v>5350</v>
      </c>
    </row>
    <row r="31" spans="1:7" ht="15" customHeight="1">
      <c r="A31" s="83">
        <v>39127</v>
      </c>
      <c r="C31" s="85"/>
      <c r="D31" s="84">
        <v>5350</v>
      </c>
    </row>
    <row r="32" spans="1:7" ht="15" customHeight="1">
      <c r="A32" s="83">
        <v>39128</v>
      </c>
      <c r="C32" s="85"/>
      <c r="D32" s="84">
        <v>5350</v>
      </c>
    </row>
    <row r="33" spans="1:6" ht="15" customHeight="1">
      <c r="A33" s="83">
        <v>39129</v>
      </c>
      <c r="C33" s="85"/>
      <c r="D33" s="84">
        <v>5350</v>
      </c>
    </row>
    <row r="34" spans="1:6" ht="15" customHeight="1">
      <c r="A34" s="83">
        <v>39132</v>
      </c>
      <c r="C34" s="85"/>
      <c r="D34" s="84">
        <v>5350</v>
      </c>
    </row>
    <row r="35" spans="1:6" ht="15" customHeight="1">
      <c r="A35" s="83">
        <v>39133</v>
      </c>
      <c r="C35" s="85"/>
      <c r="D35" s="84">
        <v>5350</v>
      </c>
    </row>
    <row r="36" spans="1:6" ht="15" customHeight="1">
      <c r="A36" s="83">
        <v>39134</v>
      </c>
      <c r="C36" s="85"/>
      <c r="D36" s="84">
        <v>5350</v>
      </c>
    </row>
    <row r="37" spans="1:6" ht="15" customHeight="1">
      <c r="A37" s="83">
        <v>39135</v>
      </c>
      <c r="C37" s="85"/>
      <c r="D37" s="84">
        <v>5350</v>
      </c>
    </row>
    <row r="38" spans="1:6" ht="15" customHeight="1">
      <c r="A38" s="83">
        <v>39136</v>
      </c>
      <c r="C38" s="85"/>
      <c r="D38" s="84">
        <v>5450</v>
      </c>
    </row>
    <row r="39" spans="1:6" ht="15" customHeight="1">
      <c r="A39" s="83">
        <v>39139</v>
      </c>
      <c r="C39" s="85"/>
      <c r="D39" s="84">
        <v>5450</v>
      </c>
    </row>
    <row r="40" spans="1:6" ht="15" customHeight="1">
      <c r="A40" s="83">
        <v>39140</v>
      </c>
      <c r="C40" s="85"/>
      <c r="D40" s="84">
        <v>5450</v>
      </c>
    </row>
    <row r="41" spans="1:6" ht="15" customHeight="1" thickBot="1">
      <c r="A41" s="88">
        <v>39141</v>
      </c>
      <c r="B41" s="89"/>
      <c r="C41" s="90"/>
      <c r="D41" s="89">
        <v>5450</v>
      </c>
      <c r="E41" s="91">
        <f>AVERAGE(D22:D41)</f>
        <v>5370</v>
      </c>
      <c r="F41" s="96"/>
    </row>
    <row r="42" spans="1:6" ht="15" customHeight="1">
      <c r="A42" s="93">
        <v>39142</v>
      </c>
      <c r="B42" s="94"/>
      <c r="C42" s="95"/>
      <c r="D42" s="94">
        <v>5450</v>
      </c>
      <c r="E42" s="96"/>
      <c r="F42" s="96"/>
    </row>
    <row r="43" spans="1:6" ht="15" customHeight="1">
      <c r="A43" s="83">
        <v>39143</v>
      </c>
      <c r="C43" s="85"/>
      <c r="D43" s="84">
        <v>5450</v>
      </c>
    </row>
    <row r="44" spans="1:6" ht="15" customHeight="1">
      <c r="A44" s="83">
        <v>39146</v>
      </c>
      <c r="C44" s="85"/>
      <c r="D44" s="84">
        <v>5450</v>
      </c>
    </row>
    <row r="45" spans="1:6" ht="15" customHeight="1">
      <c r="A45" s="83">
        <v>39147</v>
      </c>
      <c r="C45" s="85"/>
      <c r="D45" s="84">
        <v>5450</v>
      </c>
    </row>
    <row r="46" spans="1:6" ht="15" customHeight="1">
      <c r="A46" s="83">
        <v>39148</v>
      </c>
      <c r="C46" s="85"/>
      <c r="D46" s="84">
        <v>5450</v>
      </c>
    </row>
    <row r="47" spans="1:6" ht="15" customHeight="1">
      <c r="A47" s="83">
        <v>39149</v>
      </c>
      <c r="C47" s="85"/>
      <c r="D47" s="84">
        <v>5450</v>
      </c>
    </row>
    <row r="48" spans="1:6" ht="15" customHeight="1">
      <c r="A48" s="83">
        <v>39150</v>
      </c>
      <c r="C48" s="85"/>
      <c r="D48" s="84">
        <v>5450</v>
      </c>
    </row>
    <row r="49" spans="1:7" ht="15" customHeight="1">
      <c r="A49" s="83">
        <v>39153</v>
      </c>
      <c r="C49" s="85"/>
      <c r="D49" s="84">
        <v>5450</v>
      </c>
    </row>
    <row r="50" spans="1:7" ht="15" customHeight="1">
      <c r="A50" s="83">
        <v>39154</v>
      </c>
      <c r="C50" s="85"/>
      <c r="D50" s="84">
        <v>5475</v>
      </c>
    </row>
    <row r="51" spans="1:7" ht="15" customHeight="1">
      <c r="A51" s="83">
        <v>39155</v>
      </c>
      <c r="C51" s="85"/>
      <c r="D51" s="84">
        <v>5475</v>
      </c>
    </row>
    <row r="52" spans="1:7" ht="15" customHeight="1">
      <c r="A52" s="83">
        <v>39156</v>
      </c>
      <c r="C52" s="85"/>
      <c r="D52" s="84">
        <v>5475</v>
      </c>
    </row>
    <row r="53" spans="1:7" ht="15" customHeight="1">
      <c r="A53" s="83">
        <v>39157</v>
      </c>
      <c r="C53" s="85"/>
      <c r="D53" s="84">
        <v>5475</v>
      </c>
    </row>
    <row r="54" spans="1:7" ht="15" customHeight="1">
      <c r="A54" s="83">
        <v>39160</v>
      </c>
      <c r="C54" s="85"/>
      <c r="D54" s="84">
        <v>5475</v>
      </c>
    </row>
    <row r="55" spans="1:7" ht="15" customHeight="1">
      <c r="A55" s="83">
        <v>39161</v>
      </c>
      <c r="C55" s="85"/>
      <c r="D55" s="84">
        <v>5475</v>
      </c>
    </row>
    <row r="56" spans="1:7" ht="15" customHeight="1">
      <c r="A56" s="83">
        <v>39162</v>
      </c>
      <c r="C56" s="85"/>
      <c r="D56" s="84">
        <v>5475</v>
      </c>
    </row>
    <row r="57" spans="1:7" ht="15" customHeight="1">
      <c r="A57" s="83">
        <v>39163</v>
      </c>
      <c r="C57" s="85"/>
      <c r="D57" s="84">
        <v>5475</v>
      </c>
    </row>
    <row r="58" spans="1:7" ht="15" customHeight="1">
      <c r="A58" s="83">
        <v>39164</v>
      </c>
      <c r="C58" s="85"/>
      <c r="D58" s="84">
        <v>5510</v>
      </c>
    </row>
    <row r="59" spans="1:7" ht="15" customHeight="1">
      <c r="A59" s="83">
        <v>39167</v>
      </c>
      <c r="C59" s="85"/>
      <c r="D59" s="84">
        <v>5510</v>
      </c>
    </row>
    <row r="60" spans="1:7" ht="15" customHeight="1">
      <c r="A60" s="83">
        <v>39168</v>
      </c>
      <c r="C60" s="85"/>
      <c r="D60" s="84">
        <v>5510</v>
      </c>
    </row>
    <row r="61" spans="1:7" ht="15" customHeight="1">
      <c r="A61" s="83">
        <v>39169</v>
      </c>
      <c r="C61" s="85"/>
      <c r="D61" s="84">
        <v>5510</v>
      </c>
    </row>
    <row r="62" spans="1:7" ht="15" customHeight="1">
      <c r="A62" s="83">
        <v>39170</v>
      </c>
      <c r="C62" s="85"/>
      <c r="D62" s="84">
        <v>5510</v>
      </c>
    </row>
    <row r="63" spans="1:7" ht="15" customHeight="1" thickBot="1">
      <c r="A63" s="88">
        <v>39171</v>
      </c>
      <c r="B63" s="89"/>
      <c r="C63" s="90"/>
      <c r="D63" s="89">
        <v>5510</v>
      </c>
      <c r="E63" s="91">
        <f>AVERAGE(D42:D63)</f>
        <v>5475.454545454545</v>
      </c>
      <c r="F63" s="91"/>
      <c r="G63" s="92">
        <f>AVERAGE(D3:D63)</f>
        <v>5401.8032786885242</v>
      </c>
    </row>
    <row r="64" spans="1:7" ht="15" customHeight="1">
      <c r="A64" s="93">
        <v>39174</v>
      </c>
      <c r="B64" s="94">
        <v>5470</v>
      </c>
      <c r="C64" s="94">
        <v>5550</v>
      </c>
      <c r="D64" s="94">
        <f>AVERAGE(B64:C64)</f>
        <v>5510</v>
      </c>
    </row>
    <row r="65" spans="1:4" ht="15" customHeight="1">
      <c r="A65" s="93">
        <v>39175</v>
      </c>
      <c r="B65" s="94">
        <v>5470</v>
      </c>
      <c r="C65" s="94">
        <v>5550</v>
      </c>
      <c r="D65" s="94">
        <f>AVERAGE(B65:C65)</f>
        <v>5510</v>
      </c>
    </row>
    <row r="66" spans="1:4" ht="15" customHeight="1">
      <c r="A66" s="93">
        <v>39176</v>
      </c>
      <c r="B66" s="94">
        <v>5470</v>
      </c>
      <c r="C66" s="94">
        <v>5550</v>
      </c>
      <c r="D66" s="94">
        <f>AVERAGE(B66:C66)</f>
        <v>5510</v>
      </c>
    </row>
    <row r="67" spans="1:4" ht="15" customHeight="1">
      <c r="A67" s="93">
        <v>39177</v>
      </c>
      <c r="B67" s="94">
        <v>5470</v>
      </c>
      <c r="C67" s="94">
        <v>5550</v>
      </c>
      <c r="D67" s="94">
        <f>AVERAGE(B67:C67)</f>
        <v>5510</v>
      </c>
    </row>
    <row r="68" spans="1:4" ht="15" customHeight="1">
      <c r="A68" s="93">
        <v>39178</v>
      </c>
      <c r="B68" s="1059" t="s">
        <v>52</v>
      </c>
      <c r="C68" s="1059"/>
      <c r="D68" s="1059"/>
    </row>
    <row r="69" spans="1:4" ht="15" customHeight="1">
      <c r="A69" s="93">
        <v>39181</v>
      </c>
      <c r="B69" s="1059"/>
      <c r="C69" s="1059"/>
      <c r="D69" s="1059"/>
    </row>
    <row r="70" spans="1:4" ht="15" customHeight="1">
      <c r="A70" s="93">
        <v>39182</v>
      </c>
      <c r="B70" s="94">
        <v>5470</v>
      </c>
      <c r="C70" s="94">
        <v>5550</v>
      </c>
      <c r="D70" s="94">
        <f t="shared" ref="D70:D102" si="0">AVERAGE(B70:C70)</f>
        <v>5510</v>
      </c>
    </row>
    <row r="71" spans="1:4" ht="15" customHeight="1">
      <c r="A71" s="93">
        <v>39183</v>
      </c>
      <c r="B71" s="94">
        <v>5470</v>
      </c>
      <c r="C71" s="94">
        <v>5550</v>
      </c>
      <c r="D71" s="94">
        <f t="shared" si="0"/>
        <v>5510</v>
      </c>
    </row>
    <row r="72" spans="1:4" ht="15" customHeight="1">
      <c r="A72" s="93">
        <v>39184</v>
      </c>
      <c r="B72" s="94">
        <v>5470</v>
      </c>
      <c r="C72" s="94">
        <v>5550</v>
      </c>
      <c r="D72" s="94">
        <f t="shared" si="0"/>
        <v>5510</v>
      </c>
    </row>
    <row r="73" spans="1:4" ht="15" customHeight="1">
      <c r="A73" s="93">
        <v>39185</v>
      </c>
      <c r="B73" s="94">
        <v>5470</v>
      </c>
      <c r="C73" s="94">
        <v>5550</v>
      </c>
      <c r="D73" s="94">
        <f t="shared" si="0"/>
        <v>5510</v>
      </c>
    </row>
    <row r="74" spans="1:4" ht="15" customHeight="1">
      <c r="A74" s="93">
        <v>39188</v>
      </c>
      <c r="B74" s="94">
        <v>5470</v>
      </c>
      <c r="C74" s="94">
        <v>5550</v>
      </c>
      <c r="D74" s="94">
        <f t="shared" si="0"/>
        <v>5510</v>
      </c>
    </row>
    <row r="75" spans="1:4" ht="15" customHeight="1">
      <c r="A75" s="93">
        <v>39189</v>
      </c>
      <c r="B75" s="94">
        <v>5470</v>
      </c>
      <c r="C75" s="94">
        <v>5550</v>
      </c>
      <c r="D75" s="94">
        <f t="shared" si="0"/>
        <v>5510</v>
      </c>
    </row>
    <row r="76" spans="1:4" ht="15" customHeight="1">
      <c r="A76" s="93">
        <v>39190</v>
      </c>
      <c r="B76" s="94">
        <v>5470</v>
      </c>
      <c r="C76" s="94">
        <v>5550</v>
      </c>
      <c r="D76" s="94">
        <f t="shared" si="0"/>
        <v>5510</v>
      </c>
    </row>
    <row r="77" spans="1:4" ht="15" customHeight="1">
      <c r="A77" s="93">
        <v>39191</v>
      </c>
      <c r="B77" s="94">
        <v>5470</v>
      </c>
      <c r="C77" s="94">
        <v>5550</v>
      </c>
      <c r="D77" s="94">
        <f t="shared" si="0"/>
        <v>5510</v>
      </c>
    </row>
    <row r="78" spans="1:4" ht="15" customHeight="1">
      <c r="A78" s="93">
        <v>39192</v>
      </c>
      <c r="B78" s="94">
        <v>5470</v>
      </c>
      <c r="C78" s="94">
        <v>5550</v>
      </c>
      <c r="D78" s="94">
        <f t="shared" si="0"/>
        <v>5510</v>
      </c>
    </row>
    <row r="79" spans="1:4" ht="15" customHeight="1">
      <c r="A79" s="93">
        <v>39195</v>
      </c>
      <c r="B79" s="94">
        <v>5470</v>
      </c>
      <c r="C79" s="94">
        <v>5550</v>
      </c>
      <c r="D79" s="94">
        <f t="shared" si="0"/>
        <v>5510</v>
      </c>
    </row>
    <row r="80" spans="1:4" ht="15" customHeight="1">
      <c r="A80" s="93">
        <v>39196</v>
      </c>
      <c r="B80" s="94">
        <v>5470</v>
      </c>
      <c r="C80" s="94">
        <v>5550</v>
      </c>
      <c r="D80" s="94">
        <f t="shared" si="0"/>
        <v>5510</v>
      </c>
    </row>
    <row r="81" spans="1:6" ht="15" customHeight="1">
      <c r="A81" s="93">
        <v>39197</v>
      </c>
      <c r="B81" s="94">
        <v>5470</v>
      </c>
      <c r="C81" s="94">
        <v>5550</v>
      </c>
      <c r="D81" s="94">
        <f t="shared" si="0"/>
        <v>5510</v>
      </c>
    </row>
    <row r="82" spans="1:6" ht="15" customHeight="1">
      <c r="A82" s="93">
        <v>39198</v>
      </c>
      <c r="B82" s="94">
        <v>5470</v>
      </c>
      <c r="C82" s="94">
        <v>5550</v>
      </c>
      <c r="D82" s="94">
        <f t="shared" si="0"/>
        <v>5510</v>
      </c>
    </row>
    <row r="83" spans="1:6" ht="15" customHeight="1">
      <c r="A83" s="93">
        <v>39199</v>
      </c>
      <c r="B83" s="94">
        <v>5470</v>
      </c>
      <c r="C83" s="94">
        <v>5550</v>
      </c>
      <c r="D83" s="94">
        <f t="shared" si="0"/>
        <v>5510</v>
      </c>
    </row>
    <row r="84" spans="1:6" ht="15" customHeight="1" thickBot="1">
      <c r="A84" s="88">
        <v>39202</v>
      </c>
      <c r="B84" s="89">
        <v>5470</v>
      </c>
      <c r="C84" s="89">
        <v>5550</v>
      </c>
      <c r="D84" s="89">
        <f t="shared" si="0"/>
        <v>5510</v>
      </c>
      <c r="E84" s="91">
        <f>AVERAGE(D64:D84)</f>
        <v>5510</v>
      </c>
      <c r="F84" s="96"/>
    </row>
    <row r="85" spans="1:6" ht="15" customHeight="1">
      <c r="A85" s="93">
        <v>39203</v>
      </c>
      <c r="B85" s="94">
        <v>5470</v>
      </c>
      <c r="C85" s="94">
        <v>5550</v>
      </c>
      <c r="D85" s="94">
        <f t="shared" si="0"/>
        <v>5510</v>
      </c>
    </row>
    <row r="86" spans="1:6" ht="15" customHeight="1">
      <c r="A86" s="93">
        <v>39204</v>
      </c>
      <c r="B86" s="94">
        <v>5470</v>
      </c>
      <c r="C86" s="94">
        <v>5550</v>
      </c>
      <c r="D86" s="94">
        <f t="shared" si="0"/>
        <v>5510</v>
      </c>
    </row>
    <row r="87" spans="1:6" ht="15" customHeight="1">
      <c r="A87" s="93">
        <v>39205</v>
      </c>
      <c r="B87" s="94">
        <v>5400</v>
      </c>
      <c r="C87" s="94">
        <v>5500</v>
      </c>
      <c r="D87" s="94">
        <f t="shared" si="0"/>
        <v>5450</v>
      </c>
    </row>
    <row r="88" spans="1:6" ht="15" customHeight="1">
      <c r="A88" s="93">
        <v>39206</v>
      </c>
      <c r="B88" s="94">
        <v>5400</v>
      </c>
      <c r="C88" s="94">
        <v>5500</v>
      </c>
      <c r="D88" s="94">
        <f t="shared" si="0"/>
        <v>5450</v>
      </c>
    </row>
    <row r="89" spans="1:6" ht="15" customHeight="1">
      <c r="A89" s="93">
        <v>39210</v>
      </c>
      <c r="B89" s="94">
        <v>5400</v>
      </c>
      <c r="C89" s="94">
        <v>5500</v>
      </c>
      <c r="D89" s="94">
        <f t="shared" si="0"/>
        <v>5450</v>
      </c>
    </row>
    <row r="90" spans="1:6" ht="15" customHeight="1">
      <c r="A90" s="93">
        <v>39211</v>
      </c>
      <c r="B90" s="94">
        <v>5400</v>
      </c>
      <c r="C90" s="94">
        <v>5500</v>
      </c>
      <c r="D90" s="94">
        <f t="shared" si="0"/>
        <v>5450</v>
      </c>
    </row>
    <row r="91" spans="1:6" ht="15" customHeight="1">
      <c r="A91" s="93">
        <v>39212</v>
      </c>
      <c r="B91" s="94">
        <v>5400</v>
      </c>
      <c r="C91" s="94">
        <v>5500</v>
      </c>
      <c r="D91" s="94">
        <f t="shared" si="0"/>
        <v>5450</v>
      </c>
    </row>
    <row r="92" spans="1:6" ht="15" customHeight="1">
      <c r="A92" s="93">
        <v>39213</v>
      </c>
      <c r="B92" s="94">
        <v>5350</v>
      </c>
      <c r="C92" s="94">
        <v>5500</v>
      </c>
      <c r="D92" s="94">
        <f t="shared" si="0"/>
        <v>5425</v>
      </c>
    </row>
    <row r="93" spans="1:6" ht="15" customHeight="1">
      <c r="A93" s="93">
        <v>39216</v>
      </c>
      <c r="B93" s="94">
        <v>5350</v>
      </c>
      <c r="C93" s="94">
        <v>5500</v>
      </c>
      <c r="D93" s="94">
        <f t="shared" si="0"/>
        <v>5425</v>
      </c>
    </row>
    <row r="94" spans="1:6" ht="15" customHeight="1">
      <c r="A94" s="93">
        <v>39217</v>
      </c>
      <c r="B94" s="94">
        <v>5350</v>
      </c>
      <c r="C94" s="94">
        <v>5500</v>
      </c>
      <c r="D94" s="94">
        <f t="shared" si="0"/>
        <v>5425</v>
      </c>
    </row>
    <row r="95" spans="1:6" ht="15" customHeight="1">
      <c r="A95" s="93">
        <v>39218</v>
      </c>
      <c r="B95" s="94">
        <v>5350</v>
      </c>
      <c r="C95" s="94">
        <v>5500</v>
      </c>
      <c r="D95" s="94">
        <f t="shared" si="0"/>
        <v>5425</v>
      </c>
    </row>
    <row r="96" spans="1:6" ht="15" customHeight="1">
      <c r="A96" s="93">
        <v>39219</v>
      </c>
      <c r="B96" s="94">
        <v>5350</v>
      </c>
      <c r="C96" s="94">
        <v>5500</v>
      </c>
      <c r="D96" s="94">
        <f t="shared" si="0"/>
        <v>5425</v>
      </c>
    </row>
    <row r="97" spans="1:6" ht="15" customHeight="1">
      <c r="A97" s="93">
        <v>39220</v>
      </c>
      <c r="B97" s="94">
        <v>5350</v>
      </c>
      <c r="C97" s="94">
        <v>5500</v>
      </c>
      <c r="D97" s="94">
        <f t="shared" si="0"/>
        <v>5425</v>
      </c>
    </row>
    <row r="98" spans="1:6" ht="15" customHeight="1">
      <c r="A98" s="93">
        <v>39223</v>
      </c>
      <c r="B98" s="94">
        <v>5350</v>
      </c>
      <c r="C98" s="94">
        <v>5500</v>
      </c>
      <c r="D98" s="94">
        <f t="shared" si="0"/>
        <v>5425</v>
      </c>
    </row>
    <row r="99" spans="1:6" ht="15" customHeight="1">
      <c r="A99" s="93">
        <v>39224</v>
      </c>
      <c r="B99" s="94">
        <v>5350</v>
      </c>
      <c r="C99" s="94">
        <v>5500</v>
      </c>
      <c r="D99" s="94">
        <f t="shared" si="0"/>
        <v>5425</v>
      </c>
    </row>
    <row r="100" spans="1:6" ht="15" customHeight="1">
      <c r="A100" s="93">
        <v>39225</v>
      </c>
      <c r="B100" s="94">
        <v>5350</v>
      </c>
      <c r="C100" s="94">
        <v>5500</v>
      </c>
      <c r="D100" s="94">
        <f t="shared" si="0"/>
        <v>5425</v>
      </c>
    </row>
    <row r="101" spans="1:6" ht="15" customHeight="1">
      <c r="A101" s="93">
        <v>39226</v>
      </c>
      <c r="B101" s="94">
        <v>5350</v>
      </c>
      <c r="C101" s="94">
        <v>5500</v>
      </c>
      <c r="D101" s="94">
        <f t="shared" si="0"/>
        <v>5425</v>
      </c>
    </row>
    <row r="102" spans="1:6" ht="15" customHeight="1">
      <c r="A102" s="93">
        <v>39227</v>
      </c>
      <c r="B102" s="94">
        <v>5350</v>
      </c>
      <c r="C102" s="94">
        <v>5500</v>
      </c>
      <c r="D102" s="94">
        <f t="shared" si="0"/>
        <v>5425</v>
      </c>
    </row>
    <row r="103" spans="1:6" ht="15" customHeight="1">
      <c r="A103" s="1060" t="s">
        <v>14</v>
      </c>
      <c r="B103" s="1060"/>
      <c r="C103" s="1060"/>
      <c r="D103" s="1060"/>
    </row>
    <row r="104" spans="1:6" ht="15" customHeight="1">
      <c r="A104" s="93">
        <v>39231</v>
      </c>
      <c r="B104" s="94">
        <v>5350</v>
      </c>
      <c r="C104" s="94">
        <v>5500</v>
      </c>
      <c r="D104" s="94">
        <f t="shared" ref="D104:D135" si="1">AVERAGE(B104:C104)</f>
        <v>5425</v>
      </c>
    </row>
    <row r="105" spans="1:6" ht="15" customHeight="1">
      <c r="A105" s="93">
        <v>39232</v>
      </c>
      <c r="B105" s="94">
        <v>5350</v>
      </c>
      <c r="C105" s="94">
        <v>5500</v>
      </c>
      <c r="D105" s="94">
        <f t="shared" si="1"/>
        <v>5425</v>
      </c>
    </row>
    <row r="106" spans="1:6" ht="15" customHeight="1" thickBot="1">
      <c r="A106" s="88">
        <v>39233</v>
      </c>
      <c r="B106" s="89">
        <v>5350</v>
      </c>
      <c r="C106" s="89">
        <v>5500</v>
      </c>
      <c r="D106" s="89">
        <f t="shared" si="1"/>
        <v>5425</v>
      </c>
      <c r="E106" s="91">
        <f>AVERAGE(D85:D106)</f>
        <v>5439.0476190476193</v>
      </c>
      <c r="F106" s="96"/>
    </row>
    <row r="107" spans="1:6" ht="15" customHeight="1">
      <c r="A107" s="93">
        <v>39234</v>
      </c>
      <c r="B107" s="94">
        <v>5350</v>
      </c>
      <c r="C107" s="94">
        <v>5500</v>
      </c>
      <c r="D107" s="94">
        <f t="shared" si="1"/>
        <v>5425</v>
      </c>
    </row>
    <row r="108" spans="1:6" ht="15" customHeight="1">
      <c r="A108" s="93">
        <v>39237</v>
      </c>
      <c r="B108" s="94">
        <v>5350</v>
      </c>
      <c r="C108" s="94">
        <v>5500</v>
      </c>
      <c r="D108" s="94">
        <f t="shared" si="1"/>
        <v>5425</v>
      </c>
    </row>
    <row r="109" spans="1:6" ht="15" customHeight="1">
      <c r="A109" s="93">
        <v>39238</v>
      </c>
      <c r="B109" s="94">
        <v>5350</v>
      </c>
      <c r="C109" s="94">
        <v>5500</v>
      </c>
      <c r="D109" s="94">
        <f t="shared" si="1"/>
        <v>5425</v>
      </c>
    </row>
    <row r="110" spans="1:6" ht="15" customHeight="1">
      <c r="A110" s="93">
        <v>39239</v>
      </c>
      <c r="B110" s="94">
        <v>5350</v>
      </c>
      <c r="C110" s="94">
        <v>5500</v>
      </c>
      <c r="D110" s="94">
        <f t="shared" si="1"/>
        <v>5425</v>
      </c>
    </row>
    <row r="111" spans="1:6" ht="15" customHeight="1">
      <c r="A111" s="93">
        <v>39240</v>
      </c>
      <c r="B111" s="94">
        <v>5350</v>
      </c>
      <c r="C111" s="94">
        <v>5500</v>
      </c>
      <c r="D111" s="94">
        <f t="shared" si="1"/>
        <v>5425</v>
      </c>
    </row>
    <row r="112" spans="1:6" ht="15" customHeight="1">
      <c r="A112" s="93">
        <v>39241</v>
      </c>
      <c r="B112" s="94">
        <v>5300</v>
      </c>
      <c r="C112" s="94">
        <v>5400</v>
      </c>
      <c r="D112" s="94">
        <f t="shared" si="1"/>
        <v>5350</v>
      </c>
    </row>
    <row r="113" spans="1:9" ht="15" customHeight="1">
      <c r="A113" s="93">
        <v>39244</v>
      </c>
      <c r="B113" s="94">
        <v>5300</v>
      </c>
      <c r="C113" s="94">
        <v>5400</v>
      </c>
      <c r="D113" s="94">
        <f t="shared" si="1"/>
        <v>5350</v>
      </c>
    </row>
    <row r="114" spans="1:9" ht="15" customHeight="1">
      <c r="A114" s="93">
        <v>39245</v>
      </c>
      <c r="B114" s="94">
        <v>5300</v>
      </c>
      <c r="C114" s="94">
        <v>5400</v>
      </c>
      <c r="D114" s="94">
        <f t="shared" si="1"/>
        <v>5350</v>
      </c>
    </row>
    <row r="115" spans="1:9" ht="15" customHeight="1">
      <c r="A115" s="93">
        <v>39246</v>
      </c>
      <c r="B115" s="94">
        <v>5300</v>
      </c>
      <c r="C115" s="94">
        <v>5400</v>
      </c>
      <c r="D115" s="94">
        <f t="shared" si="1"/>
        <v>5350</v>
      </c>
    </row>
    <row r="116" spans="1:9" ht="15" customHeight="1">
      <c r="A116" s="93">
        <v>39247</v>
      </c>
      <c r="B116" s="94">
        <v>5300</v>
      </c>
      <c r="C116" s="94">
        <v>5400</v>
      </c>
      <c r="D116" s="94">
        <f t="shared" si="1"/>
        <v>5350</v>
      </c>
    </row>
    <row r="117" spans="1:9" ht="15" customHeight="1">
      <c r="A117" s="93">
        <v>39248</v>
      </c>
      <c r="B117" s="94">
        <v>5300</v>
      </c>
      <c r="C117" s="94">
        <v>5400</v>
      </c>
      <c r="D117" s="94">
        <f t="shared" si="1"/>
        <v>5350</v>
      </c>
    </row>
    <row r="118" spans="1:9" ht="15" customHeight="1">
      <c r="A118" s="93">
        <v>39251</v>
      </c>
      <c r="B118" s="94">
        <v>5300</v>
      </c>
      <c r="C118" s="94">
        <v>5400</v>
      </c>
      <c r="D118" s="94">
        <f t="shared" si="1"/>
        <v>5350</v>
      </c>
    </row>
    <row r="119" spans="1:9" ht="15" customHeight="1">
      <c r="A119" s="93">
        <v>39252</v>
      </c>
      <c r="B119" s="94">
        <v>5300</v>
      </c>
      <c r="C119" s="94">
        <v>5400</v>
      </c>
      <c r="D119" s="94">
        <f t="shared" si="1"/>
        <v>5350</v>
      </c>
    </row>
    <row r="120" spans="1:9" ht="15" customHeight="1">
      <c r="A120" s="93">
        <v>39253</v>
      </c>
      <c r="B120" s="94">
        <v>5300</v>
      </c>
      <c r="C120" s="94">
        <v>5400</v>
      </c>
      <c r="D120" s="94">
        <f t="shared" si="1"/>
        <v>5350</v>
      </c>
    </row>
    <row r="121" spans="1:9" ht="15" customHeight="1">
      <c r="A121" s="93">
        <v>39254</v>
      </c>
      <c r="B121" s="94">
        <v>5300</v>
      </c>
      <c r="C121" s="94">
        <v>5400</v>
      </c>
      <c r="D121" s="94">
        <f t="shared" si="1"/>
        <v>5350</v>
      </c>
    </row>
    <row r="122" spans="1:9" ht="15" customHeight="1">
      <c r="A122" s="93">
        <v>39255</v>
      </c>
      <c r="B122" s="94">
        <v>5300</v>
      </c>
      <c r="C122" s="94">
        <v>5400</v>
      </c>
      <c r="D122" s="94">
        <f t="shared" si="1"/>
        <v>5350</v>
      </c>
    </row>
    <row r="123" spans="1:9" ht="15" customHeight="1">
      <c r="A123" s="93">
        <v>39258</v>
      </c>
      <c r="B123" s="94">
        <v>5300</v>
      </c>
      <c r="C123" s="94">
        <v>5400</v>
      </c>
      <c r="D123" s="94">
        <f t="shared" si="1"/>
        <v>5350</v>
      </c>
    </row>
    <row r="124" spans="1:9" ht="15" customHeight="1">
      <c r="A124" s="93">
        <v>39259</v>
      </c>
      <c r="B124" s="94">
        <v>5400</v>
      </c>
      <c r="C124" s="94">
        <v>5500</v>
      </c>
      <c r="D124" s="94">
        <f t="shared" si="1"/>
        <v>5450</v>
      </c>
    </row>
    <row r="125" spans="1:9" ht="15" customHeight="1">
      <c r="A125" s="93">
        <v>39260</v>
      </c>
      <c r="B125" s="94">
        <v>5400</v>
      </c>
      <c r="C125" s="94">
        <v>5500</v>
      </c>
      <c r="D125" s="94">
        <f t="shared" si="1"/>
        <v>5450</v>
      </c>
    </row>
    <row r="126" spans="1:9" ht="15" customHeight="1">
      <c r="A126" s="93">
        <v>39261</v>
      </c>
      <c r="B126" s="94">
        <v>5300</v>
      </c>
      <c r="C126" s="94">
        <v>5400</v>
      </c>
      <c r="D126" s="94">
        <f t="shared" si="1"/>
        <v>5350</v>
      </c>
    </row>
    <row r="127" spans="1:9" ht="15" customHeight="1" thickBot="1">
      <c r="A127" s="88">
        <v>39262</v>
      </c>
      <c r="B127" s="89">
        <v>5200</v>
      </c>
      <c r="C127" s="89">
        <v>5300</v>
      </c>
      <c r="D127" s="89">
        <f t="shared" si="1"/>
        <v>5250</v>
      </c>
      <c r="E127" s="91">
        <f>AVERAGE(D107:D127)</f>
        <v>5372.6190476190477</v>
      </c>
      <c r="F127" s="91"/>
      <c r="G127" s="97">
        <f>AVERAGE(D64:D127)</f>
        <v>5438.2786885245905</v>
      </c>
      <c r="H127" s="79">
        <v>929.26</v>
      </c>
      <c r="I127" s="80">
        <f>+H127*G127</f>
        <v>5053574.854098361</v>
      </c>
    </row>
    <row r="128" spans="1:9" ht="15" customHeight="1">
      <c r="A128" s="93">
        <v>39265</v>
      </c>
      <c r="B128" s="94">
        <v>5200</v>
      </c>
      <c r="C128" s="94">
        <v>5300</v>
      </c>
      <c r="D128" s="94">
        <f t="shared" si="1"/>
        <v>5250</v>
      </c>
    </row>
    <row r="129" spans="1:4" ht="15" customHeight="1">
      <c r="A129" s="93">
        <v>39266</v>
      </c>
      <c r="B129" s="94">
        <v>5200</v>
      </c>
      <c r="C129" s="94">
        <v>5300</v>
      </c>
      <c r="D129" s="94">
        <f t="shared" si="1"/>
        <v>5250</v>
      </c>
    </row>
    <row r="130" spans="1:4" ht="15" customHeight="1">
      <c r="A130" s="93">
        <v>39267</v>
      </c>
      <c r="B130" s="94">
        <v>5200</v>
      </c>
      <c r="C130" s="94">
        <v>5300</v>
      </c>
      <c r="D130" s="94">
        <f t="shared" si="1"/>
        <v>5250</v>
      </c>
    </row>
    <row r="131" spans="1:4" ht="15" customHeight="1">
      <c r="A131" s="93">
        <v>39268</v>
      </c>
      <c r="B131" s="94">
        <v>5200</v>
      </c>
      <c r="C131" s="94">
        <v>5300</v>
      </c>
      <c r="D131" s="94">
        <f t="shared" si="1"/>
        <v>5250</v>
      </c>
    </row>
    <row r="132" spans="1:4" ht="15" customHeight="1">
      <c r="A132" s="93">
        <v>39269</v>
      </c>
      <c r="B132" s="94">
        <v>5200</v>
      </c>
      <c r="C132" s="94">
        <v>5300</v>
      </c>
      <c r="D132" s="94">
        <f t="shared" si="1"/>
        <v>5250</v>
      </c>
    </row>
    <row r="133" spans="1:4" ht="15" customHeight="1">
      <c r="A133" s="93">
        <v>39272</v>
      </c>
      <c r="B133" s="94">
        <v>5400</v>
      </c>
      <c r="C133" s="94">
        <v>5450</v>
      </c>
      <c r="D133" s="94">
        <f t="shared" si="1"/>
        <v>5425</v>
      </c>
    </row>
    <row r="134" spans="1:4" ht="15" customHeight="1">
      <c r="A134" s="93">
        <v>39273</v>
      </c>
      <c r="B134" s="94">
        <v>5400</v>
      </c>
      <c r="C134" s="94">
        <v>5450</v>
      </c>
      <c r="D134" s="94">
        <f t="shared" si="1"/>
        <v>5425</v>
      </c>
    </row>
    <row r="135" spans="1:4" ht="15" customHeight="1">
      <c r="A135" s="93">
        <v>39274</v>
      </c>
      <c r="B135" s="94">
        <v>5400</v>
      </c>
      <c r="C135" s="94">
        <v>5450</v>
      </c>
      <c r="D135" s="94">
        <f t="shared" si="1"/>
        <v>5425</v>
      </c>
    </row>
    <row r="136" spans="1:4" ht="15" customHeight="1">
      <c r="A136" s="93">
        <v>39275</v>
      </c>
      <c r="B136" s="94">
        <v>5450</v>
      </c>
      <c r="C136" s="94">
        <v>5500</v>
      </c>
      <c r="D136" s="94">
        <f t="shared" ref="D136:D167" si="2">AVERAGE(B136:C136)</f>
        <v>5475</v>
      </c>
    </row>
    <row r="137" spans="1:4" ht="15" customHeight="1">
      <c r="A137" s="93">
        <v>39276</v>
      </c>
      <c r="B137" s="94">
        <v>5450</v>
      </c>
      <c r="C137" s="94">
        <v>5500</v>
      </c>
      <c r="D137" s="94">
        <f t="shared" si="2"/>
        <v>5475</v>
      </c>
    </row>
    <row r="138" spans="1:4" ht="15" customHeight="1">
      <c r="A138" s="93">
        <v>39279</v>
      </c>
      <c r="B138" s="94">
        <v>5450</v>
      </c>
      <c r="C138" s="94">
        <v>5500</v>
      </c>
      <c r="D138" s="94">
        <f t="shared" si="2"/>
        <v>5475</v>
      </c>
    </row>
    <row r="139" spans="1:4" ht="15" customHeight="1">
      <c r="A139" s="93">
        <v>39280</v>
      </c>
      <c r="B139" s="94">
        <v>5450</v>
      </c>
      <c r="C139" s="94">
        <v>5500</v>
      </c>
      <c r="D139" s="94">
        <f t="shared" si="2"/>
        <v>5475</v>
      </c>
    </row>
    <row r="140" spans="1:4" ht="15" customHeight="1">
      <c r="A140" s="93">
        <v>39281</v>
      </c>
      <c r="B140" s="94">
        <v>5450</v>
      </c>
      <c r="C140" s="94">
        <v>5500</v>
      </c>
      <c r="D140" s="94">
        <f t="shared" si="2"/>
        <v>5475</v>
      </c>
    </row>
    <row r="141" spans="1:4" ht="15" customHeight="1">
      <c r="A141" s="93">
        <v>39282</v>
      </c>
      <c r="B141" s="94">
        <v>5450</v>
      </c>
      <c r="C141" s="94">
        <v>5500</v>
      </c>
      <c r="D141" s="94">
        <f t="shared" si="2"/>
        <v>5475</v>
      </c>
    </row>
    <row r="142" spans="1:4" ht="15" customHeight="1">
      <c r="A142" s="93">
        <v>39283</v>
      </c>
      <c r="B142" s="94">
        <v>5450</v>
      </c>
      <c r="C142" s="94">
        <v>5500</v>
      </c>
      <c r="D142" s="94">
        <f t="shared" si="2"/>
        <v>5475</v>
      </c>
    </row>
    <row r="143" spans="1:4" ht="15" customHeight="1">
      <c r="A143" s="93">
        <v>39286</v>
      </c>
      <c r="B143" s="94">
        <v>5450</v>
      </c>
      <c r="C143" s="94">
        <v>5500</v>
      </c>
      <c r="D143" s="94">
        <f t="shared" si="2"/>
        <v>5475</v>
      </c>
    </row>
    <row r="144" spans="1:4" ht="15" customHeight="1">
      <c r="A144" s="93">
        <v>39287</v>
      </c>
      <c r="B144" s="94">
        <v>5550</v>
      </c>
      <c r="C144" s="94">
        <v>5450</v>
      </c>
      <c r="D144" s="94">
        <f t="shared" si="2"/>
        <v>5500</v>
      </c>
    </row>
    <row r="145" spans="1:6" ht="15" customHeight="1">
      <c r="A145" s="93">
        <v>39288</v>
      </c>
      <c r="B145" s="94">
        <v>5450</v>
      </c>
      <c r="C145" s="94">
        <v>5500</v>
      </c>
      <c r="D145" s="94">
        <f t="shared" si="2"/>
        <v>5475</v>
      </c>
    </row>
    <row r="146" spans="1:6" ht="15" customHeight="1">
      <c r="A146" s="93">
        <v>54</v>
      </c>
      <c r="B146" s="94">
        <v>5450</v>
      </c>
      <c r="C146" s="94">
        <v>5500</v>
      </c>
      <c r="D146" s="94">
        <f t="shared" si="2"/>
        <v>5475</v>
      </c>
    </row>
    <row r="147" spans="1:6" ht="15" customHeight="1">
      <c r="A147" s="93">
        <v>39290</v>
      </c>
      <c r="B147" s="94">
        <v>5450</v>
      </c>
      <c r="C147" s="94">
        <v>5500</v>
      </c>
      <c r="D147" s="94">
        <f t="shared" si="2"/>
        <v>5475</v>
      </c>
    </row>
    <row r="148" spans="1:6" ht="15" customHeight="1">
      <c r="A148" s="93">
        <v>39293</v>
      </c>
      <c r="B148" s="94">
        <v>5450</v>
      </c>
      <c r="C148" s="94">
        <v>5500</v>
      </c>
      <c r="D148" s="94">
        <f t="shared" si="2"/>
        <v>5475</v>
      </c>
    </row>
    <row r="149" spans="1:6" ht="15" customHeight="1" thickBot="1">
      <c r="A149" s="88">
        <v>39294</v>
      </c>
      <c r="B149" s="89">
        <v>5450</v>
      </c>
      <c r="C149" s="89">
        <v>5500</v>
      </c>
      <c r="D149" s="89">
        <f t="shared" si="2"/>
        <v>5475</v>
      </c>
      <c r="E149" s="91">
        <f>AVERAGE(D128:D149)</f>
        <v>5418.181818181818</v>
      </c>
      <c r="F149" s="96"/>
    </row>
    <row r="150" spans="1:6" ht="15" customHeight="1">
      <c r="A150" s="93">
        <v>39295</v>
      </c>
      <c r="B150" s="94">
        <v>5450</v>
      </c>
      <c r="C150" s="94">
        <v>5500</v>
      </c>
      <c r="D150" s="94">
        <f t="shared" si="2"/>
        <v>5475</v>
      </c>
    </row>
    <row r="151" spans="1:6" ht="15" customHeight="1">
      <c r="A151" s="93">
        <v>39296</v>
      </c>
      <c r="B151" s="94">
        <v>5450</v>
      </c>
      <c r="C151" s="94">
        <v>5500</v>
      </c>
      <c r="D151" s="94">
        <f t="shared" si="2"/>
        <v>5475</v>
      </c>
    </row>
    <row r="152" spans="1:6" ht="15" customHeight="1">
      <c r="A152" s="93">
        <v>39297</v>
      </c>
      <c r="B152" s="94">
        <v>5450</v>
      </c>
      <c r="C152" s="94">
        <v>5550</v>
      </c>
      <c r="D152" s="94">
        <f t="shared" si="2"/>
        <v>5500</v>
      </c>
    </row>
    <row r="153" spans="1:6" ht="15" customHeight="1">
      <c r="A153" s="93">
        <v>39300</v>
      </c>
      <c r="B153" s="94">
        <v>5450</v>
      </c>
      <c r="C153" s="94">
        <v>5500</v>
      </c>
      <c r="D153" s="94">
        <f t="shared" si="2"/>
        <v>5475</v>
      </c>
    </row>
    <row r="154" spans="1:6" ht="15" customHeight="1">
      <c r="A154" s="93">
        <v>39301</v>
      </c>
      <c r="B154" s="94">
        <v>5450</v>
      </c>
      <c r="C154" s="94">
        <v>5500</v>
      </c>
      <c r="D154" s="94">
        <f t="shared" si="2"/>
        <v>5475</v>
      </c>
    </row>
    <row r="155" spans="1:6" ht="15" customHeight="1">
      <c r="A155" s="93">
        <v>39302</v>
      </c>
      <c r="B155" s="94">
        <v>5450</v>
      </c>
      <c r="C155" s="94">
        <v>5500</v>
      </c>
      <c r="D155" s="94">
        <f t="shared" si="2"/>
        <v>5475</v>
      </c>
    </row>
    <row r="156" spans="1:6" ht="15" customHeight="1">
      <c r="A156" s="93">
        <v>39303</v>
      </c>
      <c r="B156" s="94">
        <v>5450</v>
      </c>
      <c r="C156" s="94">
        <v>5500</v>
      </c>
      <c r="D156" s="94">
        <f t="shared" si="2"/>
        <v>5475</v>
      </c>
    </row>
    <row r="157" spans="1:6" ht="15" customHeight="1">
      <c r="A157" s="93">
        <v>39304</v>
      </c>
      <c r="B157" s="94">
        <v>5450</v>
      </c>
      <c r="C157" s="94">
        <v>5500</v>
      </c>
      <c r="D157" s="94">
        <f t="shared" si="2"/>
        <v>5475</v>
      </c>
    </row>
    <row r="158" spans="1:6" ht="15" customHeight="1">
      <c r="A158" s="93">
        <v>39307</v>
      </c>
      <c r="B158" s="94">
        <v>5450</v>
      </c>
      <c r="C158" s="94">
        <v>5500</v>
      </c>
      <c r="D158" s="94">
        <f t="shared" si="2"/>
        <v>5475</v>
      </c>
    </row>
    <row r="159" spans="1:6" ht="15" customHeight="1">
      <c r="A159" s="93">
        <v>39308</v>
      </c>
      <c r="B159" s="94">
        <v>5450</v>
      </c>
      <c r="C159" s="94">
        <v>5500</v>
      </c>
      <c r="D159" s="94">
        <f t="shared" si="2"/>
        <v>5475</v>
      </c>
    </row>
    <row r="160" spans="1:6" ht="15" customHeight="1">
      <c r="A160" s="93">
        <v>39309</v>
      </c>
      <c r="B160" s="94">
        <v>5400</v>
      </c>
      <c r="C160" s="94">
        <v>5500</v>
      </c>
      <c r="D160" s="94">
        <f t="shared" si="2"/>
        <v>5450</v>
      </c>
    </row>
    <row r="161" spans="1:6" ht="15" customHeight="1">
      <c r="A161" s="93">
        <v>39310</v>
      </c>
      <c r="B161" s="94">
        <v>5400</v>
      </c>
      <c r="C161" s="94">
        <v>5500</v>
      </c>
      <c r="D161" s="94">
        <f t="shared" si="2"/>
        <v>5450</v>
      </c>
    </row>
    <row r="162" spans="1:6" ht="15" customHeight="1">
      <c r="A162" s="93">
        <v>39311</v>
      </c>
      <c r="B162" s="94">
        <v>5400</v>
      </c>
      <c r="C162" s="94">
        <v>5500</v>
      </c>
      <c r="D162" s="94">
        <f t="shared" si="2"/>
        <v>5450</v>
      </c>
    </row>
    <row r="163" spans="1:6" ht="15" customHeight="1">
      <c r="A163" s="93">
        <v>39314</v>
      </c>
      <c r="B163" s="94">
        <v>5400</v>
      </c>
      <c r="C163" s="94">
        <v>5500</v>
      </c>
      <c r="D163" s="94">
        <f t="shared" si="2"/>
        <v>5450</v>
      </c>
    </row>
    <row r="164" spans="1:6" ht="15" customHeight="1">
      <c r="A164" s="93">
        <v>39315</v>
      </c>
      <c r="B164" s="94">
        <v>5400</v>
      </c>
      <c r="C164" s="94">
        <v>5500</v>
      </c>
      <c r="D164" s="94">
        <f t="shared" si="2"/>
        <v>5450</v>
      </c>
    </row>
    <row r="165" spans="1:6" ht="15" customHeight="1">
      <c r="A165" s="93">
        <v>39316</v>
      </c>
      <c r="B165" s="94">
        <v>5400</v>
      </c>
      <c r="C165" s="94">
        <v>5500</v>
      </c>
      <c r="D165" s="94">
        <f t="shared" si="2"/>
        <v>5450</v>
      </c>
    </row>
    <row r="166" spans="1:6" ht="15" customHeight="1">
      <c r="A166" s="93">
        <v>39317</v>
      </c>
      <c r="B166" s="94">
        <v>5400</v>
      </c>
      <c r="C166" s="94">
        <v>5500</v>
      </c>
      <c r="D166" s="94">
        <f t="shared" si="2"/>
        <v>5450</v>
      </c>
    </row>
    <row r="167" spans="1:6" ht="15" customHeight="1">
      <c r="A167" s="93">
        <v>39318</v>
      </c>
      <c r="B167" s="94">
        <v>5400</v>
      </c>
      <c r="C167" s="94">
        <v>5500</v>
      </c>
      <c r="D167" s="94">
        <f t="shared" si="2"/>
        <v>5450</v>
      </c>
    </row>
    <row r="168" spans="1:6" ht="15" customHeight="1">
      <c r="A168" s="93">
        <v>39322</v>
      </c>
      <c r="B168" s="94">
        <v>5400</v>
      </c>
      <c r="C168" s="94">
        <v>5500</v>
      </c>
      <c r="D168" s="94">
        <f t="shared" ref="D168:D257" si="3">AVERAGE(B168:C168)</f>
        <v>5450</v>
      </c>
    </row>
    <row r="169" spans="1:6" ht="15" customHeight="1">
      <c r="A169" s="93">
        <v>39323</v>
      </c>
      <c r="B169" s="94">
        <v>5400</v>
      </c>
      <c r="C169" s="94">
        <v>5500</v>
      </c>
      <c r="D169" s="94">
        <f t="shared" si="3"/>
        <v>5450</v>
      </c>
    </row>
    <row r="170" spans="1:6" ht="15" customHeight="1">
      <c r="A170" s="93">
        <v>39324</v>
      </c>
      <c r="B170" s="94">
        <v>5400</v>
      </c>
      <c r="C170" s="94">
        <v>5500</v>
      </c>
      <c r="D170" s="94">
        <f t="shared" si="3"/>
        <v>5450</v>
      </c>
    </row>
    <row r="171" spans="1:6" ht="15" customHeight="1" thickBot="1">
      <c r="A171" s="88">
        <v>39325</v>
      </c>
      <c r="B171" s="89">
        <v>5400</v>
      </c>
      <c r="C171" s="89">
        <v>5500</v>
      </c>
      <c r="D171" s="89">
        <f t="shared" si="3"/>
        <v>5450</v>
      </c>
      <c r="E171" s="91">
        <f>AVERAGE(D150:D171)</f>
        <v>5462.5</v>
      </c>
      <c r="F171" s="96"/>
    </row>
    <row r="172" spans="1:6" ht="15" customHeight="1">
      <c r="A172" s="93">
        <v>39328</v>
      </c>
      <c r="B172" s="94">
        <v>5400</v>
      </c>
      <c r="C172" s="94">
        <v>5500</v>
      </c>
      <c r="D172" s="94">
        <f t="shared" si="3"/>
        <v>5450</v>
      </c>
    </row>
    <row r="173" spans="1:6" ht="15" customHeight="1">
      <c r="A173" s="93">
        <v>39329</v>
      </c>
      <c r="B173" s="94">
        <v>5400</v>
      </c>
      <c r="C173" s="94">
        <v>5500</v>
      </c>
      <c r="D173" s="94">
        <f t="shared" si="3"/>
        <v>5450</v>
      </c>
    </row>
    <row r="174" spans="1:6" ht="15" customHeight="1">
      <c r="A174" s="93">
        <v>39330</v>
      </c>
      <c r="B174" s="94">
        <v>5400</v>
      </c>
      <c r="C174" s="94">
        <v>5500</v>
      </c>
      <c r="D174" s="94">
        <f t="shared" si="3"/>
        <v>5450</v>
      </c>
    </row>
    <row r="175" spans="1:6" ht="15" customHeight="1">
      <c r="A175" s="93">
        <v>39331</v>
      </c>
      <c r="B175" s="94">
        <v>5400</v>
      </c>
      <c r="C175" s="94">
        <v>5500</v>
      </c>
      <c r="D175" s="94">
        <f t="shared" si="3"/>
        <v>5450</v>
      </c>
    </row>
    <row r="176" spans="1:6" ht="15" customHeight="1">
      <c r="A176" s="93">
        <v>39332</v>
      </c>
      <c r="B176" s="94">
        <v>5400</v>
      </c>
      <c r="C176" s="94">
        <v>5500</v>
      </c>
      <c r="D176" s="94">
        <f t="shared" si="3"/>
        <v>5450</v>
      </c>
    </row>
    <row r="177" spans="1:9" ht="15" customHeight="1">
      <c r="A177" s="93">
        <v>39335</v>
      </c>
      <c r="B177" s="94">
        <v>5400</v>
      </c>
      <c r="C177" s="94">
        <v>5500</v>
      </c>
      <c r="D177" s="94">
        <f t="shared" si="3"/>
        <v>5450</v>
      </c>
    </row>
    <row r="178" spans="1:9" ht="15" customHeight="1">
      <c r="A178" s="93">
        <v>39336</v>
      </c>
      <c r="B178" s="94">
        <v>5400</v>
      </c>
      <c r="C178" s="94">
        <v>5500</v>
      </c>
      <c r="D178" s="94">
        <f t="shared" si="3"/>
        <v>5450</v>
      </c>
    </row>
    <row r="179" spans="1:9" ht="15" customHeight="1">
      <c r="A179" s="93">
        <v>39337</v>
      </c>
      <c r="B179" s="94">
        <v>5400</v>
      </c>
      <c r="C179" s="94">
        <v>5500</v>
      </c>
      <c r="D179" s="94">
        <f t="shared" si="3"/>
        <v>5450</v>
      </c>
    </row>
    <row r="180" spans="1:9" ht="15" customHeight="1">
      <c r="A180" s="93">
        <v>39338</v>
      </c>
      <c r="B180" s="94">
        <v>5500</v>
      </c>
      <c r="C180" s="94">
        <v>5600</v>
      </c>
      <c r="D180" s="94">
        <f t="shared" si="3"/>
        <v>5550</v>
      </c>
    </row>
    <row r="181" spans="1:9" ht="15" customHeight="1">
      <c r="A181" s="93">
        <v>39339</v>
      </c>
      <c r="B181" s="94">
        <v>5500</v>
      </c>
      <c r="C181" s="94">
        <v>5600</v>
      </c>
      <c r="D181" s="94">
        <f t="shared" si="3"/>
        <v>5550</v>
      </c>
    </row>
    <row r="182" spans="1:9" ht="15" customHeight="1">
      <c r="A182" s="93">
        <v>39342</v>
      </c>
      <c r="B182" s="94">
        <v>5500</v>
      </c>
      <c r="C182" s="94">
        <v>5600</v>
      </c>
      <c r="D182" s="94">
        <f t="shared" si="3"/>
        <v>5550</v>
      </c>
    </row>
    <row r="183" spans="1:9" ht="15" customHeight="1">
      <c r="A183" s="93">
        <v>39343</v>
      </c>
      <c r="B183" s="94">
        <v>5500</v>
      </c>
      <c r="C183" s="94">
        <v>5600</v>
      </c>
      <c r="D183" s="94">
        <f t="shared" si="3"/>
        <v>5550</v>
      </c>
    </row>
    <row r="184" spans="1:9" ht="15" customHeight="1">
      <c r="A184" s="93">
        <v>39344</v>
      </c>
      <c r="B184" s="94">
        <v>5500</v>
      </c>
      <c r="C184" s="94">
        <v>5600</v>
      </c>
      <c r="D184" s="94">
        <f t="shared" si="3"/>
        <v>5550</v>
      </c>
    </row>
    <row r="185" spans="1:9" ht="15" customHeight="1">
      <c r="A185" s="93">
        <v>39345</v>
      </c>
      <c r="B185" s="94">
        <v>5500</v>
      </c>
      <c r="C185" s="94">
        <v>5600</v>
      </c>
      <c r="D185" s="94">
        <f t="shared" si="3"/>
        <v>5550</v>
      </c>
    </row>
    <row r="186" spans="1:9" ht="15" customHeight="1">
      <c r="A186" s="93">
        <v>39346</v>
      </c>
      <c r="B186" s="94">
        <v>5500</v>
      </c>
      <c r="C186" s="94">
        <v>5600</v>
      </c>
      <c r="D186" s="94">
        <f t="shared" si="3"/>
        <v>5550</v>
      </c>
    </row>
    <row r="187" spans="1:9" ht="15" customHeight="1">
      <c r="A187" s="93">
        <v>39349</v>
      </c>
      <c r="B187" s="94">
        <v>5500</v>
      </c>
      <c r="C187" s="94">
        <v>5600</v>
      </c>
      <c r="D187" s="94">
        <f t="shared" si="3"/>
        <v>5550</v>
      </c>
      <c r="G187" s="98"/>
    </row>
    <row r="188" spans="1:9" ht="15" customHeight="1">
      <c r="A188" s="93">
        <v>39350</v>
      </c>
      <c r="B188" s="84">
        <v>5500</v>
      </c>
      <c r="C188" s="84">
        <v>5600</v>
      </c>
      <c r="D188" s="84">
        <f t="shared" si="3"/>
        <v>5550</v>
      </c>
      <c r="G188" s="98"/>
    </row>
    <row r="189" spans="1:9" ht="15" customHeight="1">
      <c r="A189" s="93">
        <v>39351</v>
      </c>
      <c r="B189" s="84">
        <v>5520</v>
      </c>
      <c r="C189" s="84">
        <v>5620</v>
      </c>
      <c r="D189" s="84">
        <f t="shared" si="3"/>
        <v>5570</v>
      </c>
      <c r="E189" s="77"/>
      <c r="F189" s="77"/>
    </row>
    <row r="190" spans="1:9" ht="15" customHeight="1">
      <c r="A190" s="93">
        <v>39352</v>
      </c>
      <c r="B190" s="84">
        <v>5520</v>
      </c>
      <c r="C190" s="84">
        <v>5620</v>
      </c>
      <c r="D190" s="84">
        <f t="shared" si="3"/>
        <v>5570</v>
      </c>
    </row>
    <row r="191" spans="1:9" ht="15" customHeight="1" thickBot="1">
      <c r="A191" s="88">
        <v>39353</v>
      </c>
      <c r="B191" s="89">
        <v>5520</v>
      </c>
      <c r="C191" s="89">
        <v>5620</v>
      </c>
      <c r="D191" s="89">
        <f t="shared" si="3"/>
        <v>5570</v>
      </c>
      <c r="E191" s="91">
        <f>AVERAGE(D172:D191)</f>
        <v>5513</v>
      </c>
      <c r="F191" s="91"/>
      <c r="G191" s="92">
        <f>AVERAGE(D128:D191)</f>
        <v>5463.046875</v>
      </c>
      <c r="H191" s="79">
        <v>928.17</v>
      </c>
      <c r="I191" s="80">
        <f>+H191*G191</f>
        <v>5070636.2179687498</v>
      </c>
    </row>
    <row r="192" spans="1:9" ht="15" customHeight="1">
      <c r="A192" s="83">
        <v>39356</v>
      </c>
      <c r="B192" s="84">
        <v>5520</v>
      </c>
      <c r="C192" s="84">
        <v>5620</v>
      </c>
      <c r="D192" s="84">
        <f t="shared" si="3"/>
        <v>5570</v>
      </c>
    </row>
    <row r="193" spans="1:4" ht="15" customHeight="1">
      <c r="A193" s="83">
        <v>39357</v>
      </c>
      <c r="B193" s="84">
        <v>5520</v>
      </c>
      <c r="C193" s="84">
        <v>5620</v>
      </c>
      <c r="D193" s="84">
        <f t="shared" si="3"/>
        <v>5570</v>
      </c>
    </row>
    <row r="194" spans="1:4" ht="15" customHeight="1">
      <c r="A194" s="83">
        <v>39358</v>
      </c>
      <c r="B194" s="84">
        <v>5520</v>
      </c>
      <c r="C194" s="84">
        <v>5620</v>
      </c>
      <c r="D194" s="84">
        <f t="shared" si="3"/>
        <v>5570</v>
      </c>
    </row>
    <row r="195" spans="1:4" ht="15" customHeight="1">
      <c r="A195" s="83">
        <v>39359</v>
      </c>
      <c r="B195" s="84">
        <v>5520</v>
      </c>
      <c r="C195" s="84">
        <v>5620</v>
      </c>
      <c r="D195" s="84">
        <f t="shared" si="3"/>
        <v>5570</v>
      </c>
    </row>
    <row r="196" spans="1:4" ht="15" customHeight="1">
      <c r="A196" s="83">
        <v>39360</v>
      </c>
      <c r="B196" s="84">
        <v>5520</v>
      </c>
      <c r="C196" s="84">
        <v>5620</v>
      </c>
      <c r="D196" s="84">
        <f t="shared" si="3"/>
        <v>5570</v>
      </c>
    </row>
    <row r="197" spans="1:4" ht="15" customHeight="1">
      <c r="A197" s="83">
        <v>39363</v>
      </c>
      <c r="B197" s="84">
        <v>5520</v>
      </c>
      <c r="C197" s="84">
        <v>5620</v>
      </c>
      <c r="D197" s="84">
        <f t="shared" si="3"/>
        <v>5570</v>
      </c>
    </row>
    <row r="198" spans="1:4" ht="15" customHeight="1">
      <c r="A198" s="83">
        <v>39364</v>
      </c>
      <c r="B198" s="84">
        <v>5550</v>
      </c>
      <c r="C198" s="84">
        <v>5620</v>
      </c>
      <c r="D198" s="84">
        <f t="shared" si="3"/>
        <v>5585</v>
      </c>
    </row>
    <row r="199" spans="1:4" ht="15" customHeight="1">
      <c r="A199" s="83">
        <v>39365</v>
      </c>
      <c r="B199" s="84">
        <v>5550</v>
      </c>
      <c r="C199" s="84">
        <v>5620</v>
      </c>
      <c r="D199" s="84">
        <f t="shared" si="3"/>
        <v>5585</v>
      </c>
    </row>
    <row r="200" spans="1:4" ht="15" customHeight="1">
      <c r="A200" s="83">
        <v>39366</v>
      </c>
      <c r="B200" s="84">
        <v>5550</v>
      </c>
      <c r="C200" s="84">
        <v>5620</v>
      </c>
      <c r="D200" s="84">
        <f t="shared" si="3"/>
        <v>5585</v>
      </c>
    </row>
    <row r="201" spans="1:4" ht="15" customHeight="1">
      <c r="A201" s="83">
        <v>39367</v>
      </c>
      <c r="B201" s="84">
        <v>5550</v>
      </c>
      <c r="C201" s="84">
        <v>5620</v>
      </c>
      <c r="D201" s="84">
        <f t="shared" si="3"/>
        <v>5585</v>
      </c>
    </row>
    <row r="202" spans="1:4" ht="15" customHeight="1">
      <c r="A202" s="83">
        <v>39370</v>
      </c>
      <c r="B202" s="84">
        <v>5550</v>
      </c>
      <c r="C202" s="84">
        <v>5620</v>
      </c>
      <c r="D202" s="84">
        <f t="shared" si="3"/>
        <v>5585</v>
      </c>
    </row>
    <row r="203" spans="1:4" ht="15" customHeight="1">
      <c r="A203" s="83">
        <v>39371</v>
      </c>
      <c r="B203" s="84">
        <v>5550</v>
      </c>
      <c r="C203" s="84">
        <v>5620</v>
      </c>
      <c r="D203" s="84">
        <f t="shared" si="3"/>
        <v>5585</v>
      </c>
    </row>
    <row r="204" spans="1:4" ht="15" customHeight="1">
      <c r="A204" s="83">
        <v>39372</v>
      </c>
      <c r="B204" s="84">
        <v>5550</v>
      </c>
      <c r="C204" s="84">
        <v>5620</v>
      </c>
      <c r="D204" s="84">
        <f t="shared" si="3"/>
        <v>5585</v>
      </c>
    </row>
    <row r="205" spans="1:4" ht="15" customHeight="1">
      <c r="A205" s="83">
        <v>39373</v>
      </c>
      <c r="B205" s="84">
        <v>5550</v>
      </c>
      <c r="C205" s="84">
        <v>5620</v>
      </c>
      <c r="D205" s="84">
        <f t="shared" si="3"/>
        <v>5585</v>
      </c>
    </row>
    <row r="206" spans="1:4" ht="15" customHeight="1">
      <c r="A206" s="83">
        <v>39374</v>
      </c>
      <c r="B206" s="84">
        <v>5600</v>
      </c>
      <c r="C206" s="84">
        <v>5700</v>
      </c>
      <c r="D206" s="84">
        <f t="shared" si="3"/>
        <v>5650</v>
      </c>
    </row>
    <row r="207" spans="1:4" ht="15" customHeight="1">
      <c r="A207" s="83">
        <v>39377</v>
      </c>
      <c r="B207" s="84">
        <v>5600</v>
      </c>
      <c r="C207" s="84">
        <v>5700</v>
      </c>
      <c r="D207" s="84">
        <f t="shared" si="3"/>
        <v>5650</v>
      </c>
    </row>
    <row r="208" spans="1:4" ht="15" customHeight="1">
      <c r="A208" s="83">
        <v>39378</v>
      </c>
      <c r="B208" s="84">
        <v>5600</v>
      </c>
      <c r="C208" s="84">
        <v>5700</v>
      </c>
      <c r="D208" s="84">
        <f t="shared" si="3"/>
        <v>5650</v>
      </c>
    </row>
    <row r="209" spans="1:7" ht="15" customHeight="1">
      <c r="A209" s="83">
        <v>39379</v>
      </c>
      <c r="B209" s="84">
        <v>5600</v>
      </c>
      <c r="C209" s="84">
        <v>5700</v>
      </c>
      <c r="D209" s="84">
        <f t="shared" si="3"/>
        <v>5650</v>
      </c>
    </row>
    <row r="210" spans="1:7" ht="15" customHeight="1">
      <c r="A210" s="83">
        <v>39380</v>
      </c>
      <c r="B210" s="84">
        <v>5600</v>
      </c>
      <c r="C210" s="84">
        <v>5700</v>
      </c>
      <c r="D210" s="84">
        <f t="shared" si="3"/>
        <v>5650</v>
      </c>
    </row>
    <row r="211" spans="1:7" ht="15" customHeight="1">
      <c r="A211" s="83">
        <v>39381</v>
      </c>
      <c r="B211" s="84">
        <v>5600</v>
      </c>
      <c r="C211" s="84">
        <v>5700</v>
      </c>
      <c r="D211" s="84">
        <f t="shared" si="3"/>
        <v>5650</v>
      </c>
    </row>
    <row r="212" spans="1:7" ht="15" customHeight="1">
      <c r="A212" s="83">
        <v>39384</v>
      </c>
      <c r="B212" s="84">
        <v>5600</v>
      </c>
      <c r="C212" s="84">
        <v>5700</v>
      </c>
      <c r="D212" s="84">
        <f t="shared" si="3"/>
        <v>5650</v>
      </c>
    </row>
    <row r="213" spans="1:7" ht="15" customHeight="1">
      <c r="A213" s="83">
        <v>39385</v>
      </c>
      <c r="B213" s="84">
        <v>5600</v>
      </c>
      <c r="C213" s="84">
        <v>5700</v>
      </c>
      <c r="D213" s="84">
        <f t="shared" si="3"/>
        <v>5650</v>
      </c>
    </row>
    <row r="214" spans="1:7" ht="15" customHeight="1" thickBot="1">
      <c r="A214" s="88">
        <v>39386</v>
      </c>
      <c r="B214" s="89">
        <v>5600</v>
      </c>
      <c r="C214" s="89">
        <v>5700</v>
      </c>
      <c r="D214" s="89">
        <f t="shared" si="3"/>
        <v>5650</v>
      </c>
      <c r="E214" s="91">
        <f>AVERAGE(D192:D214)</f>
        <v>5606.521739130435</v>
      </c>
      <c r="F214" s="91"/>
      <c r="G214" s="92"/>
    </row>
    <row r="215" spans="1:7" ht="15" customHeight="1">
      <c r="A215" s="83">
        <v>39387</v>
      </c>
      <c r="B215" s="84">
        <v>5600</v>
      </c>
      <c r="C215" s="84">
        <v>5700</v>
      </c>
      <c r="D215" s="84">
        <f t="shared" si="3"/>
        <v>5650</v>
      </c>
    </row>
    <row r="216" spans="1:7" ht="15" customHeight="1">
      <c r="A216" s="83">
        <v>39388</v>
      </c>
      <c r="B216" s="84">
        <v>5600</v>
      </c>
      <c r="C216" s="84">
        <v>5700</v>
      </c>
      <c r="D216" s="84">
        <f t="shared" si="3"/>
        <v>5650</v>
      </c>
    </row>
    <row r="217" spans="1:7" ht="15" customHeight="1">
      <c r="A217" s="83">
        <v>39391</v>
      </c>
      <c r="B217" s="84">
        <v>5600</v>
      </c>
      <c r="C217" s="84">
        <v>5700</v>
      </c>
      <c r="D217" s="84">
        <f t="shared" si="3"/>
        <v>5650</v>
      </c>
    </row>
    <row r="218" spans="1:7" ht="15" customHeight="1">
      <c r="A218" s="83">
        <v>39392</v>
      </c>
      <c r="B218" s="84">
        <v>5600</v>
      </c>
      <c r="C218" s="84">
        <v>5700</v>
      </c>
      <c r="D218" s="84">
        <f t="shared" si="3"/>
        <v>5650</v>
      </c>
    </row>
    <row r="219" spans="1:7" ht="15" customHeight="1">
      <c r="A219" s="83">
        <v>39393</v>
      </c>
      <c r="B219" s="84">
        <v>5600</v>
      </c>
      <c r="C219" s="84">
        <v>5700</v>
      </c>
      <c r="D219" s="84">
        <f t="shared" si="3"/>
        <v>5650</v>
      </c>
    </row>
    <row r="220" spans="1:7" ht="15" customHeight="1">
      <c r="A220" s="83">
        <v>39394</v>
      </c>
      <c r="B220" s="84">
        <v>5600</v>
      </c>
      <c r="C220" s="84">
        <v>5700</v>
      </c>
      <c r="D220" s="84">
        <f t="shared" si="3"/>
        <v>5650</v>
      </c>
    </row>
    <row r="221" spans="1:7" ht="15" customHeight="1">
      <c r="A221" s="83">
        <v>39395</v>
      </c>
      <c r="B221" s="84">
        <v>5600</v>
      </c>
      <c r="C221" s="84">
        <v>5700</v>
      </c>
      <c r="D221" s="84">
        <f t="shared" si="3"/>
        <v>5650</v>
      </c>
    </row>
    <row r="222" spans="1:7" ht="15" customHeight="1">
      <c r="A222" s="83">
        <v>39398</v>
      </c>
      <c r="B222" s="84">
        <v>5600</v>
      </c>
      <c r="C222" s="84">
        <v>5700</v>
      </c>
      <c r="D222" s="84">
        <f t="shared" si="3"/>
        <v>5650</v>
      </c>
    </row>
    <row r="223" spans="1:7" ht="15" customHeight="1">
      <c r="A223" s="83">
        <v>39399</v>
      </c>
      <c r="B223" s="84">
        <v>5600</v>
      </c>
      <c r="C223" s="84">
        <v>5700</v>
      </c>
      <c r="D223" s="84">
        <f t="shared" si="3"/>
        <v>5650</v>
      </c>
    </row>
    <row r="224" spans="1:7" ht="15" customHeight="1">
      <c r="A224" s="83">
        <v>39400</v>
      </c>
      <c r="B224" s="84">
        <v>5600</v>
      </c>
      <c r="C224" s="84">
        <v>5700</v>
      </c>
      <c r="D224" s="84">
        <f t="shared" si="3"/>
        <v>5650</v>
      </c>
    </row>
    <row r="225" spans="1:7" ht="15" customHeight="1">
      <c r="A225" s="83">
        <v>39401</v>
      </c>
      <c r="B225" s="84">
        <v>5600</v>
      </c>
      <c r="C225" s="84">
        <v>5700</v>
      </c>
      <c r="D225" s="84">
        <f t="shared" si="3"/>
        <v>5650</v>
      </c>
    </row>
    <row r="226" spans="1:7" ht="15" customHeight="1">
      <c r="A226" s="83">
        <v>39402</v>
      </c>
      <c r="B226" s="84">
        <v>5400</v>
      </c>
      <c r="C226" s="84">
        <v>5500</v>
      </c>
      <c r="D226" s="84">
        <f t="shared" si="3"/>
        <v>5450</v>
      </c>
    </row>
    <row r="227" spans="1:7" ht="15" customHeight="1">
      <c r="A227" s="83">
        <v>39403</v>
      </c>
      <c r="B227" s="84">
        <v>5600</v>
      </c>
      <c r="C227" s="84">
        <v>5700</v>
      </c>
      <c r="D227" s="84">
        <f t="shared" si="3"/>
        <v>5650</v>
      </c>
    </row>
    <row r="228" spans="1:7" ht="15" customHeight="1">
      <c r="A228" s="83">
        <v>39405</v>
      </c>
      <c r="B228" s="84">
        <v>5600</v>
      </c>
      <c r="C228" s="84">
        <v>5700</v>
      </c>
      <c r="D228" s="84">
        <f t="shared" si="3"/>
        <v>5650</v>
      </c>
    </row>
    <row r="229" spans="1:7" ht="15" customHeight="1">
      <c r="A229" s="83">
        <v>39406</v>
      </c>
      <c r="B229" s="84">
        <v>5600</v>
      </c>
      <c r="C229" s="84">
        <v>5700</v>
      </c>
      <c r="D229" s="84">
        <f t="shared" si="3"/>
        <v>5650</v>
      </c>
    </row>
    <row r="230" spans="1:7" ht="15" customHeight="1">
      <c r="A230" s="99">
        <v>39407</v>
      </c>
      <c r="B230" s="84">
        <v>5600</v>
      </c>
      <c r="C230" s="84">
        <v>5700</v>
      </c>
      <c r="D230" s="84">
        <f t="shared" si="3"/>
        <v>5650</v>
      </c>
    </row>
    <row r="231" spans="1:7" ht="15" customHeight="1">
      <c r="A231" s="99">
        <v>39408</v>
      </c>
      <c r="B231" s="84">
        <v>5600</v>
      </c>
      <c r="C231" s="84">
        <v>5700</v>
      </c>
      <c r="D231" s="84">
        <f t="shared" si="3"/>
        <v>5650</v>
      </c>
    </row>
    <row r="232" spans="1:7" ht="15" customHeight="1">
      <c r="A232" s="99">
        <v>39409</v>
      </c>
      <c r="B232" s="84">
        <v>5600</v>
      </c>
      <c r="C232" s="84">
        <v>5700</v>
      </c>
      <c r="D232" s="84">
        <f t="shared" si="3"/>
        <v>5650</v>
      </c>
    </row>
    <row r="233" spans="1:7" ht="15" customHeight="1">
      <c r="A233" s="99">
        <v>39412</v>
      </c>
      <c r="B233" s="84">
        <v>5600</v>
      </c>
      <c r="C233" s="84">
        <v>5700</v>
      </c>
      <c r="D233" s="84">
        <f t="shared" si="3"/>
        <v>5650</v>
      </c>
    </row>
    <row r="234" spans="1:7" ht="15" customHeight="1">
      <c r="A234" s="99">
        <v>39413</v>
      </c>
      <c r="B234" s="84">
        <v>5600</v>
      </c>
      <c r="C234" s="84">
        <v>5700</v>
      </c>
      <c r="D234" s="84">
        <f t="shared" si="3"/>
        <v>5650</v>
      </c>
    </row>
    <row r="235" spans="1:7" ht="15" customHeight="1">
      <c r="A235" s="99">
        <v>39414</v>
      </c>
      <c r="B235" s="84">
        <v>5600</v>
      </c>
      <c r="C235" s="84">
        <v>5700</v>
      </c>
      <c r="D235" s="84">
        <f t="shared" si="3"/>
        <v>5650</v>
      </c>
    </row>
    <row r="236" spans="1:7" ht="15" customHeight="1">
      <c r="A236" s="99">
        <v>39415</v>
      </c>
      <c r="B236" s="84">
        <v>5500</v>
      </c>
      <c r="C236" s="84">
        <v>5650</v>
      </c>
      <c r="D236" s="84">
        <f t="shared" si="3"/>
        <v>5575</v>
      </c>
    </row>
    <row r="237" spans="1:7" ht="15" customHeight="1" thickBot="1">
      <c r="A237" s="100">
        <v>39416</v>
      </c>
      <c r="B237" s="89">
        <v>5500</v>
      </c>
      <c r="C237" s="89">
        <v>5650</v>
      </c>
      <c r="D237" s="89">
        <f t="shared" si="3"/>
        <v>5575</v>
      </c>
      <c r="E237" s="91">
        <f>AVERAGE(D215:D237)</f>
        <v>5634.782608695652</v>
      </c>
      <c r="F237" s="91"/>
      <c r="G237" s="92"/>
    </row>
    <row r="238" spans="1:7" ht="15" customHeight="1">
      <c r="A238" s="99">
        <v>39419</v>
      </c>
      <c r="B238" s="84">
        <v>5500</v>
      </c>
      <c r="C238" s="84">
        <v>5650</v>
      </c>
      <c r="D238" s="84">
        <f t="shared" si="3"/>
        <v>5575</v>
      </c>
    </row>
    <row r="239" spans="1:7" ht="15" customHeight="1">
      <c r="A239" s="99">
        <v>39420</v>
      </c>
      <c r="B239" s="84">
        <v>5500</v>
      </c>
      <c r="C239" s="84">
        <v>5650</v>
      </c>
      <c r="D239" s="84">
        <f t="shared" si="3"/>
        <v>5575</v>
      </c>
    </row>
    <row r="240" spans="1:7" ht="15" customHeight="1">
      <c r="A240" s="99">
        <v>39421</v>
      </c>
      <c r="B240" s="84">
        <v>5500</v>
      </c>
      <c r="C240" s="84">
        <v>5650</v>
      </c>
      <c r="D240" s="84">
        <f t="shared" si="3"/>
        <v>5575</v>
      </c>
    </row>
    <row r="241" spans="1:10" ht="15" customHeight="1">
      <c r="A241" s="99">
        <v>39422</v>
      </c>
      <c r="B241" s="84">
        <v>5500</v>
      </c>
      <c r="C241" s="84">
        <v>5650</v>
      </c>
      <c r="D241" s="84">
        <f t="shared" si="3"/>
        <v>5575</v>
      </c>
    </row>
    <row r="242" spans="1:10" ht="15" customHeight="1">
      <c r="A242" s="99">
        <v>39423</v>
      </c>
      <c r="B242" s="84">
        <v>5500</v>
      </c>
      <c r="C242" s="84">
        <v>5650</v>
      </c>
      <c r="D242" s="84">
        <f t="shared" si="3"/>
        <v>5575</v>
      </c>
    </row>
    <row r="243" spans="1:10" ht="15" customHeight="1">
      <c r="A243" s="99">
        <v>39426</v>
      </c>
      <c r="B243" s="84">
        <v>5500</v>
      </c>
      <c r="C243" s="84">
        <v>5650</v>
      </c>
      <c r="D243" s="84">
        <f t="shared" si="3"/>
        <v>5575</v>
      </c>
    </row>
    <row r="244" spans="1:10" ht="15" customHeight="1">
      <c r="A244" s="99">
        <v>39427</v>
      </c>
      <c r="B244" s="84">
        <v>5500</v>
      </c>
      <c r="C244" s="84">
        <v>5650</v>
      </c>
      <c r="D244" s="84">
        <f t="shared" si="3"/>
        <v>5575</v>
      </c>
    </row>
    <row r="245" spans="1:10" ht="15" customHeight="1">
      <c r="A245" s="99">
        <v>39428</v>
      </c>
      <c r="B245" s="84">
        <v>5500</v>
      </c>
      <c r="C245" s="84">
        <v>5650</v>
      </c>
      <c r="D245" s="84">
        <f t="shared" si="3"/>
        <v>5575</v>
      </c>
    </row>
    <row r="246" spans="1:10" ht="15" customHeight="1">
      <c r="A246" s="99">
        <v>39429</v>
      </c>
      <c r="B246" s="84">
        <v>5470</v>
      </c>
      <c r="C246" s="84">
        <v>5550</v>
      </c>
      <c r="D246" s="84">
        <f t="shared" si="3"/>
        <v>5510</v>
      </c>
      <c r="J246" s="101"/>
    </row>
    <row r="247" spans="1:10" ht="15" customHeight="1">
      <c r="A247" s="99">
        <v>39430</v>
      </c>
      <c r="B247" s="84">
        <v>5470</v>
      </c>
      <c r="C247" s="84">
        <v>5550</v>
      </c>
      <c r="D247" s="84">
        <f t="shared" si="3"/>
        <v>5510</v>
      </c>
      <c r="J247" s="101"/>
    </row>
    <row r="248" spans="1:10" ht="15" customHeight="1">
      <c r="A248" s="99">
        <v>39433</v>
      </c>
      <c r="B248" s="84">
        <v>5470</v>
      </c>
      <c r="C248" s="84">
        <v>5550</v>
      </c>
      <c r="D248" s="84">
        <f t="shared" si="3"/>
        <v>5510</v>
      </c>
    </row>
    <row r="249" spans="1:10" ht="15" customHeight="1">
      <c r="A249" s="99">
        <v>39434</v>
      </c>
      <c r="B249" s="84">
        <v>5470</v>
      </c>
      <c r="C249" s="84">
        <v>5550</v>
      </c>
      <c r="D249" s="84">
        <f t="shared" si="3"/>
        <v>5510</v>
      </c>
    </row>
    <row r="250" spans="1:10" ht="15" customHeight="1">
      <c r="A250" s="99">
        <v>39435</v>
      </c>
      <c r="B250" s="84">
        <v>5470</v>
      </c>
      <c r="C250" s="84">
        <v>5550</v>
      </c>
      <c r="D250" s="84">
        <f t="shared" si="3"/>
        <v>5510</v>
      </c>
    </row>
    <row r="251" spans="1:10" ht="15" customHeight="1">
      <c r="A251" s="99">
        <v>39436</v>
      </c>
      <c r="B251" s="84">
        <v>5470</v>
      </c>
      <c r="C251" s="84">
        <v>5550</v>
      </c>
      <c r="D251" s="84">
        <f t="shared" si="3"/>
        <v>5510</v>
      </c>
    </row>
    <row r="252" spans="1:10" ht="15" customHeight="1">
      <c r="A252" s="99">
        <v>39437</v>
      </c>
      <c r="B252" s="84">
        <v>5470</v>
      </c>
      <c r="C252" s="84">
        <v>5550</v>
      </c>
      <c r="D252" s="84">
        <f t="shared" si="3"/>
        <v>5510</v>
      </c>
    </row>
    <row r="253" spans="1:10" ht="15" customHeight="1">
      <c r="A253" s="99">
        <v>39443</v>
      </c>
      <c r="B253" s="84">
        <v>5470</v>
      </c>
      <c r="C253" s="84">
        <v>5550</v>
      </c>
      <c r="D253" s="84">
        <f t="shared" si="3"/>
        <v>5510</v>
      </c>
    </row>
    <row r="254" spans="1:10" ht="15" customHeight="1">
      <c r="A254" s="83">
        <v>39444</v>
      </c>
      <c r="B254" s="84">
        <v>5470</v>
      </c>
      <c r="C254" s="84">
        <v>5550</v>
      </c>
      <c r="D254" s="84">
        <f t="shared" si="3"/>
        <v>5510</v>
      </c>
    </row>
    <row r="255" spans="1:10" ht="15" customHeight="1" thickBot="1">
      <c r="A255" s="88">
        <v>39447</v>
      </c>
      <c r="B255" s="89">
        <v>5470</v>
      </c>
      <c r="C255" s="89">
        <v>5550</v>
      </c>
      <c r="D255" s="89">
        <f t="shared" si="3"/>
        <v>5510</v>
      </c>
      <c r="E255" s="91">
        <f>AVERAGE(D238:D255)</f>
        <v>5538.8888888888887</v>
      </c>
      <c r="F255" s="91"/>
      <c r="G255" s="92">
        <f>AVERAGE(D192:D255)</f>
        <v>5597.65625</v>
      </c>
    </row>
    <row r="256" spans="1:10" ht="15" customHeight="1">
      <c r="A256" s="99">
        <v>39449</v>
      </c>
      <c r="B256" s="84">
        <v>5470</v>
      </c>
      <c r="C256" s="84">
        <v>5550</v>
      </c>
      <c r="D256" s="84">
        <f t="shared" si="3"/>
        <v>5510</v>
      </c>
    </row>
    <row r="257" spans="1:4" ht="15" customHeight="1">
      <c r="A257" s="99">
        <v>39450</v>
      </c>
      <c r="B257" s="84">
        <v>5470</v>
      </c>
      <c r="C257" s="84">
        <v>5550</v>
      </c>
      <c r="D257" s="84">
        <f t="shared" si="3"/>
        <v>5510</v>
      </c>
    </row>
    <row r="258" spans="1:4" ht="15" customHeight="1">
      <c r="A258" s="99">
        <v>39451</v>
      </c>
      <c r="B258" s="84">
        <v>5470</v>
      </c>
      <c r="C258" s="84">
        <v>5550</v>
      </c>
      <c r="D258" s="84">
        <f t="shared" ref="D258:D312" si="4">AVERAGE(B258:C258)</f>
        <v>5510</v>
      </c>
    </row>
    <row r="259" spans="1:4" ht="15" customHeight="1">
      <c r="A259" s="99">
        <v>39454</v>
      </c>
      <c r="B259" s="84">
        <v>5470</v>
      </c>
      <c r="C259" s="84">
        <v>5550</v>
      </c>
      <c r="D259" s="84">
        <f t="shared" si="4"/>
        <v>5510</v>
      </c>
    </row>
    <row r="260" spans="1:4" ht="15" customHeight="1">
      <c r="A260" s="99">
        <v>39455</v>
      </c>
      <c r="B260" s="84">
        <v>5470</v>
      </c>
      <c r="C260" s="84">
        <v>5550</v>
      </c>
      <c r="D260" s="84">
        <f t="shared" si="4"/>
        <v>5510</v>
      </c>
    </row>
    <row r="261" spans="1:4" ht="15" customHeight="1">
      <c r="A261" s="99">
        <v>39456</v>
      </c>
      <c r="B261" s="84">
        <v>5470</v>
      </c>
      <c r="C261" s="84">
        <v>5550</v>
      </c>
      <c r="D261" s="84">
        <f t="shared" si="4"/>
        <v>5510</v>
      </c>
    </row>
    <row r="262" spans="1:4" ht="15" customHeight="1">
      <c r="A262" s="99">
        <v>39457</v>
      </c>
      <c r="B262" s="84">
        <v>5470</v>
      </c>
      <c r="C262" s="84">
        <v>5550</v>
      </c>
      <c r="D262" s="84">
        <f t="shared" si="4"/>
        <v>5510</v>
      </c>
    </row>
    <row r="263" spans="1:4" ht="15" customHeight="1">
      <c r="A263" s="99">
        <v>39458</v>
      </c>
      <c r="B263" s="84">
        <v>5470</v>
      </c>
      <c r="C263" s="84">
        <v>5550</v>
      </c>
      <c r="D263" s="84">
        <f t="shared" si="4"/>
        <v>5510</v>
      </c>
    </row>
    <row r="264" spans="1:4" ht="15" customHeight="1">
      <c r="A264" s="99">
        <v>39461</v>
      </c>
      <c r="B264" s="84">
        <v>5470</v>
      </c>
      <c r="C264" s="84">
        <v>5550</v>
      </c>
      <c r="D264" s="84">
        <f t="shared" si="4"/>
        <v>5510</v>
      </c>
    </row>
    <row r="265" spans="1:4" ht="15" customHeight="1">
      <c r="A265" s="99">
        <v>39462</v>
      </c>
      <c r="B265" s="84">
        <v>5470</v>
      </c>
      <c r="C265" s="84">
        <v>5550</v>
      </c>
      <c r="D265" s="84">
        <f t="shared" si="4"/>
        <v>5510</v>
      </c>
    </row>
    <row r="266" spans="1:4" ht="15" customHeight="1">
      <c r="A266" s="99">
        <v>39463</v>
      </c>
      <c r="B266" s="84">
        <v>5470</v>
      </c>
      <c r="C266" s="84">
        <v>5550</v>
      </c>
      <c r="D266" s="84">
        <f t="shared" si="4"/>
        <v>5510</v>
      </c>
    </row>
    <row r="267" spans="1:4" ht="15" customHeight="1">
      <c r="A267" s="99">
        <v>39464</v>
      </c>
      <c r="B267" s="84">
        <v>5470</v>
      </c>
      <c r="C267" s="84">
        <v>5550</v>
      </c>
      <c r="D267" s="84">
        <f t="shared" si="4"/>
        <v>5510</v>
      </c>
    </row>
    <row r="268" spans="1:4" ht="15" customHeight="1">
      <c r="A268" s="99">
        <v>39465</v>
      </c>
      <c r="B268" s="84">
        <v>5470</v>
      </c>
      <c r="C268" s="84">
        <v>5550</v>
      </c>
      <c r="D268" s="84">
        <f t="shared" si="4"/>
        <v>5510</v>
      </c>
    </row>
    <row r="269" spans="1:4" ht="15" customHeight="1">
      <c r="A269" s="99">
        <v>39468</v>
      </c>
      <c r="B269" s="84">
        <v>5470</v>
      </c>
      <c r="C269" s="84">
        <v>5550</v>
      </c>
      <c r="D269" s="84">
        <f t="shared" si="4"/>
        <v>5510</v>
      </c>
    </row>
    <row r="270" spans="1:4" ht="15" customHeight="1">
      <c r="A270" s="99">
        <v>39469</v>
      </c>
      <c r="B270" s="84">
        <v>5470</v>
      </c>
      <c r="C270" s="84">
        <v>5550</v>
      </c>
      <c r="D270" s="84">
        <f t="shared" si="4"/>
        <v>5510</v>
      </c>
    </row>
    <row r="271" spans="1:4" ht="15" customHeight="1">
      <c r="A271" s="99">
        <v>39470</v>
      </c>
      <c r="B271" s="84">
        <v>5470</v>
      </c>
      <c r="C271" s="84">
        <v>5550</v>
      </c>
      <c r="D271" s="84">
        <f t="shared" si="4"/>
        <v>5510</v>
      </c>
    </row>
    <row r="272" spans="1:4" ht="15" customHeight="1">
      <c r="A272" s="99">
        <v>39471</v>
      </c>
      <c r="B272" s="84">
        <v>5550</v>
      </c>
      <c r="C272" s="84">
        <v>5650</v>
      </c>
      <c r="D272" s="84">
        <f t="shared" si="4"/>
        <v>5600</v>
      </c>
    </row>
    <row r="273" spans="1:7" ht="15" customHeight="1">
      <c r="A273" s="99">
        <v>39472</v>
      </c>
      <c r="B273" s="84">
        <v>5550</v>
      </c>
      <c r="C273" s="84">
        <v>5700</v>
      </c>
      <c r="D273" s="84">
        <f t="shared" si="4"/>
        <v>5625</v>
      </c>
    </row>
    <row r="274" spans="1:7" ht="15" customHeight="1">
      <c r="A274" s="99">
        <v>39475</v>
      </c>
      <c r="B274" s="84">
        <v>5550</v>
      </c>
      <c r="C274" s="84">
        <v>5650</v>
      </c>
      <c r="D274" s="84">
        <f t="shared" si="4"/>
        <v>5600</v>
      </c>
    </row>
    <row r="275" spans="1:7" ht="15" customHeight="1">
      <c r="A275" s="83">
        <v>39476</v>
      </c>
      <c r="B275" s="84">
        <v>5550</v>
      </c>
      <c r="C275" s="84">
        <v>5650</v>
      </c>
      <c r="D275" s="84">
        <f t="shared" si="4"/>
        <v>5600</v>
      </c>
    </row>
    <row r="276" spans="1:7" ht="15" customHeight="1">
      <c r="A276" s="83">
        <v>39477</v>
      </c>
      <c r="B276" s="84">
        <v>5550</v>
      </c>
      <c r="C276" s="84">
        <v>5650</v>
      </c>
      <c r="D276" s="84">
        <f t="shared" si="4"/>
        <v>5600</v>
      </c>
    </row>
    <row r="277" spans="1:7" ht="15" customHeight="1" thickBot="1">
      <c r="A277" s="88">
        <v>39478</v>
      </c>
      <c r="B277" s="89">
        <v>5550</v>
      </c>
      <c r="C277" s="89">
        <v>5700</v>
      </c>
      <c r="D277" s="89">
        <f t="shared" si="4"/>
        <v>5625</v>
      </c>
      <c r="E277" s="91">
        <f>AVERAGE(D256:D277)</f>
        <v>5536.818181818182</v>
      </c>
      <c r="F277" s="91"/>
      <c r="G277" s="92"/>
    </row>
    <row r="278" spans="1:7" ht="15" customHeight="1">
      <c r="A278" s="83">
        <v>39479</v>
      </c>
      <c r="B278" s="84">
        <v>5600</v>
      </c>
      <c r="C278" s="84">
        <v>5700</v>
      </c>
      <c r="D278" s="84">
        <f t="shared" si="4"/>
        <v>5650</v>
      </c>
    </row>
    <row r="279" spans="1:7" ht="15" customHeight="1">
      <c r="A279" s="83">
        <v>39482</v>
      </c>
      <c r="B279" s="84">
        <v>5600</v>
      </c>
      <c r="C279" s="84">
        <v>5700</v>
      </c>
      <c r="D279" s="84">
        <f t="shared" si="4"/>
        <v>5650</v>
      </c>
    </row>
    <row r="280" spans="1:7" ht="15" customHeight="1">
      <c r="A280" s="83">
        <v>39483</v>
      </c>
      <c r="B280" s="84">
        <v>5600</v>
      </c>
      <c r="C280" s="84">
        <v>5700</v>
      </c>
      <c r="D280" s="84">
        <f t="shared" si="4"/>
        <v>5650</v>
      </c>
    </row>
    <row r="281" spans="1:7" ht="15" customHeight="1">
      <c r="A281" s="83">
        <v>39484</v>
      </c>
      <c r="B281" s="84">
        <v>5600</v>
      </c>
      <c r="C281" s="84">
        <v>5700</v>
      </c>
      <c r="D281" s="84">
        <f t="shared" si="4"/>
        <v>5650</v>
      </c>
    </row>
    <row r="282" spans="1:7" ht="15" customHeight="1">
      <c r="A282" s="83">
        <v>39485</v>
      </c>
      <c r="B282" s="84">
        <v>5800</v>
      </c>
      <c r="C282" s="84">
        <v>5900</v>
      </c>
      <c r="D282" s="84">
        <f t="shared" si="4"/>
        <v>5850</v>
      </c>
    </row>
    <row r="283" spans="1:7" ht="15" customHeight="1">
      <c r="A283" s="99">
        <v>39486</v>
      </c>
      <c r="B283" s="84">
        <v>5800</v>
      </c>
      <c r="C283" s="84">
        <v>5900</v>
      </c>
      <c r="D283" s="84">
        <f t="shared" si="4"/>
        <v>5850</v>
      </c>
    </row>
    <row r="284" spans="1:7" ht="15" customHeight="1">
      <c r="A284" s="99">
        <v>39489</v>
      </c>
      <c r="B284" s="84">
        <v>5900</v>
      </c>
      <c r="C284" s="84">
        <v>6000</v>
      </c>
      <c r="D284" s="84">
        <f t="shared" si="4"/>
        <v>5950</v>
      </c>
    </row>
    <row r="285" spans="1:7" ht="15" customHeight="1">
      <c r="A285" s="99">
        <v>39490</v>
      </c>
      <c r="B285" s="84">
        <v>5900</v>
      </c>
      <c r="C285" s="84">
        <v>6000</v>
      </c>
      <c r="D285" s="84">
        <f t="shared" si="4"/>
        <v>5950</v>
      </c>
    </row>
    <row r="286" spans="1:7" ht="15" customHeight="1">
      <c r="A286" s="99">
        <v>39491</v>
      </c>
      <c r="B286" s="84">
        <v>5900</v>
      </c>
      <c r="C286" s="84">
        <v>6000</v>
      </c>
      <c r="D286" s="84">
        <f t="shared" si="4"/>
        <v>5950</v>
      </c>
    </row>
    <row r="287" spans="1:7" ht="15" customHeight="1">
      <c r="A287" s="99">
        <v>39492</v>
      </c>
      <c r="B287" s="84">
        <v>5900</v>
      </c>
      <c r="C287" s="84">
        <v>6000</v>
      </c>
      <c r="D287" s="84">
        <f t="shared" si="4"/>
        <v>5950</v>
      </c>
    </row>
    <row r="288" spans="1:7" ht="15" customHeight="1">
      <c r="A288" s="99">
        <v>39493</v>
      </c>
      <c r="B288" s="84">
        <v>5900</v>
      </c>
      <c r="C288" s="84">
        <v>6000</v>
      </c>
      <c r="D288" s="84">
        <f t="shared" si="4"/>
        <v>5950</v>
      </c>
    </row>
    <row r="289" spans="1:7" ht="15" customHeight="1">
      <c r="A289" s="99">
        <v>39496</v>
      </c>
      <c r="B289" s="84">
        <v>5900</v>
      </c>
      <c r="C289" s="84">
        <v>6000</v>
      </c>
      <c r="D289" s="84">
        <f t="shared" si="4"/>
        <v>5950</v>
      </c>
    </row>
    <row r="290" spans="1:7" ht="15" customHeight="1">
      <c r="A290" s="99">
        <v>39497</v>
      </c>
      <c r="B290" s="84">
        <v>5900</v>
      </c>
      <c r="C290" s="84">
        <v>6000</v>
      </c>
      <c r="D290" s="84">
        <f t="shared" si="4"/>
        <v>5950</v>
      </c>
    </row>
    <row r="291" spans="1:7" ht="15" customHeight="1">
      <c r="A291" s="99">
        <v>39498</v>
      </c>
      <c r="B291" s="84">
        <v>5900</v>
      </c>
      <c r="C291" s="84">
        <v>6000</v>
      </c>
      <c r="D291" s="84">
        <f t="shared" si="4"/>
        <v>5950</v>
      </c>
    </row>
    <row r="292" spans="1:7" ht="15" customHeight="1">
      <c r="A292" s="99">
        <v>39499</v>
      </c>
      <c r="B292" s="84">
        <v>5900</v>
      </c>
      <c r="C292" s="84">
        <v>6000</v>
      </c>
      <c r="D292" s="84">
        <f t="shared" si="4"/>
        <v>5950</v>
      </c>
    </row>
    <row r="293" spans="1:7" ht="15" customHeight="1">
      <c r="A293" s="99">
        <v>39500</v>
      </c>
      <c r="B293" s="84">
        <v>5900</v>
      </c>
      <c r="C293" s="84">
        <v>6000</v>
      </c>
      <c r="D293" s="84">
        <f t="shared" si="4"/>
        <v>5950</v>
      </c>
    </row>
    <row r="294" spans="1:7" ht="15" customHeight="1">
      <c r="A294" s="99">
        <v>39503</v>
      </c>
      <c r="B294" s="84">
        <v>5900</v>
      </c>
      <c r="C294" s="84">
        <v>6000</v>
      </c>
      <c r="D294" s="84">
        <f t="shared" si="4"/>
        <v>5950</v>
      </c>
    </row>
    <row r="295" spans="1:7" ht="15" customHeight="1">
      <c r="A295" s="99">
        <v>39504</v>
      </c>
      <c r="B295" s="84">
        <v>5900</v>
      </c>
      <c r="C295" s="84">
        <v>6000</v>
      </c>
      <c r="D295" s="84">
        <f t="shared" si="4"/>
        <v>5950</v>
      </c>
    </row>
    <row r="296" spans="1:7" ht="15" customHeight="1">
      <c r="A296" s="99">
        <v>39505</v>
      </c>
      <c r="B296" s="84">
        <v>5900</v>
      </c>
      <c r="C296" s="84">
        <v>6000</v>
      </c>
      <c r="D296" s="84">
        <f t="shared" si="4"/>
        <v>5950</v>
      </c>
    </row>
    <row r="297" spans="1:7" ht="15" customHeight="1">
      <c r="A297" s="99">
        <v>39506</v>
      </c>
      <c r="B297" s="84">
        <v>5900</v>
      </c>
      <c r="C297" s="84">
        <v>6000</v>
      </c>
      <c r="D297" s="84">
        <f t="shared" si="4"/>
        <v>5950</v>
      </c>
    </row>
    <row r="298" spans="1:7" ht="15" customHeight="1" thickBot="1">
      <c r="A298" s="100">
        <v>39507</v>
      </c>
      <c r="B298" s="89">
        <v>5900</v>
      </c>
      <c r="C298" s="89">
        <v>6000</v>
      </c>
      <c r="D298" s="89">
        <f t="shared" si="4"/>
        <v>5950</v>
      </c>
      <c r="E298" s="91">
        <f>AVERAGE(D278:D298)</f>
        <v>5883.333333333333</v>
      </c>
      <c r="F298" s="91"/>
      <c r="G298" s="92"/>
    </row>
    <row r="299" spans="1:7" ht="15" customHeight="1">
      <c r="A299" s="99">
        <v>39510</v>
      </c>
      <c r="B299" s="84">
        <v>5900</v>
      </c>
      <c r="C299" s="84">
        <v>6000</v>
      </c>
      <c r="D299" s="84">
        <f t="shared" si="4"/>
        <v>5950</v>
      </c>
    </row>
    <row r="300" spans="1:7" ht="15" customHeight="1">
      <c r="A300" s="99">
        <v>39511</v>
      </c>
      <c r="B300" s="84">
        <v>5900</v>
      </c>
      <c r="C300" s="84">
        <v>6000</v>
      </c>
      <c r="D300" s="84">
        <f t="shared" si="4"/>
        <v>5950</v>
      </c>
    </row>
    <row r="301" spans="1:7" ht="15" customHeight="1">
      <c r="A301" s="99">
        <v>39512</v>
      </c>
      <c r="B301" s="84">
        <v>5900</v>
      </c>
      <c r="C301" s="84">
        <v>6000</v>
      </c>
      <c r="D301" s="84">
        <f t="shared" si="4"/>
        <v>5950</v>
      </c>
    </row>
    <row r="302" spans="1:7" ht="15" customHeight="1">
      <c r="A302" s="99">
        <v>39513</v>
      </c>
      <c r="B302" s="84">
        <v>5900</v>
      </c>
      <c r="C302" s="84">
        <v>6000</v>
      </c>
      <c r="D302" s="84">
        <f t="shared" si="4"/>
        <v>5950</v>
      </c>
    </row>
    <row r="303" spans="1:7" ht="15" customHeight="1">
      <c r="A303" s="99">
        <v>39514</v>
      </c>
      <c r="B303" s="84">
        <v>5800</v>
      </c>
      <c r="C303" s="84">
        <v>5900</v>
      </c>
      <c r="D303" s="84">
        <f t="shared" si="4"/>
        <v>5850</v>
      </c>
    </row>
    <row r="304" spans="1:7" ht="15" customHeight="1">
      <c r="A304" s="99">
        <v>39517</v>
      </c>
      <c r="B304" s="84">
        <v>5800</v>
      </c>
      <c r="C304" s="84">
        <v>5900</v>
      </c>
      <c r="D304" s="84">
        <f t="shared" si="4"/>
        <v>5850</v>
      </c>
    </row>
    <row r="305" spans="1:11" ht="15" customHeight="1">
      <c r="A305" s="99">
        <v>39518</v>
      </c>
      <c r="B305" s="84">
        <v>5800</v>
      </c>
      <c r="C305" s="84">
        <v>5900</v>
      </c>
      <c r="D305" s="84">
        <f t="shared" si="4"/>
        <v>5850</v>
      </c>
    </row>
    <row r="306" spans="1:11" ht="15" customHeight="1">
      <c r="A306" s="99">
        <v>39519</v>
      </c>
      <c r="B306" s="84">
        <v>5800</v>
      </c>
      <c r="C306" s="84">
        <v>5900</v>
      </c>
      <c r="D306" s="84">
        <f t="shared" si="4"/>
        <v>5850</v>
      </c>
    </row>
    <row r="307" spans="1:11" ht="15" customHeight="1">
      <c r="A307" s="99">
        <v>39520</v>
      </c>
      <c r="B307" s="84">
        <v>5800</v>
      </c>
      <c r="C307" s="84">
        <v>5900</v>
      </c>
      <c r="D307" s="84">
        <f t="shared" si="4"/>
        <v>5850</v>
      </c>
    </row>
    <row r="308" spans="1:11" ht="15" customHeight="1">
      <c r="A308" s="99">
        <v>39521</v>
      </c>
      <c r="B308" s="84">
        <v>5650</v>
      </c>
      <c r="C308" s="84">
        <v>5750</v>
      </c>
      <c r="D308" s="84">
        <f t="shared" si="4"/>
        <v>5700</v>
      </c>
    </row>
    <row r="309" spans="1:11" ht="15" customHeight="1">
      <c r="A309" s="99">
        <v>39524</v>
      </c>
      <c r="B309" s="84">
        <v>5650</v>
      </c>
      <c r="C309" s="84">
        <v>5750</v>
      </c>
      <c r="D309" s="84">
        <f t="shared" si="4"/>
        <v>5700</v>
      </c>
    </row>
    <row r="310" spans="1:11" ht="15" customHeight="1">
      <c r="A310" s="99">
        <v>39525</v>
      </c>
      <c r="B310" s="84">
        <v>5650</v>
      </c>
      <c r="C310" s="84">
        <v>5750</v>
      </c>
      <c r="D310" s="84">
        <f t="shared" si="4"/>
        <v>5700</v>
      </c>
    </row>
    <row r="311" spans="1:11" ht="15" customHeight="1">
      <c r="A311" s="99">
        <v>39526</v>
      </c>
      <c r="B311" s="84">
        <v>5650</v>
      </c>
      <c r="C311" s="84">
        <v>5750</v>
      </c>
      <c r="D311" s="84">
        <f t="shared" si="4"/>
        <v>5700</v>
      </c>
    </row>
    <row r="312" spans="1:11" ht="15" customHeight="1">
      <c r="A312" s="99">
        <v>39527</v>
      </c>
      <c r="B312" s="84">
        <v>5650</v>
      </c>
      <c r="C312" s="84">
        <v>5750</v>
      </c>
      <c r="D312" s="84">
        <f t="shared" si="4"/>
        <v>5700</v>
      </c>
    </row>
    <row r="313" spans="1:11" ht="15" customHeight="1">
      <c r="A313" s="99">
        <v>39528</v>
      </c>
      <c r="B313" s="1058" t="s">
        <v>52</v>
      </c>
      <c r="C313" s="1058"/>
      <c r="D313" s="1058"/>
      <c r="E313" s="1058"/>
      <c r="F313" s="1058"/>
      <c r="G313" s="1058"/>
      <c r="H313" s="102"/>
      <c r="I313" s="102"/>
      <c r="J313" s="102"/>
      <c r="K313" s="102"/>
    </row>
    <row r="314" spans="1:11" ht="15" customHeight="1">
      <c r="A314" s="99">
        <v>39531</v>
      </c>
      <c r="B314" s="1058"/>
      <c r="C314" s="1058"/>
      <c r="D314" s="1058"/>
      <c r="E314" s="1058"/>
      <c r="F314" s="1058"/>
      <c r="G314" s="1058"/>
      <c r="H314" s="102"/>
      <c r="I314" s="102"/>
      <c r="J314" s="102"/>
      <c r="K314" s="102"/>
    </row>
    <row r="315" spans="1:11" ht="15" customHeight="1">
      <c r="A315" s="99">
        <v>39532</v>
      </c>
      <c r="B315" s="84">
        <v>5650</v>
      </c>
      <c r="C315" s="84">
        <v>5750</v>
      </c>
      <c r="D315" s="84">
        <f t="shared" ref="D315:D378" si="5">AVERAGE(B315:C315)</f>
        <v>5700</v>
      </c>
    </row>
    <row r="316" spans="1:11" ht="15" customHeight="1">
      <c r="A316" s="99">
        <v>39533</v>
      </c>
      <c r="B316" s="84">
        <v>5650</v>
      </c>
      <c r="C316" s="84">
        <v>5750</v>
      </c>
      <c r="D316" s="84">
        <f t="shared" si="5"/>
        <v>5700</v>
      </c>
    </row>
    <row r="317" spans="1:11" ht="15" customHeight="1">
      <c r="A317" s="99">
        <v>39534</v>
      </c>
      <c r="B317" s="84">
        <v>5650</v>
      </c>
      <c r="C317" s="84">
        <v>5750</v>
      </c>
      <c r="D317" s="84">
        <f t="shared" si="5"/>
        <v>5700</v>
      </c>
    </row>
    <row r="318" spans="1:11" ht="15" customHeight="1">
      <c r="A318" s="99">
        <v>39535</v>
      </c>
      <c r="B318" s="84">
        <v>5650</v>
      </c>
      <c r="C318" s="84">
        <v>5750</v>
      </c>
      <c r="D318" s="84">
        <f t="shared" si="5"/>
        <v>5700</v>
      </c>
    </row>
    <row r="319" spans="1:11" ht="15" customHeight="1" thickBot="1">
      <c r="A319" s="100">
        <v>39538</v>
      </c>
      <c r="B319" s="89">
        <v>5650</v>
      </c>
      <c r="C319" s="89">
        <v>5750</v>
      </c>
      <c r="D319" s="89">
        <f t="shared" si="5"/>
        <v>5700</v>
      </c>
      <c r="E319" s="91">
        <f>AVERAGE(D299:D319)</f>
        <v>5792.105263157895</v>
      </c>
      <c r="F319" s="91"/>
      <c r="G319" s="92">
        <f>AVERAGE(D256:D319)</f>
        <v>5732.4193548387093</v>
      </c>
    </row>
    <row r="320" spans="1:11" ht="15" customHeight="1">
      <c r="A320" s="99">
        <v>39539</v>
      </c>
      <c r="B320" s="84">
        <v>5650</v>
      </c>
      <c r="C320" s="84">
        <v>5750</v>
      </c>
      <c r="D320" s="84">
        <f t="shared" si="5"/>
        <v>5700</v>
      </c>
    </row>
    <row r="321" spans="1:4" ht="15" customHeight="1">
      <c r="A321" s="99">
        <v>39540</v>
      </c>
      <c r="B321" s="84">
        <v>5650</v>
      </c>
      <c r="C321" s="84">
        <v>5750</v>
      </c>
      <c r="D321" s="84">
        <f t="shared" si="5"/>
        <v>5700</v>
      </c>
    </row>
    <row r="322" spans="1:4" ht="15" customHeight="1">
      <c r="A322" s="99">
        <v>39541</v>
      </c>
      <c r="B322" s="84">
        <v>5650</v>
      </c>
      <c r="C322" s="84">
        <v>5750</v>
      </c>
      <c r="D322" s="84">
        <f t="shared" si="5"/>
        <v>5700</v>
      </c>
    </row>
    <row r="323" spans="1:4" ht="15" customHeight="1">
      <c r="A323" s="99">
        <v>39542</v>
      </c>
      <c r="B323" s="84">
        <v>5650</v>
      </c>
      <c r="C323" s="84">
        <v>5750</v>
      </c>
      <c r="D323" s="84">
        <f t="shared" si="5"/>
        <v>5700</v>
      </c>
    </row>
    <row r="324" spans="1:4" ht="15" customHeight="1">
      <c r="A324" s="99">
        <v>39545</v>
      </c>
      <c r="B324" s="84">
        <v>5650</v>
      </c>
      <c r="C324" s="84">
        <v>5750</v>
      </c>
      <c r="D324" s="84">
        <f t="shared" si="5"/>
        <v>5700</v>
      </c>
    </row>
    <row r="325" spans="1:4" ht="15" customHeight="1">
      <c r="A325" s="99">
        <v>39546</v>
      </c>
      <c r="B325" s="84">
        <v>5650</v>
      </c>
      <c r="C325" s="84">
        <v>5750</v>
      </c>
      <c r="D325" s="84">
        <f t="shared" si="5"/>
        <v>5700</v>
      </c>
    </row>
    <row r="326" spans="1:4" ht="15" customHeight="1">
      <c r="A326" s="99">
        <v>39547</v>
      </c>
      <c r="B326" s="84">
        <v>5650</v>
      </c>
      <c r="C326" s="84">
        <v>5750</v>
      </c>
      <c r="D326" s="84">
        <f t="shared" si="5"/>
        <v>5700</v>
      </c>
    </row>
    <row r="327" spans="1:4" ht="15" customHeight="1">
      <c r="A327" s="99">
        <v>39548</v>
      </c>
      <c r="B327" s="84">
        <v>5800</v>
      </c>
      <c r="C327" s="84">
        <v>5900</v>
      </c>
      <c r="D327" s="84">
        <f t="shared" si="5"/>
        <v>5850</v>
      </c>
    </row>
    <row r="328" spans="1:4" ht="15" customHeight="1">
      <c r="A328" s="99">
        <v>39549</v>
      </c>
      <c r="B328" s="84">
        <v>5800</v>
      </c>
      <c r="C328" s="84">
        <v>5900</v>
      </c>
      <c r="D328" s="84">
        <f t="shared" si="5"/>
        <v>5850</v>
      </c>
    </row>
    <row r="329" spans="1:4" ht="15" customHeight="1">
      <c r="A329" s="99">
        <v>39552</v>
      </c>
      <c r="B329" s="84">
        <v>5800</v>
      </c>
      <c r="C329" s="84">
        <v>5900</v>
      </c>
      <c r="D329" s="84">
        <f t="shared" si="5"/>
        <v>5850</v>
      </c>
    </row>
    <row r="330" spans="1:4" ht="15" customHeight="1">
      <c r="A330" s="99">
        <v>39553</v>
      </c>
      <c r="B330" s="84">
        <v>5800</v>
      </c>
      <c r="C330" s="84">
        <v>5900</v>
      </c>
      <c r="D330" s="84">
        <f t="shared" si="5"/>
        <v>5850</v>
      </c>
    </row>
    <row r="331" spans="1:4" ht="15" customHeight="1">
      <c r="A331" s="99">
        <v>39554</v>
      </c>
      <c r="B331" s="84">
        <v>5800</v>
      </c>
      <c r="C331" s="84">
        <v>5900</v>
      </c>
      <c r="D331" s="84">
        <f t="shared" si="5"/>
        <v>5850</v>
      </c>
    </row>
    <row r="332" spans="1:4" ht="15" customHeight="1">
      <c r="A332" s="99">
        <v>39555</v>
      </c>
      <c r="B332" s="84">
        <v>5800</v>
      </c>
      <c r="C332" s="84">
        <v>5900</v>
      </c>
      <c r="D332" s="84">
        <f t="shared" si="5"/>
        <v>5850</v>
      </c>
    </row>
    <row r="333" spans="1:4" ht="15" customHeight="1">
      <c r="A333" s="99">
        <v>39556</v>
      </c>
      <c r="B333" s="84">
        <v>5850</v>
      </c>
      <c r="C333" s="84">
        <v>5950</v>
      </c>
      <c r="D333" s="84">
        <f t="shared" si="5"/>
        <v>5900</v>
      </c>
    </row>
    <row r="334" spans="1:4" ht="15" customHeight="1">
      <c r="A334" s="99">
        <v>39559</v>
      </c>
      <c r="B334" s="84">
        <v>5850</v>
      </c>
      <c r="C334" s="84">
        <v>5950</v>
      </c>
      <c r="D334" s="84">
        <f t="shared" si="5"/>
        <v>5900</v>
      </c>
    </row>
    <row r="335" spans="1:4" ht="15" customHeight="1">
      <c r="A335" s="99">
        <v>39560</v>
      </c>
      <c r="B335" s="84">
        <v>5850</v>
      </c>
      <c r="C335" s="84">
        <v>5950</v>
      </c>
      <c r="D335" s="84">
        <f t="shared" si="5"/>
        <v>5900</v>
      </c>
    </row>
    <row r="336" spans="1:4" ht="15" customHeight="1">
      <c r="A336" s="99">
        <v>39561</v>
      </c>
      <c r="B336" s="84">
        <v>5850</v>
      </c>
      <c r="C336" s="84">
        <v>5950</v>
      </c>
      <c r="D336" s="84">
        <f t="shared" si="5"/>
        <v>5900</v>
      </c>
    </row>
    <row r="337" spans="1:9" ht="15" customHeight="1">
      <c r="A337" s="99">
        <v>39562</v>
      </c>
      <c r="B337" s="84">
        <v>5850</v>
      </c>
      <c r="C337" s="84">
        <v>5950</v>
      </c>
      <c r="D337" s="84">
        <f t="shared" si="5"/>
        <v>5900</v>
      </c>
    </row>
    <row r="338" spans="1:9" ht="15" customHeight="1">
      <c r="A338" s="99">
        <v>39563</v>
      </c>
      <c r="B338" s="84">
        <v>5850</v>
      </c>
      <c r="C338" s="84">
        <v>5950</v>
      </c>
      <c r="D338" s="84">
        <f t="shared" si="5"/>
        <v>5900</v>
      </c>
    </row>
    <row r="339" spans="1:9" ht="15" customHeight="1">
      <c r="A339" s="99">
        <v>39566</v>
      </c>
      <c r="B339" s="84">
        <v>5850</v>
      </c>
      <c r="C339" s="84">
        <v>5950</v>
      </c>
      <c r="D339" s="84">
        <f t="shared" si="5"/>
        <v>5900</v>
      </c>
    </row>
    <row r="340" spans="1:9" ht="15" customHeight="1">
      <c r="A340" s="99">
        <v>39567</v>
      </c>
      <c r="B340" s="84">
        <v>5850</v>
      </c>
      <c r="C340" s="84">
        <v>5950</v>
      </c>
      <c r="D340" s="84">
        <f t="shared" si="5"/>
        <v>5900</v>
      </c>
    </row>
    <row r="341" spans="1:9" ht="15" customHeight="1" thickBot="1">
      <c r="A341" s="100">
        <v>39568</v>
      </c>
      <c r="B341" s="89">
        <v>6000</v>
      </c>
      <c r="C341" s="89">
        <v>6200</v>
      </c>
      <c r="D341" s="89">
        <f t="shared" si="5"/>
        <v>6100</v>
      </c>
      <c r="E341" s="91">
        <f>AVERAGE(D320:D341)</f>
        <v>5831.818181818182</v>
      </c>
      <c r="F341" s="91"/>
      <c r="G341" s="92"/>
    </row>
    <row r="342" spans="1:9" ht="15" customHeight="1">
      <c r="A342" s="99">
        <v>39569</v>
      </c>
      <c r="B342" s="84">
        <v>6000</v>
      </c>
      <c r="C342" s="84">
        <v>6200</v>
      </c>
      <c r="D342" s="84">
        <f t="shared" si="5"/>
        <v>6100</v>
      </c>
    </row>
    <row r="343" spans="1:9" ht="15" customHeight="1">
      <c r="A343" s="99">
        <v>39570</v>
      </c>
      <c r="B343" s="84">
        <v>6000</v>
      </c>
      <c r="C343" s="84">
        <v>6200</v>
      </c>
      <c r="D343" s="84">
        <f t="shared" si="5"/>
        <v>6100</v>
      </c>
    </row>
    <row r="344" spans="1:9" ht="15" customHeight="1">
      <c r="A344" s="99">
        <v>39573</v>
      </c>
      <c r="B344" s="1058" t="s">
        <v>10</v>
      </c>
      <c r="C344" s="1058"/>
      <c r="D344" s="1058"/>
      <c r="E344" s="1058"/>
      <c r="F344" s="1058"/>
      <c r="G344" s="1058"/>
      <c r="H344" s="1058"/>
      <c r="I344" s="1058"/>
    </row>
    <row r="345" spans="1:9" ht="15" customHeight="1">
      <c r="A345" s="99">
        <v>39574</v>
      </c>
      <c r="B345" s="84">
        <v>6000</v>
      </c>
      <c r="C345" s="84">
        <v>6200</v>
      </c>
      <c r="D345" s="84">
        <f t="shared" si="5"/>
        <v>6100</v>
      </c>
    </row>
    <row r="346" spans="1:9" ht="15" customHeight="1">
      <c r="A346" s="99">
        <v>39575</v>
      </c>
      <c r="B346" s="84">
        <v>6000</v>
      </c>
      <c r="C346" s="84">
        <v>6200</v>
      </c>
      <c r="D346" s="84">
        <f t="shared" si="5"/>
        <v>6100</v>
      </c>
    </row>
    <row r="347" spans="1:9" ht="15" customHeight="1">
      <c r="A347" s="99">
        <v>39576</v>
      </c>
      <c r="B347" s="84">
        <v>6000</v>
      </c>
      <c r="C347" s="84">
        <v>6200</v>
      </c>
      <c r="D347" s="84">
        <f t="shared" si="5"/>
        <v>6100</v>
      </c>
    </row>
    <row r="348" spans="1:9" ht="15" customHeight="1">
      <c r="A348" s="99">
        <v>39577</v>
      </c>
      <c r="B348" s="84">
        <v>6250</v>
      </c>
      <c r="C348" s="84">
        <v>6400</v>
      </c>
      <c r="D348" s="84">
        <f t="shared" si="5"/>
        <v>6325</v>
      </c>
    </row>
    <row r="349" spans="1:9" ht="15" customHeight="1">
      <c r="A349" s="99">
        <v>39580</v>
      </c>
      <c r="B349" s="84">
        <v>6250</v>
      </c>
      <c r="C349" s="84">
        <v>6400</v>
      </c>
      <c r="D349" s="84">
        <f t="shared" si="5"/>
        <v>6325</v>
      </c>
    </row>
    <row r="350" spans="1:9" ht="15" customHeight="1">
      <c r="A350" s="99">
        <v>39581</v>
      </c>
      <c r="B350" s="84">
        <v>6250</v>
      </c>
      <c r="C350" s="84">
        <v>6400</v>
      </c>
      <c r="D350" s="84">
        <f t="shared" si="5"/>
        <v>6325</v>
      </c>
    </row>
    <row r="351" spans="1:9" ht="15" customHeight="1">
      <c r="A351" s="99">
        <v>39582</v>
      </c>
      <c r="B351" s="84">
        <v>6250</v>
      </c>
      <c r="C351" s="84">
        <v>6400</v>
      </c>
      <c r="D351" s="84">
        <f t="shared" si="5"/>
        <v>6325</v>
      </c>
    </row>
    <row r="352" spans="1:9" ht="15" customHeight="1">
      <c r="A352" s="99">
        <v>39583</v>
      </c>
      <c r="B352" s="84">
        <v>6350</v>
      </c>
      <c r="C352" s="84">
        <v>6450</v>
      </c>
      <c r="D352" s="84">
        <f t="shared" si="5"/>
        <v>6400</v>
      </c>
    </row>
    <row r="353" spans="1:9" ht="15" customHeight="1">
      <c r="A353" s="99">
        <v>39584</v>
      </c>
      <c r="B353" s="84">
        <v>6350</v>
      </c>
      <c r="C353" s="84">
        <v>6450</v>
      </c>
      <c r="D353" s="84">
        <f t="shared" si="5"/>
        <v>6400</v>
      </c>
    </row>
    <row r="354" spans="1:9" ht="15" customHeight="1">
      <c r="A354" s="99">
        <v>39587</v>
      </c>
      <c r="B354" s="84">
        <v>6350</v>
      </c>
      <c r="C354" s="84">
        <v>6450</v>
      </c>
      <c r="D354" s="84">
        <f t="shared" si="5"/>
        <v>6400</v>
      </c>
    </row>
    <row r="355" spans="1:9" ht="15" customHeight="1">
      <c r="A355" s="99">
        <v>39588</v>
      </c>
      <c r="B355" s="84">
        <v>6350</v>
      </c>
      <c r="C355" s="84">
        <v>6450</v>
      </c>
      <c r="D355" s="84">
        <f t="shared" si="5"/>
        <v>6400</v>
      </c>
    </row>
    <row r="356" spans="1:9" ht="15" customHeight="1">
      <c r="A356" s="99">
        <v>39589</v>
      </c>
      <c r="B356" s="84">
        <v>6350</v>
      </c>
      <c r="C356" s="84">
        <v>6450</v>
      </c>
      <c r="D356" s="84">
        <f t="shared" si="5"/>
        <v>6400</v>
      </c>
    </row>
    <row r="357" spans="1:9" ht="15" customHeight="1">
      <c r="A357" s="99">
        <v>39590</v>
      </c>
      <c r="B357" s="84">
        <v>6350</v>
      </c>
      <c r="C357" s="84">
        <v>6450</v>
      </c>
      <c r="D357" s="84">
        <f t="shared" si="5"/>
        <v>6400</v>
      </c>
    </row>
    <row r="358" spans="1:9" ht="15" customHeight="1">
      <c r="A358" s="99">
        <v>39501</v>
      </c>
      <c r="B358" s="84">
        <v>6350</v>
      </c>
      <c r="C358" s="84">
        <v>6450</v>
      </c>
      <c r="D358" s="84">
        <f t="shared" si="5"/>
        <v>6400</v>
      </c>
    </row>
    <row r="359" spans="1:9" ht="15" customHeight="1">
      <c r="A359" s="99">
        <v>39594</v>
      </c>
      <c r="B359" s="1058" t="s">
        <v>53</v>
      </c>
      <c r="C359" s="1058"/>
      <c r="D359" s="1058"/>
      <c r="E359" s="1058"/>
      <c r="F359" s="1058"/>
      <c r="G359" s="1058"/>
      <c r="H359" s="1058"/>
      <c r="I359" s="1058"/>
    </row>
    <row r="360" spans="1:9" ht="15" customHeight="1">
      <c r="A360" s="99">
        <v>39595</v>
      </c>
      <c r="B360" s="84">
        <v>6350</v>
      </c>
      <c r="C360" s="84">
        <v>6450</v>
      </c>
      <c r="D360" s="84">
        <f t="shared" si="5"/>
        <v>6400</v>
      </c>
    </row>
    <row r="361" spans="1:9" ht="15" customHeight="1">
      <c r="A361" s="99">
        <v>39596</v>
      </c>
      <c r="B361" s="84">
        <v>6350</v>
      </c>
      <c r="C361" s="84">
        <v>6450</v>
      </c>
      <c r="D361" s="84">
        <f t="shared" si="5"/>
        <v>6400</v>
      </c>
    </row>
    <row r="362" spans="1:9" ht="15" customHeight="1">
      <c r="A362" s="99">
        <v>39597</v>
      </c>
      <c r="B362" s="84">
        <v>6350</v>
      </c>
      <c r="C362" s="84">
        <v>6450</v>
      </c>
      <c r="D362" s="84">
        <f t="shared" si="5"/>
        <v>6400</v>
      </c>
    </row>
    <row r="363" spans="1:9" ht="15" customHeight="1" thickBot="1">
      <c r="A363" s="100">
        <v>39598</v>
      </c>
      <c r="B363" s="89">
        <v>6350</v>
      </c>
      <c r="C363" s="89">
        <v>6450</v>
      </c>
      <c r="D363" s="89">
        <f t="shared" si="5"/>
        <v>6400</v>
      </c>
      <c r="E363" s="91">
        <f>AVERAGE(D342:D363)</f>
        <v>6310</v>
      </c>
      <c r="F363" s="91"/>
      <c r="G363" s="92"/>
    </row>
    <row r="364" spans="1:9" ht="15" customHeight="1">
      <c r="A364" s="99">
        <v>39601</v>
      </c>
      <c r="B364" s="84">
        <v>6350</v>
      </c>
      <c r="C364" s="84">
        <v>6450</v>
      </c>
      <c r="D364" s="84">
        <f t="shared" si="5"/>
        <v>6400</v>
      </c>
    </row>
    <row r="365" spans="1:9" ht="15" customHeight="1">
      <c r="A365" s="99">
        <v>39602</v>
      </c>
      <c r="B365" s="84">
        <v>6350</v>
      </c>
      <c r="C365" s="84">
        <v>6450</v>
      </c>
      <c r="D365" s="84">
        <f t="shared" si="5"/>
        <v>6400</v>
      </c>
    </row>
    <row r="366" spans="1:9" ht="15" customHeight="1">
      <c r="A366" s="99">
        <v>39603</v>
      </c>
      <c r="B366" s="84">
        <v>6350</v>
      </c>
      <c r="C366" s="84">
        <v>6450</v>
      </c>
      <c r="D366" s="84">
        <f t="shared" si="5"/>
        <v>6400</v>
      </c>
    </row>
    <row r="367" spans="1:9" ht="15" customHeight="1">
      <c r="A367" s="99">
        <v>39604</v>
      </c>
      <c r="B367" s="84">
        <v>6350</v>
      </c>
      <c r="C367" s="84">
        <v>6450</v>
      </c>
      <c r="D367" s="84">
        <f t="shared" si="5"/>
        <v>6400</v>
      </c>
    </row>
    <row r="368" spans="1:9" ht="15" customHeight="1">
      <c r="A368" s="99">
        <v>39605</v>
      </c>
      <c r="B368" s="84">
        <v>6350</v>
      </c>
      <c r="C368" s="84">
        <v>6450</v>
      </c>
      <c r="D368" s="84">
        <f t="shared" si="5"/>
        <v>6400</v>
      </c>
    </row>
    <row r="369" spans="1:9" ht="15" customHeight="1">
      <c r="A369" s="99">
        <v>39608</v>
      </c>
      <c r="B369" s="84">
        <v>6350</v>
      </c>
      <c r="C369" s="84">
        <v>6450</v>
      </c>
      <c r="D369" s="84">
        <f t="shared" si="5"/>
        <v>6400</v>
      </c>
    </row>
    <row r="370" spans="1:9" ht="15" customHeight="1">
      <c r="A370" s="99">
        <v>39609</v>
      </c>
      <c r="B370" s="84">
        <v>6350</v>
      </c>
      <c r="C370" s="84">
        <v>6450</v>
      </c>
      <c r="D370" s="84">
        <f t="shared" si="5"/>
        <v>6400</v>
      </c>
    </row>
    <row r="371" spans="1:9" ht="15" customHeight="1">
      <c r="A371" s="99">
        <v>39610</v>
      </c>
      <c r="B371" s="84">
        <v>6350</v>
      </c>
      <c r="C371" s="84">
        <v>6450</v>
      </c>
      <c r="D371" s="84">
        <f t="shared" si="5"/>
        <v>6400</v>
      </c>
    </row>
    <row r="372" spans="1:9" ht="15" customHeight="1">
      <c r="A372" s="99">
        <v>39611</v>
      </c>
      <c r="B372" s="84">
        <v>6350</v>
      </c>
      <c r="C372" s="84">
        <v>6450</v>
      </c>
      <c r="D372" s="84">
        <f t="shared" si="5"/>
        <v>6400</v>
      </c>
    </row>
    <row r="373" spans="1:9" ht="15" customHeight="1">
      <c r="A373" s="99">
        <v>39612</v>
      </c>
      <c r="B373" s="84">
        <v>6350</v>
      </c>
      <c r="C373" s="84">
        <v>6450</v>
      </c>
      <c r="D373" s="84">
        <f t="shared" si="5"/>
        <v>6400</v>
      </c>
    </row>
    <row r="374" spans="1:9" ht="15" customHeight="1">
      <c r="A374" s="99">
        <v>39615</v>
      </c>
      <c r="B374" s="84">
        <v>6350</v>
      </c>
      <c r="C374" s="84">
        <v>6450</v>
      </c>
      <c r="D374" s="84">
        <f t="shared" si="5"/>
        <v>6400</v>
      </c>
    </row>
    <row r="375" spans="1:9" ht="15" customHeight="1">
      <c r="A375" s="99">
        <v>39616</v>
      </c>
      <c r="B375" s="84">
        <v>6350</v>
      </c>
      <c r="C375" s="84">
        <v>6450</v>
      </c>
      <c r="D375" s="84">
        <f t="shared" si="5"/>
        <v>6400</v>
      </c>
    </row>
    <row r="376" spans="1:9" ht="15" customHeight="1">
      <c r="A376" s="99">
        <v>39617</v>
      </c>
      <c r="B376" s="84">
        <v>6350</v>
      </c>
      <c r="C376" s="84">
        <v>6450</v>
      </c>
      <c r="D376" s="84">
        <f t="shared" si="5"/>
        <v>6400</v>
      </c>
    </row>
    <row r="377" spans="1:9" ht="15" customHeight="1">
      <c r="A377" s="99">
        <v>39618</v>
      </c>
      <c r="B377" s="84">
        <v>6350</v>
      </c>
      <c r="C377" s="84">
        <v>6450</v>
      </c>
      <c r="D377" s="84">
        <f t="shared" si="5"/>
        <v>6400</v>
      </c>
    </row>
    <row r="378" spans="1:9" ht="15" customHeight="1">
      <c r="A378" s="99">
        <v>39619</v>
      </c>
      <c r="B378" s="84">
        <v>6350</v>
      </c>
      <c r="C378" s="84">
        <v>6450</v>
      </c>
      <c r="D378" s="84">
        <f t="shared" si="5"/>
        <v>6400</v>
      </c>
    </row>
    <row r="379" spans="1:9" ht="15" customHeight="1">
      <c r="A379" s="99">
        <v>39622</v>
      </c>
      <c r="B379" s="84">
        <v>6350</v>
      </c>
      <c r="C379" s="84">
        <v>6450</v>
      </c>
      <c r="D379" s="84">
        <f t="shared" ref="D379:D452" si="6">AVERAGE(B379:C379)</f>
        <v>6400</v>
      </c>
    </row>
    <row r="380" spans="1:9" ht="15" customHeight="1">
      <c r="A380" s="99">
        <v>39623</v>
      </c>
      <c r="B380" s="84">
        <v>6250</v>
      </c>
      <c r="C380" s="84">
        <v>6350</v>
      </c>
      <c r="D380" s="84">
        <f t="shared" si="6"/>
        <v>6300</v>
      </c>
    </row>
    <row r="381" spans="1:9" ht="15" customHeight="1">
      <c r="A381" s="99">
        <v>39624</v>
      </c>
      <c r="B381" s="84">
        <v>6250</v>
      </c>
      <c r="C381" s="84">
        <v>6350</v>
      </c>
      <c r="D381" s="84">
        <f t="shared" si="6"/>
        <v>6300</v>
      </c>
    </row>
    <row r="382" spans="1:9" ht="15" customHeight="1">
      <c r="A382" s="99">
        <v>39625</v>
      </c>
      <c r="B382" s="84">
        <v>6250</v>
      </c>
      <c r="C382" s="84">
        <v>6350</v>
      </c>
      <c r="D382" s="84">
        <f t="shared" si="6"/>
        <v>6300</v>
      </c>
    </row>
    <row r="383" spans="1:9" ht="15" customHeight="1">
      <c r="A383" s="99">
        <v>39626</v>
      </c>
      <c r="B383" s="84">
        <v>6250</v>
      </c>
      <c r="C383" s="84">
        <v>6350</v>
      </c>
      <c r="D383" s="84">
        <f t="shared" si="6"/>
        <v>6300</v>
      </c>
    </row>
    <row r="384" spans="1:9" ht="15" customHeight="1" thickBot="1">
      <c r="A384" s="100">
        <v>39629</v>
      </c>
      <c r="B384" s="89">
        <v>6250</v>
      </c>
      <c r="C384" s="89">
        <v>6350</v>
      </c>
      <c r="D384" s="89">
        <f t="shared" si="6"/>
        <v>6300</v>
      </c>
      <c r="E384" s="91">
        <f>AVERAGE(D364:D384)</f>
        <v>6376.1904761904761</v>
      </c>
      <c r="F384" s="91"/>
      <c r="G384" s="92">
        <f>AVERAGE(D320:D384)</f>
        <v>6165.0793650793648</v>
      </c>
      <c r="H384" s="103">
        <v>1016.72</v>
      </c>
      <c r="I384" s="104">
        <f>+H384*G384</f>
        <v>6268159.4920634916</v>
      </c>
    </row>
    <row r="385" spans="1:4" ht="15" customHeight="1">
      <c r="A385" s="99">
        <v>39630</v>
      </c>
      <c r="B385" s="84">
        <v>6250</v>
      </c>
      <c r="C385" s="84">
        <v>6350</v>
      </c>
      <c r="D385" s="84">
        <f t="shared" si="6"/>
        <v>6300</v>
      </c>
    </row>
    <row r="386" spans="1:4" ht="15" customHeight="1">
      <c r="A386" s="99">
        <v>39631</v>
      </c>
      <c r="B386" s="84">
        <v>6250</v>
      </c>
      <c r="C386" s="84">
        <v>6350</v>
      </c>
      <c r="D386" s="84">
        <f t="shared" si="6"/>
        <v>6300</v>
      </c>
    </row>
    <row r="387" spans="1:4" ht="15" customHeight="1">
      <c r="A387" s="99">
        <v>39632</v>
      </c>
      <c r="B387" s="84">
        <v>6250</v>
      </c>
      <c r="C387" s="84">
        <v>6350</v>
      </c>
      <c r="D387" s="84">
        <f t="shared" si="6"/>
        <v>6300</v>
      </c>
    </row>
    <row r="388" spans="1:4" ht="15" customHeight="1">
      <c r="A388" s="99">
        <v>39633</v>
      </c>
      <c r="B388" s="84">
        <v>6250</v>
      </c>
      <c r="C388" s="84">
        <v>6350</v>
      </c>
      <c r="D388" s="84">
        <f t="shared" si="6"/>
        <v>6300</v>
      </c>
    </row>
    <row r="389" spans="1:4" ht="15" customHeight="1">
      <c r="A389" s="99">
        <v>39636</v>
      </c>
      <c r="B389" s="84">
        <v>6250</v>
      </c>
      <c r="C389" s="84">
        <v>6350</v>
      </c>
      <c r="D389" s="84">
        <f t="shared" si="6"/>
        <v>6300</v>
      </c>
    </row>
    <row r="390" spans="1:4" ht="15" customHeight="1">
      <c r="A390" s="99">
        <v>39637</v>
      </c>
      <c r="B390" s="84">
        <v>6250</v>
      </c>
      <c r="C390" s="84">
        <v>6350</v>
      </c>
      <c r="D390" s="84">
        <f t="shared" si="6"/>
        <v>6300</v>
      </c>
    </row>
    <row r="391" spans="1:4" ht="15" customHeight="1">
      <c r="A391" s="99">
        <v>39638</v>
      </c>
      <c r="B391" s="84">
        <v>6250</v>
      </c>
      <c r="C391" s="84">
        <v>6350</v>
      </c>
      <c r="D391" s="84">
        <f t="shared" si="6"/>
        <v>6300</v>
      </c>
    </row>
    <row r="392" spans="1:4" ht="15" customHeight="1">
      <c r="A392" s="99">
        <v>39639</v>
      </c>
      <c r="B392" s="84">
        <v>6250</v>
      </c>
      <c r="C392" s="84">
        <v>6350</v>
      </c>
      <c r="D392" s="84">
        <f t="shared" si="6"/>
        <v>6300</v>
      </c>
    </row>
    <row r="393" spans="1:4" ht="15" customHeight="1">
      <c r="A393" s="99">
        <v>39640</v>
      </c>
      <c r="B393" s="84">
        <v>6250</v>
      </c>
      <c r="C393" s="84">
        <v>6350</v>
      </c>
      <c r="D393" s="84">
        <f t="shared" si="6"/>
        <v>6300</v>
      </c>
    </row>
    <row r="394" spans="1:4" ht="15" customHeight="1">
      <c r="A394" s="99">
        <v>39643</v>
      </c>
      <c r="B394" s="84">
        <v>6250</v>
      </c>
      <c r="C394" s="84">
        <v>6350</v>
      </c>
      <c r="D394" s="84">
        <f t="shared" si="6"/>
        <v>6300</v>
      </c>
    </row>
    <row r="395" spans="1:4" ht="15" customHeight="1">
      <c r="A395" s="99">
        <v>39644</v>
      </c>
      <c r="B395" s="84">
        <v>6250</v>
      </c>
      <c r="C395" s="84">
        <v>6350</v>
      </c>
      <c r="D395" s="84">
        <f t="shared" si="6"/>
        <v>6300</v>
      </c>
    </row>
    <row r="396" spans="1:4" ht="15" customHeight="1">
      <c r="A396" s="99">
        <v>39645</v>
      </c>
      <c r="B396" s="84">
        <v>6250</v>
      </c>
      <c r="C396" s="84">
        <v>6350</v>
      </c>
      <c r="D396" s="84">
        <f t="shared" si="6"/>
        <v>6300</v>
      </c>
    </row>
    <row r="397" spans="1:4" ht="15" customHeight="1">
      <c r="A397" s="99">
        <v>39646</v>
      </c>
      <c r="B397" s="84">
        <v>6250</v>
      </c>
      <c r="C397" s="84">
        <v>6350</v>
      </c>
      <c r="D397" s="84">
        <f t="shared" si="6"/>
        <v>6300</v>
      </c>
    </row>
    <row r="398" spans="1:4" ht="15" customHeight="1">
      <c r="A398" s="99">
        <v>39647</v>
      </c>
      <c r="B398" s="84">
        <v>6250</v>
      </c>
      <c r="C398" s="84">
        <v>6350</v>
      </c>
      <c r="D398" s="84">
        <f t="shared" si="6"/>
        <v>6300</v>
      </c>
    </row>
    <row r="399" spans="1:4" ht="15" customHeight="1">
      <c r="A399" s="99">
        <v>39650</v>
      </c>
      <c r="B399" s="84">
        <v>6250</v>
      </c>
      <c r="C399" s="84">
        <v>6350</v>
      </c>
      <c r="D399" s="84">
        <f t="shared" si="6"/>
        <v>6300</v>
      </c>
    </row>
    <row r="400" spans="1:4" ht="15" customHeight="1">
      <c r="A400" s="99">
        <v>39651</v>
      </c>
      <c r="B400" s="84">
        <v>6250</v>
      </c>
      <c r="C400" s="84">
        <v>6350</v>
      </c>
      <c r="D400" s="84">
        <f t="shared" si="6"/>
        <v>6300</v>
      </c>
    </row>
    <row r="401" spans="1:7" ht="15" customHeight="1">
      <c r="A401" s="99">
        <v>39652</v>
      </c>
      <c r="B401" s="84">
        <v>6250</v>
      </c>
      <c r="C401" s="84">
        <v>6350</v>
      </c>
      <c r="D401" s="84">
        <f t="shared" si="6"/>
        <v>6300</v>
      </c>
    </row>
    <row r="402" spans="1:7" ht="15" customHeight="1">
      <c r="A402" s="99">
        <v>39653</v>
      </c>
      <c r="B402" s="84">
        <v>6300</v>
      </c>
      <c r="C402" s="84">
        <v>6400</v>
      </c>
      <c r="D402" s="84">
        <f t="shared" si="6"/>
        <v>6350</v>
      </c>
    </row>
    <row r="403" spans="1:7" ht="15" customHeight="1">
      <c r="A403" s="99">
        <v>39654</v>
      </c>
      <c r="B403" s="84">
        <v>6300</v>
      </c>
      <c r="C403" s="84">
        <v>6400</v>
      </c>
      <c r="D403" s="84">
        <f t="shared" si="6"/>
        <v>6350</v>
      </c>
    </row>
    <row r="404" spans="1:7" ht="15" customHeight="1">
      <c r="A404" s="99">
        <v>39657</v>
      </c>
      <c r="B404" s="84">
        <v>6300</v>
      </c>
      <c r="C404" s="84">
        <v>6400</v>
      </c>
      <c r="D404" s="84">
        <f t="shared" si="6"/>
        <v>6350</v>
      </c>
    </row>
    <row r="405" spans="1:7" ht="15" customHeight="1">
      <c r="A405" s="99">
        <v>39658</v>
      </c>
      <c r="B405" s="84">
        <v>6300</v>
      </c>
      <c r="C405" s="84">
        <v>6400</v>
      </c>
      <c r="D405" s="84">
        <f t="shared" si="6"/>
        <v>6350</v>
      </c>
    </row>
    <row r="406" spans="1:7" ht="15" customHeight="1">
      <c r="A406" s="99">
        <v>39659</v>
      </c>
      <c r="B406" s="84">
        <v>6300</v>
      </c>
      <c r="C406" s="84">
        <v>6400</v>
      </c>
      <c r="D406" s="84">
        <f t="shared" si="6"/>
        <v>6350</v>
      </c>
    </row>
    <row r="407" spans="1:7" ht="15" customHeight="1" thickBot="1">
      <c r="A407" s="100">
        <v>39660</v>
      </c>
      <c r="B407" s="89">
        <v>6300</v>
      </c>
      <c r="C407" s="89">
        <v>6400</v>
      </c>
      <c r="D407" s="89">
        <f t="shared" si="6"/>
        <v>6350</v>
      </c>
      <c r="E407" s="91">
        <f>AVERAGE(D385:D407)</f>
        <v>6313.04347826087</v>
      </c>
      <c r="F407" s="91"/>
      <c r="G407" s="92"/>
    </row>
    <row r="408" spans="1:7" ht="15" customHeight="1">
      <c r="A408" s="99">
        <v>39661</v>
      </c>
      <c r="B408" s="84">
        <v>6400</v>
      </c>
      <c r="C408" s="84">
        <v>6500</v>
      </c>
      <c r="D408" s="84">
        <f t="shared" si="6"/>
        <v>6450</v>
      </c>
    </row>
    <row r="409" spans="1:7" ht="15" customHeight="1">
      <c r="A409" s="99">
        <v>39664</v>
      </c>
      <c r="B409" s="84">
        <v>6400</v>
      </c>
      <c r="C409" s="84">
        <v>6500</v>
      </c>
      <c r="D409" s="84">
        <f t="shared" si="6"/>
        <v>6450</v>
      </c>
    </row>
    <row r="410" spans="1:7" ht="15" customHeight="1">
      <c r="A410" s="99">
        <v>39665</v>
      </c>
      <c r="B410" s="84">
        <v>6400</v>
      </c>
      <c r="C410" s="84">
        <v>6500</v>
      </c>
      <c r="D410" s="84">
        <f t="shared" si="6"/>
        <v>6450</v>
      </c>
    </row>
    <row r="411" spans="1:7" ht="15" customHeight="1">
      <c r="A411" s="99">
        <v>39666</v>
      </c>
      <c r="B411" s="84">
        <v>6400</v>
      </c>
      <c r="C411" s="84">
        <v>6500</v>
      </c>
      <c r="D411" s="84">
        <f t="shared" si="6"/>
        <v>6450</v>
      </c>
    </row>
    <row r="412" spans="1:7" ht="15" customHeight="1">
      <c r="A412" s="99">
        <v>39667</v>
      </c>
      <c r="B412" s="84">
        <v>6450</v>
      </c>
      <c r="C412" s="84">
        <v>6550</v>
      </c>
      <c r="D412" s="84">
        <f t="shared" si="6"/>
        <v>6500</v>
      </c>
    </row>
    <row r="413" spans="1:7" ht="15" customHeight="1">
      <c r="A413" s="99">
        <v>39668</v>
      </c>
      <c r="B413" s="84">
        <v>6450</v>
      </c>
      <c r="C413" s="84">
        <v>6550</v>
      </c>
      <c r="D413" s="84">
        <f t="shared" si="6"/>
        <v>6500</v>
      </c>
    </row>
    <row r="414" spans="1:7" ht="15" customHeight="1">
      <c r="A414" s="99">
        <v>39671</v>
      </c>
      <c r="B414" s="84">
        <v>6450</v>
      </c>
      <c r="C414" s="84">
        <v>6550</v>
      </c>
      <c r="D414" s="84">
        <f t="shared" si="6"/>
        <v>6500</v>
      </c>
    </row>
    <row r="415" spans="1:7" ht="15" customHeight="1">
      <c r="A415" s="99">
        <v>39672</v>
      </c>
      <c r="B415" s="84">
        <v>6450</v>
      </c>
      <c r="C415" s="84">
        <v>6550</v>
      </c>
      <c r="D415" s="84">
        <f t="shared" si="6"/>
        <v>6500</v>
      </c>
    </row>
    <row r="416" spans="1:7" ht="15" customHeight="1">
      <c r="A416" s="99">
        <v>39673</v>
      </c>
      <c r="B416" s="84">
        <v>6450</v>
      </c>
      <c r="C416" s="84">
        <v>6550</v>
      </c>
      <c r="D416" s="84">
        <f t="shared" si="6"/>
        <v>6500</v>
      </c>
    </row>
    <row r="417" spans="1:9" ht="15" customHeight="1">
      <c r="A417" s="99">
        <v>39674</v>
      </c>
      <c r="B417" s="84">
        <v>6450</v>
      </c>
      <c r="C417" s="84">
        <v>6550</v>
      </c>
      <c r="D417" s="84">
        <f t="shared" si="6"/>
        <v>6500</v>
      </c>
    </row>
    <row r="418" spans="1:9" ht="15" customHeight="1">
      <c r="A418" s="99">
        <v>39675</v>
      </c>
      <c r="B418" s="84">
        <v>6600</v>
      </c>
      <c r="C418" s="84">
        <v>6700</v>
      </c>
      <c r="D418" s="84">
        <f t="shared" si="6"/>
        <v>6650</v>
      </c>
    </row>
    <row r="419" spans="1:9" ht="15" customHeight="1">
      <c r="A419" s="99">
        <v>39678</v>
      </c>
      <c r="B419" s="84">
        <v>6600</v>
      </c>
      <c r="C419" s="84">
        <v>6700</v>
      </c>
      <c r="D419" s="84">
        <f t="shared" si="6"/>
        <v>6650</v>
      </c>
    </row>
    <row r="420" spans="1:9" ht="15" customHeight="1">
      <c r="A420" s="99">
        <v>39679</v>
      </c>
      <c r="B420" s="84">
        <v>6600</v>
      </c>
      <c r="C420" s="84">
        <v>6700</v>
      </c>
      <c r="D420" s="84">
        <f t="shared" si="6"/>
        <v>6650</v>
      </c>
    </row>
    <row r="421" spans="1:9" ht="15" customHeight="1">
      <c r="A421" s="99">
        <v>39680</v>
      </c>
      <c r="B421" s="84">
        <v>6600</v>
      </c>
      <c r="C421" s="84">
        <v>6700</v>
      </c>
      <c r="D421" s="84">
        <f t="shared" si="6"/>
        <v>6650</v>
      </c>
    </row>
    <row r="422" spans="1:9" ht="15" customHeight="1">
      <c r="A422" s="99">
        <v>39681</v>
      </c>
      <c r="B422" s="84">
        <v>6600</v>
      </c>
      <c r="C422" s="84">
        <v>6700</v>
      </c>
      <c r="D422" s="84">
        <f t="shared" si="6"/>
        <v>6650</v>
      </c>
    </row>
    <row r="423" spans="1:9" ht="15" customHeight="1">
      <c r="A423" s="99">
        <v>39682</v>
      </c>
      <c r="B423" s="84">
        <v>6600</v>
      </c>
      <c r="C423" s="84">
        <v>6700</v>
      </c>
      <c r="D423" s="84">
        <f t="shared" si="6"/>
        <v>6650</v>
      </c>
    </row>
    <row r="424" spans="1:9" ht="15" customHeight="1">
      <c r="A424" s="99">
        <v>39685</v>
      </c>
      <c r="B424" s="1058" t="s">
        <v>54</v>
      </c>
      <c r="C424" s="1058"/>
      <c r="D424" s="1058"/>
      <c r="E424" s="1058"/>
      <c r="F424" s="1058"/>
      <c r="G424" s="1058"/>
      <c r="H424" s="1058"/>
      <c r="I424" s="1058"/>
    </row>
    <row r="425" spans="1:9" ht="15" customHeight="1">
      <c r="A425" s="99">
        <v>39686</v>
      </c>
      <c r="B425" s="84">
        <v>6600</v>
      </c>
      <c r="C425" s="84">
        <v>6700</v>
      </c>
      <c r="D425" s="84">
        <f t="shared" si="6"/>
        <v>6650</v>
      </c>
    </row>
    <row r="426" spans="1:9" ht="15" customHeight="1">
      <c r="A426" s="99">
        <v>39687</v>
      </c>
      <c r="B426" s="84">
        <v>6600</v>
      </c>
      <c r="C426" s="84">
        <v>6700</v>
      </c>
      <c r="D426" s="84">
        <f t="shared" si="6"/>
        <v>6650</v>
      </c>
    </row>
    <row r="427" spans="1:9" ht="15" customHeight="1">
      <c r="A427" s="99">
        <v>39688</v>
      </c>
      <c r="B427" s="84">
        <v>6600</v>
      </c>
      <c r="C427" s="84">
        <v>6700</v>
      </c>
      <c r="D427" s="84">
        <f t="shared" si="6"/>
        <v>6650</v>
      </c>
    </row>
    <row r="428" spans="1:9" ht="15" customHeight="1" thickBot="1">
      <c r="A428" s="100">
        <v>39689</v>
      </c>
      <c r="B428" s="89">
        <v>6600</v>
      </c>
      <c r="C428" s="89">
        <v>6700</v>
      </c>
      <c r="D428" s="89">
        <f t="shared" si="6"/>
        <v>6650</v>
      </c>
      <c r="E428" s="91">
        <f>AVERAGE(D408:D428)</f>
        <v>6565</v>
      </c>
      <c r="F428" s="91"/>
      <c r="G428" s="92"/>
    </row>
    <row r="429" spans="1:9" ht="15" customHeight="1">
      <c r="A429" s="99">
        <v>39692</v>
      </c>
      <c r="B429" s="84">
        <v>6600</v>
      </c>
      <c r="C429" s="84">
        <v>6700</v>
      </c>
      <c r="D429" s="84">
        <f t="shared" si="6"/>
        <v>6650</v>
      </c>
    </row>
    <row r="430" spans="1:9" ht="15" customHeight="1">
      <c r="A430" s="99">
        <v>39693</v>
      </c>
      <c r="B430" s="84">
        <v>6600</v>
      </c>
      <c r="C430" s="84">
        <v>6700</v>
      </c>
      <c r="D430" s="84">
        <f t="shared" si="6"/>
        <v>6650</v>
      </c>
    </row>
    <row r="431" spans="1:9" ht="15" customHeight="1">
      <c r="A431" s="99">
        <v>39694</v>
      </c>
      <c r="B431" s="84">
        <v>6600</v>
      </c>
      <c r="C431" s="84">
        <v>6700</v>
      </c>
      <c r="D431" s="84">
        <f t="shared" si="6"/>
        <v>6650</v>
      </c>
    </row>
    <row r="432" spans="1:9" ht="15" customHeight="1">
      <c r="A432" s="99">
        <v>39695</v>
      </c>
      <c r="B432" s="84">
        <v>6600</v>
      </c>
      <c r="C432" s="84">
        <v>6700</v>
      </c>
      <c r="D432" s="84">
        <f t="shared" si="6"/>
        <v>6650</v>
      </c>
    </row>
    <row r="433" spans="1:4" ht="15" customHeight="1">
      <c r="A433" s="99">
        <v>39696</v>
      </c>
      <c r="B433" s="84">
        <v>6600</v>
      </c>
      <c r="C433" s="84">
        <v>6700</v>
      </c>
      <c r="D433" s="84">
        <f t="shared" si="6"/>
        <v>6650</v>
      </c>
    </row>
    <row r="434" spans="1:4" ht="15" customHeight="1">
      <c r="A434" s="99">
        <v>39699</v>
      </c>
      <c r="B434" s="84">
        <v>6600</v>
      </c>
      <c r="C434" s="84">
        <v>6700</v>
      </c>
      <c r="D434" s="84">
        <f t="shared" si="6"/>
        <v>6650</v>
      </c>
    </row>
    <row r="435" spans="1:4" ht="15" customHeight="1">
      <c r="A435" s="99">
        <v>39700</v>
      </c>
      <c r="B435" s="84">
        <v>6600</v>
      </c>
      <c r="C435" s="84">
        <v>6700</v>
      </c>
      <c r="D435" s="84">
        <f t="shared" si="6"/>
        <v>6650</v>
      </c>
    </row>
    <row r="436" spans="1:4" ht="15" customHeight="1">
      <c r="A436" s="99">
        <v>39701</v>
      </c>
      <c r="B436" s="84">
        <v>6600</v>
      </c>
      <c r="C436" s="84">
        <v>6700</v>
      </c>
      <c r="D436" s="84">
        <f t="shared" si="6"/>
        <v>6650</v>
      </c>
    </row>
    <row r="437" spans="1:4" ht="15" customHeight="1">
      <c r="A437" s="99">
        <v>39702</v>
      </c>
      <c r="B437" s="84">
        <v>6400</v>
      </c>
      <c r="C437" s="84">
        <v>6500</v>
      </c>
      <c r="D437" s="84">
        <f t="shared" si="6"/>
        <v>6450</v>
      </c>
    </row>
    <row r="438" spans="1:4" ht="15" customHeight="1">
      <c r="A438" s="99">
        <v>39703</v>
      </c>
      <c r="B438" s="84">
        <v>6400</v>
      </c>
      <c r="C438" s="84">
        <v>6500</v>
      </c>
      <c r="D438" s="84">
        <f t="shared" si="6"/>
        <v>6450</v>
      </c>
    </row>
    <row r="439" spans="1:4" ht="15" customHeight="1">
      <c r="A439" s="99">
        <v>39706</v>
      </c>
      <c r="B439" s="84">
        <v>6400</v>
      </c>
      <c r="C439" s="84">
        <v>6500</v>
      </c>
      <c r="D439" s="84">
        <f t="shared" si="6"/>
        <v>6450</v>
      </c>
    </row>
    <row r="440" spans="1:4" ht="15" customHeight="1">
      <c r="A440" s="99">
        <v>39707</v>
      </c>
      <c r="B440" s="84">
        <v>6400</v>
      </c>
      <c r="C440" s="84">
        <v>6500</v>
      </c>
      <c r="D440" s="84">
        <f t="shared" si="6"/>
        <v>6450</v>
      </c>
    </row>
    <row r="441" spans="1:4" ht="15" customHeight="1">
      <c r="A441" s="99">
        <v>39708</v>
      </c>
      <c r="B441" s="84">
        <v>6400</v>
      </c>
      <c r="C441" s="84">
        <v>6500</v>
      </c>
      <c r="D441" s="84">
        <f t="shared" si="6"/>
        <v>6450</v>
      </c>
    </row>
    <row r="442" spans="1:4" ht="15" customHeight="1">
      <c r="A442" s="99">
        <v>39709</v>
      </c>
      <c r="B442" s="84">
        <v>6400</v>
      </c>
      <c r="C442" s="84">
        <v>6500</v>
      </c>
      <c r="D442" s="84">
        <f t="shared" si="6"/>
        <v>6450</v>
      </c>
    </row>
    <row r="443" spans="1:4" ht="15" customHeight="1">
      <c r="A443" s="99">
        <v>39710</v>
      </c>
      <c r="B443" s="84">
        <v>6400</v>
      </c>
      <c r="C443" s="84">
        <v>6500</v>
      </c>
      <c r="D443" s="84">
        <f t="shared" si="6"/>
        <v>6450</v>
      </c>
    </row>
    <row r="444" spans="1:4" ht="15" customHeight="1">
      <c r="A444" s="99">
        <v>39713</v>
      </c>
      <c r="B444" s="84">
        <v>6400</v>
      </c>
      <c r="C444" s="84">
        <v>6500</v>
      </c>
      <c r="D444" s="84">
        <f t="shared" si="6"/>
        <v>6450</v>
      </c>
    </row>
    <row r="445" spans="1:4" ht="15" customHeight="1">
      <c r="A445" s="99">
        <v>39714</v>
      </c>
      <c r="B445" s="84">
        <v>6400</v>
      </c>
      <c r="C445" s="84">
        <v>6500</v>
      </c>
      <c r="D445" s="84">
        <f t="shared" si="6"/>
        <v>6450</v>
      </c>
    </row>
    <row r="446" spans="1:4" ht="15" customHeight="1">
      <c r="A446" s="99">
        <v>39715</v>
      </c>
      <c r="B446" s="84">
        <v>6400</v>
      </c>
      <c r="C446" s="84">
        <v>6500</v>
      </c>
      <c r="D446" s="84">
        <f t="shared" si="6"/>
        <v>6450</v>
      </c>
    </row>
    <row r="447" spans="1:4" ht="15" customHeight="1">
      <c r="A447" s="99">
        <v>39716</v>
      </c>
      <c r="B447" s="84">
        <v>6400</v>
      </c>
      <c r="C447" s="84">
        <v>6500</v>
      </c>
      <c r="D447" s="84">
        <f t="shared" si="6"/>
        <v>6450</v>
      </c>
    </row>
    <row r="448" spans="1:4" ht="15" customHeight="1">
      <c r="A448" s="99">
        <v>39717</v>
      </c>
      <c r="B448" s="84">
        <v>6400</v>
      </c>
      <c r="C448" s="84">
        <v>6500</v>
      </c>
      <c r="D448" s="84">
        <f t="shared" si="6"/>
        <v>6450</v>
      </c>
    </row>
    <row r="449" spans="1:9" ht="15" customHeight="1">
      <c r="A449" s="99">
        <v>39720</v>
      </c>
      <c r="B449" s="84">
        <v>6400</v>
      </c>
      <c r="C449" s="84">
        <v>6500</v>
      </c>
      <c r="D449" s="84">
        <f t="shared" si="6"/>
        <v>6450</v>
      </c>
    </row>
    <row r="450" spans="1:9" ht="15" customHeight="1" thickBot="1">
      <c r="A450" s="100">
        <v>39721</v>
      </c>
      <c r="B450" s="89">
        <v>6400</v>
      </c>
      <c r="C450" s="89">
        <v>6500</v>
      </c>
      <c r="D450" s="89">
        <f t="shared" si="6"/>
        <v>6450</v>
      </c>
      <c r="E450" s="91">
        <f>AVERAGE(D429:D450)</f>
        <v>6522.727272727273</v>
      </c>
      <c r="F450" s="91"/>
      <c r="G450" s="92">
        <f>AVERAGE(D385:D450)</f>
        <v>6461.5384615384619</v>
      </c>
      <c r="H450" s="103">
        <v>1062.6400000000001</v>
      </c>
      <c r="I450" s="105">
        <f>+H450*G450</f>
        <v>6866289.2307692319</v>
      </c>
    </row>
    <row r="451" spans="1:9" ht="15" customHeight="1">
      <c r="A451" s="106">
        <v>39722</v>
      </c>
      <c r="B451" s="84">
        <v>6400</v>
      </c>
      <c r="C451" s="84">
        <v>6500</v>
      </c>
      <c r="D451" s="84">
        <f t="shared" si="6"/>
        <v>6450</v>
      </c>
    </row>
    <row r="452" spans="1:9" ht="15" customHeight="1">
      <c r="A452" s="99">
        <v>39723</v>
      </c>
      <c r="B452" s="84">
        <v>6400</v>
      </c>
      <c r="C452" s="84">
        <v>6500</v>
      </c>
      <c r="D452" s="84">
        <f t="shared" si="6"/>
        <v>6450</v>
      </c>
    </row>
    <row r="453" spans="1:9" ht="15" customHeight="1">
      <c r="A453" s="99">
        <v>39724</v>
      </c>
      <c r="B453" s="84">
        <v>6400</v>
      </c>
      <c r="C453" s="84">
        <v>6500</v>
      </c>
      <c r="D453" s="84">
        <f t="shared" ref="D453:D518" si="7">AVERAGE(B453:C453)</f>
        <v>6450</v>
      </c>
    </row>
    <row r="454" spans="1:9" ht="15" customHeight="1">
      <c r="A454" s="99">
        <v>39725</v>
      </c>
      <c r="B454" s="84">
        <v>6400</v>
      </c>
      <c r="C454" s="84">
        <v>6500</v>
      </c>
      <c r="D454" s="84">
        <f t="shared" si="7"/>
        <v>6450</v>
      </c>
    </row>
    <row r="455" spans="1:9" ht="15" customHeight="1">
      <c r="A455" s="99">
        <v>39728</v>
      </c>
      <c r="B455" s="84">
        <v>6400</v>
      </c>
      <c r="C455" s="84">
        <v>6500</v>
      </c>
      <c r="D455" s="84">
        <f t="shared" si="7"/>
        <v>6450</v>
      </c>
    </row>
    <row r="456" spans="1:9" ht="15" customHeight="1">
      <c r="A456" s="99">
        <v>39729</v>
      </c>
      <c r="B456" s="84">
        <v>6450</v>
      </c>
      <c r="C456" s="84">
        <v>6550</v>
      </c>
      <c r="D456" s="84">
        <f t="shared" si="7"/>
        <v>6500</v>
      </c>
    </row>
    <row r="457" spans="1:9" ht="15" customHeight="1">
      <c r="A457" s="99">
        <v>39730</v>
      </c>
      <c r="B457" s="84">
        <v>6450</v>
      </c>
      <c r="C457" s="84">
        <v>6550</v>
      </c>
      <c r="D457" s="84">
        <f t="shared" si="7"/>
        <v>6500</v>
      </c>
    </row>
    <row r="458" spans="1:9" ht="15" customHeight="1">
      <c r="A458" s="99">
        <v>39731</v>
      </c>
      <c r="B458" s="84">
        <v>6450</v>
      </c>
      <c r="C458" s="84">
        <v>6550</v>
      </c>
      <c r="D458" s="84">
        <f t="shared" si="7"/>
        <v>6500</v>
      </c>
    </row>
    <row r="459" spans="1:9" ht="15" customHeight="1">
      <c r="A459" s="99">
        <v>39734</v>
      </c>
      <c r="B459" s="84">
        <v>6450</v>
      </c>
      <c r="C459" s="84">
        <v>6550</v>
      </c>
      <c r="D459" s="84">
        <f t="shared" si="7"/>
        <v>6500</v>
      </c>
    </row>
    <row r="460" spans="1:9" ht="15" customHeight="1">
      <c r="A460" s="99">
        <v>39735</v>
      </c>
      <c r="B460" s="84">
        <v>6450</v>
      </c>
      <c r="C460" s="84">
        <v>6550</v>
      </c>
      <c r="D460" s="84">
        <f t="shared" si="7"/>
        <v>6500</v>
      </c>
    </row>
    <row r="461" spans="1:9" ht="15" customHeight="1">
      <c r="A461" s="99">
        <v>39736</v>
      </c>
      <c r="B461" s="84">
        <v>6450</v>
      </c>
      <c r="C461" s="84">
        <v>6550</v>
      </c>
      <c r="D461" s="84">
        <f t="shared" si="7"/>
        <v>6500</v>
      </c>
    </row>
    <row r="462" spans="1:9" ht="15" customHeight="1">
      <c r="A462" s="99">
        <v>39737</v>
      </c>
      <c r="B462" s="84">
        <v>6450</v>
      </c>
      <c r="C462" s="84">
        <v>6550</v>
      </c>
      <c r="D462" s="84">
        <f t="shared" si="7"/>
        <v>6500</v>
      </c>
    </row>
    <row r="463" spans="1:9" ht="15" customHeight="1">
      <c r="A463" s="99">
        <v>39738</v>
      </c>
      <c r="B463" s="84">
        <v>6450</v>
      </c>
      <c r="C463" s="84">
        <v>6550</v>
      </c>
      <c r="D463" s="84">
        <f t="shared" si="7"/>
        <v>6500</v>
      </c>
    </row>
    <row r="464" spans="1:9" ht="15" customHeight="1">
      <c r="A464" s="99">
        <v>39741</v>
      </c>
      <c r="B464" s="84">
        <v>6450</v>
      </c>
      <c r="C464" s="84">
        <v>6550</v>
      </c>
      <c r="D464" s="84">
        <f t="shared" si="7"/>
        <v>6500</v>
      </c>
    </row>
    <row r="465" spans="1:9" ht="15" customHeight="1">
      <c r="A465" s="99">
        <v>39742</v>
      </c>
      <c r="B465" s="84">
        <v>6450</v>
      </c>
      <c r="C465" s="84">
        <v>6550</v>
      </c>
      <c r="D465" s="84">
        <f t="shared" si="7"/>
        <v>6500</v>
      </c>
    </row>
    <row r="466" spans="1:9" ht="15" customHeight="1">
      <c r="A466" s="99">
        <v>39743</v>
      </c>
      <c r="B466" s="84">
        <v>6450</v>
      </c>
      <c r="C466" s="84">
        <v>6550</v>
      </c>
      <c r="D466" s="84">
        <f t="shared" si="7"/>
        <v>6500</v>
      </c>
    </row>
    <row r="467" spans="1:9" ht="15" customHeight="1">
      <c r="A467" s="99">
        <v>39744</v>
      </c>
      <c r="B467" s="84">
        <v>6400</v>
      </c>
      <c r="C467" s="84">
        <v>6500</v>
      </c>
      <c r="D467" s="84">
        <f t="shared" si="7"/>
        <v>6450</v>
      </c>
    </row>
    <row r="468" spans="1:9" ht="15" customHeight="1">
      <c r="A468" s="99">
        <v>39745</v>
      </c>
      <c r="B468" s="84">
        <v>6400</v>
      </c>
      <c r="C468" s="84">
        <v>6500</v>
      </c>
      <c r="D468" s="84">
        <f t="shared" si="7"/>
        <v>6450</v>
      </c>
    </row>
    <row r="469" spans="1:9" ht="15" customHeight="1">
      <c r="A469" s="99">
        <v>39748</v>
      </c>
      <c r="B469" s="84">
        <v>6400</v>
      </c>
      <c r="C469" s="84">
        <v>6500</v>
      </c>
      <c r="D469" s="84">
        <f t="shared" si="7"/>
        <v>6450</v>
      </c>
    </row>
    <row r="470" spans="1:9" ht="15" customHeight="1">
      <c r="A470" s="99">
        <v>39749</v>
      </c>
      <c r="B470" s="84">
        <v>6400</v>
      </c>
      <c r="C470" s="84">
        <v>6500</v>
      </c>
      <c r="D470" s="84">
        <f t="shared" si="7"/>
        <v>6450</v>
      </c>
    </row>
    <row r="471" spans="1:9" ht="15" customHeight="1">
      <c r="A471" s="99">
        <v>39750</v>
      </c>
      <c r="B471" s="84">
        <v>6400</v>
      </c>
      <c r="C471" s="84">
        <v>6500</v>
      </c>
      <c r="D471" s="84">
        <f t="shared" si="7"/>
        <v>6450</v>
      </c>
    </row>
    <row r="472" spans="1:9" ht="15" customHeight="1">
      <c r="A472" s="99">
        <v>39751</v>
      </c>
      <c r="B472" s="84">
        <v>6400</v>
      </c>
      <c r="C472" s="84">
        <v>6500</v>
      </c>
      <c r="D472" s="84">
        <f t="shared" si="7"/>
        <v>6450</v>
      </c>
    </row>
    <row r="473" spans="1:9" ht="15" customHeight="1" thickBot="1">
      <c r="A473" s="100">
        <v>39752</v>
      </c>
      <c r="B473" s="89">
        <v>6200</v>
      </c>
      <c r="C473" s="89">
        <v>6400</v>
      </c>
      <c r="D473" s="89">
        <f t="shared" si="7"/>
        <v>6300</v>
      </c>
      <c r="E473" s="91">
        <f>AVERAGE(D451:D473)</f>
        <v>6467.391304347826</v>
      </c>
      <c r="F473" s="91"/>
      <c r="G473" s="92">
        <f>AVERAGE(D451:D473)</f>
        <v>6467.391304347826</v>
      </c>
      <c r="H473" s="103"/>
      <c r="I473" s="107"/>
    </row>
    <row r="474" spans="1:9" ht="15" customHeight="1">
      <c r="A474" s="99">
        <v>39755</v>
      </c>
      <c r="B474" s="84">
        <v>6300</v>
      </c>
      <c r="C474" s="84">
        <v>6500</v>
      </c>
      <c r="D474" s="84">
        <f t="shared" si="7"/>
        <v>6400</v>
      </c>
    </row>
    <row r="475" spans="1:9" ht="15" customHeight="1">
      <c r="A475" s="99">
        <v>39756</v>
      </c>
      <c r="B475" s="84">
        <v>6300</v>
      </c>
      <c r="C475" s="84">
        <v>6500</v>
      </c>
      <c r="D475" s="84">
        <f t="shared" si="7"/>
        <v>6400</v>
      </c>
    </row>
    <row r="476" spans="1:9" ht="15" customHeight="1">
      <c r="A476" s="99">
        <v>39757</v>
      </c>
      <c r="B476" s="84">
        <v>6300</v>
      </c>
      <c r="C476" s="84">
        <v>6400</v>
      </c>
      <c r="D476" s="84">
        <f t="shared" si="7"/>
        <v>6350</v>
      </c>
    </row>
    <row r="477" spans="1:9" ht="15" customHeight="1">
      <c r="A477" s="99">
        <v>39758</v>
      </c>
      <c r="B477" s="84">
        <v>6000</v>
      </c>
      <c r="C477" s="84">
        <v>6200</v>
      </c>
      <c r="D477" s="84">
        <f t="shared" si="7"/>
        <v>6100</v>
      </c>
    </row>
    <row r="478" spans="1:9" ht="15" customHeight="1">
      <c r="A478" s="99">
        <v>39759</v>
      </c>
      <c r="B478" s="84">
        <v>6000</v>
      </c>
      <c r="C478" s="84">
        <v>6200</v>
      </c>
      <c r="D478" s="84">
        <f t="shared" si="7"/>
        <v>6100</v>
      </c>
    </row>
    <row r="479" spans="1:9" ht="15" customHeight="1">
      <c r="A479" s="99">
        <v>39762</v>
      </c>
      <c r="B479" s="84">
        <v>6000</v>
      </c>
      <c r="C479" s="84">
        <v>6200</v>
      </c>
      <c r="D479" s="84">
        <f t="shared" si="7"/>
        <v>6100</v>
      </c>
    </row>
    <row r="480" spans="1:9" ht="15" customHeight="1">
      <c r="A480" s="99">
        <v>39763</v>
      </c>
      <c r="B480" s="84">
        <v>5700</v>
      </c>
      <c r="C480" s="84">
        <v>5900</v>
      </c>
      <c r="D480" s="84">
        <f t="shared" si="7"/>
        <v>5800</v>
      </c>
    </row>
    <row r="481" spans="1:9" ht="15" customHeight="1">
      <c r="A481" s="99">
        <v>39764</v>
      </c>
      <c r="B481" s="84">
        <v>5700</v>
      </c>
      <c r="C481" s="84">
        <v>5900</v>
      </c>
      <c r="D481" s="84">
        <f t="shared" si="7"/>
        <v>5800</v>
      </c>
    </row>
    <row r="482" spans="1:9" ht="15" customHeight="1">
      <c r="A482" s="99">
        <v>39765</v>
      </c>
      <c r="B482" s="84">
        <v>5700</v>
      </c>
      <c r="C482" s="84">
        <v>5900</v>
      </c>
      <c r="D482" s="84">
        <f t="shared" si="7"/>
        <v>5800</v>
      </c>
    </row>
    <row r="483" spans="1:9" ht="15" customHeight="1">
      <c r="A483" s="99">
        <v>39766</v>
      </c>
      <c r="B483" s="84">
        <v>5700</v>
      </c>
      <c r="C483" s="84">
        <v>5900</v>
      </c>
      <c r="D483" s="84">
        <f t="shared" si="7"/>
        <v>5800</v>
      </c>
    </row>
    <row r="484" spans="1:9" ht="15" customHeight="1">
      <c r="A484" s="99">
        <v>39769</v>
      </c>
      <c r="B484" s="84">
        <v>5700</v>
      </c>
      <c r="C484" s="84">
        <v>5900</v>
      </c>
      <c r="D484" s="84">
        <f t="shared" si="7"/>
        <v>5800</v>
      </c>
    </row>
    <row r="485" spans="1:9" ht="15" customHeight="1">
      <c r="A485" s="99">
        <v>39770</v>
      </c>
      <c r="B485" s="84">
        <v>5700</v>
      </c>
      <c r="C485" s="84">
        <v>5900</v>
      </c>
      <c r="D485" s="84">
        <f t="shared" si="7"/>
        <v>5800</v>
      </c>
    </row>
    <row r="486" spans="1:9" ht="15" customHeight="1">
      <c r="A486" s="99">
        <v>39771</v>
      </c>
      <c r="B486" s="84">
        <v>5700</v>
      </c>
      <c r="C486" s="84">
        <v>5900</v>
      </c>
      <c r="D486" s="84">
        <f t="shared" si="7"/>
        <v>5800</v>
      </c>
    </row>
    <row r="487" spans="1:9" ht="15" customHeight="1">
      <c r="A487" s="99">
        <v>39772</v>
      </c>
      <c r="B487" s="84">
        <v>5700</v>
      </c>
      <c r="C487" s="84">
        <v>5900</v>
      </c>
      <c r="D487" s="84">
        <f t="shared" si="7"/>
        <v>5800</v>
      </c>
    </row>
    <row r="488" spans="1:9" ht="15" customHeight="1">
      <c r="A488" s="99">
        <v>39773</v>
      </c>
      <c r="B488" s="84">
        <v>5700</v>
      </c>
      <c r="C488" s="84">
        <v>5900</v>
      </c>
      <c r="D488" s="84">
        <f t="shared" si="7"/>
        <v>5800</v>
      </c>
    </row>
    <row r="489" spans="1:9" ht="15" customHeight="1">
      <c r="A489" s="99">
        <v>39776</v>
      </c>
      <c r="B489" s="84">
        <v>5700</v>
      </c>
      <c r="C489" s="84">
        <v>5900</v>
      </c>
      <c r="D489" s="84">
        <f t="shared" si="7"/>
        <v>5800</v>
      </c>
    </row>
    <row r="490" spans="1:9" ht="15" customHeight="1">
      <c r="A490" s="99">
        <v>39777</v>
      </c>
      <c r="B490" s="84">
        <v>5300</v>
      </c>
      <c r="C490" s="84">
        <v>5500</v>
      </c>
      <c r="D490" s="84">
        <f t="shared" si="7"/>
        <v>5400</v>
      </c>
    </row>
    <row r="491" spans="1:9" ht="15" customHeight="1">
      <c r="A491" s="99">
        <v>39778</v>
      </c>
      <c r="B491" s="84">
        <v>5300</v>
      </c>
      <c r="C491" s="84">
        <v>5500</v>
      </c>
      <c r="D491" s="84">
        <f t="shared" si="7"/>
        <v>5400</v>
      </c>
    </row>
    <row r="492" spans="1:9" ht="15" customHeight="1">
      <c r="A492" s="99">
        <v>39779</v>
      </c>
      <c r="B492" s="84">
        <v>5300</v>
      </c>
      <c r="C492" s="84">
        <v>5500</v>
      </c>
      <c r="D492" s="84">
        <f t="shared" si="7"/>
        <v>5400</v>
      </c>
    </row>
    <row r="493" spans="1:9" ht="15" customHeight="1" thickBot="1">
      <c r="A493" s="100">
        <v>39780</v>
      </c>
      <c r="B493" s="89">
        <v>5300</v>
      </c>
      <c r="C493" s="89">
        <v>5500</v>
      </c>
      <c r="D493" s="89">
        <f t="shared" si="7"/>
        <v>5400</v>
      </c>
      <c r="E493" s="91">
        <f>AVERAGE(D474:D493)</f>
        <v>5852.5</v>
      </c>
      <c r="F493" s="91"/>
      <c r="G493" s="92">
        <f>AVERAGE(D451:D493)</f>
        <v>6181.395348837209</v>
      </c>
      <c r="H493" s="103"/>
      <c r="I493" s="107"/>
    </row>
    <row r="494" spans="1:9" ht="15" customHeight="1">
      <c r="A494" s="36">
        <v>39783</v>
      </c>
      <c r="B494" s="84">
        <v>5300</v>
      </c>
      <c r="C494" s="84">
        <v>5500</v>
      </c>
      <c r="D494" s="84">
        <f t="shared" si="7"/>
        <v>5400</v>
      </c>
    </row>
    <row r="495" spans="1:9" ht="15" customHeight="1">
      <c r="A495" s="3">
        <v>39784</v>
      </c>
      <c r="B495" s="84">
        <v>5300</v>
      </c>
      <c r="C495" s="84">
        <v>5500</v>
      </c>
      <c r="D495" s="84">
        <f t="shared" si="7"/>
        <v>5400</v>
      </c>
    </row>
    <row r="496" spans="1:9" ht="15" customHeight="1">
      <c r="A496" s="3">
        <v>39785</v>
      </c>
      <c r="B496" s="84">
        <v>5300</v>
      </c>
      <c r="C496" s="84">
        <v>5500</v>
      </c>
      <c r="D496" s="84">
        <f t="shared" si="7"/>
        <v>5400</v>
      </c>
    </row>
    <row r="497" spans="1:11" ht="15" customHeight="1">
      <c r="A497" s="3">
        <v>39786</v>
      </c>
      <c r="B497" s="84">
        <v>5000</v>
      </c>
      <c r="C497" s="84">
        <v>5200</v>
      </c>
      <c r="D497" s="84">
        <f t="shared" si="7"/>
        <v>5100</v>
      </c>
    </row>
    <row r="498" spans="1:11" ht="15" customHeight="1">
      <c r="A498" s="3">
        <v>39787</v>
      </c>
      <c r="B498" s="84">
        <v>5000</v>
      </c>
      <c r="C498" s="84">
        <v>5200</v>
      </c>
      <c r="D498" s="84">
        <f t="shared" si="7"/>
        <v>5100</v>
      </c>
    </row>
    <row r="499" spans="1:11" ht="15" customHeight="1">
      <c r="A499" s="3">
        <v>39790</v>
      </c>
      <c r="B499" s="84">
        <v>5000</v>
      </c>
      <c r="C499" s="84">
        <v>5200</v>
      </c>
      <c r="D499" s="84">
        <f t="shared" si="7"/>
        <v>5100</v>
      </c>
    </row>
    <row r="500" spans="1:11" ht="15" customHeight="1">
      <c r="A500" s="3">
        <v>39791</v>
      </c>
      <c r="B500" s="84">
        <v>5000</v>
      </c>
      <c r="C500" s="84">
        <v>5200</v>
      </c>
      <c r="D500" s="84">
        <f t="shared" si="7"/>
        <v>5100</v>
      </c>
    </row>
    <row r="501" spans="1:11" ht="15" customHeight="1">
      <c r="A501" s="3">
        <v>39792</v>
      </c>
      <c r="B501" s="84">
        <v>4800</v>
      </c>
      <c r="C501" s="84">
        <v>5000</v>
      </c>
      <c r="D501" s="84">
        <f t="shared" si="7"/>
        <v>4900</v>
      </c>
    </row>
    <row r="502" spans="1:11" ht="15" customHeight="1">
      <c r="A502" s="3">
        <v>39793</v>
      </c>
      <c r="B502" s="84">
        <v>4800</v>
      </c>
      <c r="C502" s="84">
        <v>5000</v>
      </c>
      <c r="D502" s="84">
        <f t="shared" si="7"/>
        <v>4900</v>
      </c>
    </row>
    <row r="503" spans="1:11" ht="15" customHeight="1">
      <c r="A503" s="3">
        <v>39794</v>
      </c>
      <c r="B503" s="84">
        <v>4800</v>
      </c>
      <c r="C503" s="84">
        <v>5000</v>
      </c>
      <c r="D503" s="84">
        <f t="shared" si="7"/>
        <v>4900</v>
      </c>
    </row>
    <row r="504" spans="1:11" ht="15" customHeight="1">
      <c r="A504" s="3">
        <v>39797</v>
      </c>
      <c r="B504" s="84">
        <v>4800</v>
      </c>
      <c r="C504" s="84">
        <v>5000</v>
      </c>
      <c r="D504" s="84">
        <f t="shared" si="7"/>
        <v>4900</v>
      </c>
    </row>
    <row r="505" spans="1:11" ht="15" customHeight="1">
      <c r="A505" s="3">
        <v>39798</v>
      </c>
      <c r="B505" s="84">
        <v>4800</v>
      </c>
      <c r="C505" s="84">
        <v>5000</v>
      </c>
      <c r="D505" s="84">
        <f t="shared" si="7"/>
        <v>4900</v>
      </c>
    </row>
    <row r="506" spans="1:11" ht="15" customHeight="1">
      <c r="A506" s="3">
        <v>39799</v>
      </c>
      <c r="B506" s="84">
        <v>4400</v>
      </c>
      <c r="C506" s="84">
        <v>4600</v>
      </c>
      <c r="D506" s="84">
        <f t="shared" si="7"/>
        <v>4500</v>
      </c>
    </row>
    <row r="507" spans="1:11" ht="15" customHeight="1">
      <c r="A507" s="3">
        <v>39800</v>
      </c>
      <c r="B507" s="84">
        <v>4400</v>
      </c>
      <c r="C507" s="84">
        <v>4600</v>
      </c>
      <c r="D507" s="84">
        <f t="shared" si="7"/>
        <v>4500</v>
      </c>
    </row>
    <row r="508" spans="1:11" ht="15" customHeight="1">
      <c r="A508" s="3">
        <v>39801</v>
      </c>
      <c r="B508" s="84">
        <v>4400</v>
      </c>
      <c r="C508" s="84">
        <v>4600</v>
      </c>
      <c r="D508" s="84">
        <f t="shared" si="7"/>
        <v>4500</v>
      </c>
    </row>
    <row r="509" spans="1:11" ht="15" customHeight="1">
      <c r="A509" s="3">
        <v>39804</v>
      </c>
      <c r="B509" s="84">
        <v>4400</v>
      </c>
      <c r="C509" s="84">
        <v>4600</v>
      </c>
      <c r="D509" s="84">
        <f t="shared" si="7"/>
        <v>4500</v>
      </c>
    </row>
    <row r="510" spans="1:11" ht="15" customHeight="1">
      <c r="A510" s="3">
        <v>39805</v>
      </c>
      <c r="B510" s="84">
        <v>4400</v>
      </c>
      <c r="C510" s="84">
        <v>4600</v>
      </c>
      <c r="D510" s="84">
        <f t="shared" si="7"/>
        <v>4500</v>
      </c>
    </row>
    <row r="511" spans="1:11" ht="15" customHeight="1">
      <c r="A511" s="3">
        <v>39806</v>
      </c>
      <c r="B511" s="1007" t="s">
        <v>55</v>
      </c>
      <c r="C511" s="1003"/>
      <c r="D511" s="1003"/>
      <c r="E511" s="1003"/>
      <c r="F511" s="1003"/>
      <c r="G511" s="1003"/>
      <c r="H511" s="1003"/>
      <c r="I511" s="1003"/>
      <c r="J511" s="1003"/>
      <c r="K511" s="1003"/>
    </row>
    <row r="512" spans="1:11" ht="15" customHeight="1">
      <c r="A512" s="3">
        <v>39807</v>
      </c>
      <c r="B512" s="1003"/>
      <c r="C512" s="1003"/>
      <c r="D512" s="1003"/>
      <c r="E512" s="1003"/>
      <c r="F512" s="1003"/>
      <c r="G512" s="1003"/>
      <c r="H512" s="1003"/>
      <c r="I512" s="1003"/>
      <c r="J512" s="1003"/>
      <c r="K512" s="1003"/>
    </row>
    <row r="513" spans="1:9" ht="15" customHeight="1">
      <c r="A513" s="3">
        <v>39808</v>
      </c>
      <c r="B513" s="84">
        <v>4400</v>
      </c>
      <c r="C513" s="84">
        <v>4600</v>
      </c>
      <c r="D513" s="84">
        <f t="shared" si="7"/>
        <v>4500</v>
      </c>
    </row>
    <row r="514" spans="1:9" ht="15" customHeight="1">
      <c r="A514" s="3">
        <v>39811</v>
      </c>
      <c r="B514" s="84">
        <v>4400</v>
      </c>
      <c r="C514" s="84">
        <v>4600</v>
      </c>
      <c r="D514" s="84">
        <f t="shared" si="7"/>
        <v>4500</v>
      </c>
    </row>
    <row r="515" spans="1:9" ht="15" customHeight="1">
      <c r="A515" s="3">
        <v>39812</v>
      </c>
      <c r="B515" s="84">
        <v>4400</v>
      </c>
      <c r="C515" s="84">
        <v>4600</v>
      </c>
      <c r="D515" s="84">
        <f t="shared" si="7"/>
        <v>4500</v>
      </c>
    </row>
    <row r="516" spans="1:9" ht="15" customHeight="1" thickBot="1">
      <c r="A516" s="12">
        <v>39813</v>
      </c>
      <c r="B516" s="89">
        <v>4400</v>
      </c>
      <c r="C516" s="89">
        <v>4600</v>
      </c>
      <c r="D516" s="89">
        <f t="shared" si="7"/>
        <v>4500</v>
      </c>
      <c r="E516" s="91">
        <f>AVERAGE(D494:D516)</f>
        <v>4838.0952380952385</v>
      </c>
      <c r="F516" s="91"/>
      <c r="G516" s="92">
        <f>AVERAGE(D451:D516)</f>
        <v>5740.625</v>
      </c>
      <c r="H516" s="103">
        <v>1362.79</v>
      </c>
      <c r="I516" s="105">
        <f>+H516*G516</f>
        <v>7823266.34375</v>
      </c>
    </row>
    <row r="517" spans="1:9" ht="15" customHeight="1">
      <c r="A517" s="3">
        <v>39815</v>
      </c>
      <c r="B517" s="84">
        <v>4400</v>
      </c>
      <c r="C517" s="84">
        <v>4600</v>
      </c>
      <c r="D517" s="84">
        <f t="shared" si="7"/>
        <v>4500</v>
      </c>
    </row>
    <row r="518" spans="1:9" ht="15" customHeight="1">
      <c r="A518" s="3">
        <v>39818</v>
      </c>
      <c r="B518" s="84">
        <v>4400</v>
      </c>
      <c r="C518" s="84">
        <v>4600</v>
      </c>
      <c r="D518" s="84">
        <f t="shared" si="7"/>
        <v>4500</v>
      </c>
    </row>
    <row r="519" spans="1:9" ht="15" customHeight="1">
      <c r="A519" s="3">
        <v>39819</v>
      </c>
      <c r="B519" s="84">
        <v>4400</v>
      </c>
      <c r="C519" s="84">
        <v>4600</v>
      </c>
      <c r="D519" s="84">
        <f t="shared" ref="D519:D582" si="8">AVERAGE(B519:C519)</f>
        <v>4500</v>
      </c>
    </row>
    <row r="520" spans="1:9" ht="15" customHeight="1">
      <c r="A520" s="3">
        <v>39820</v>
      </c>
      <c r="B520" s="84">
        <v>4000</v>
      </c>
      <c r="C520" s="84">
        <v>4200</v>
      </c>
      <c r="D520" s="84">
        <f t="shared" si="8"/>
        <v>4100</v>
      </c>
    </row>
    <row r="521" spans="1:9" ht="15" customHeight="1">
      <c r="A521" s="3">
        <v>39821</v>
      </c>
      <c r="B521" s="84">
        <v>4000</v>
      </c>
      <c r="C521" s="84">
        <v>4200</v>
      </c>
      <c r="D521" s="84">
        <f t="shared" si="8"/>
        <v>4100</v>
      </c>
    </row>
    <row r="522" spans="1:9" ht="15" customHeight="1">
      <c r="A522" s="3">
        <v>39822</v>
      </c>
      <c r="B522" s="84">
        <v>4000</v>
      </c>
      <c r="C522" s="84">
        <v>4200</v>
      </c>
      <c r="D522" s="84">
        <f t="shared" si="8"/>
        <v>4100</v>
      </c>
    </row>
    <row r="523" spans="1:9" ht="15" customHeight="1">
      <c r="A523" s="3">
        <v>39825</v>
      </c>
      <c r="B523" s="84">
        <v>4000</v>
      </c>
      <c r="C523" s="84">
        <v>4200</v>
      </c>
      <c r="D523" s="84">
        <f t="shared" si="8"/>
        <v>4100</v>
      </c>
    </row>
    <row r="524" spans="1:9" ht="15" customHeight="1">
      <c r="A524" s="3">
        <v>39826</v>
      </c>
      <c r="B524" s="84">
        <v>4000</v>
      </c>
      <c r="C524" s="84">
        <v>4200</v>
      </c>
      <c r="D524" s="84">
        <f t="shared" si="8"/>
        <v>4100</v>
      </c>
    </row>
    <row r="525" spans="1:9" ht="15" customHeight="1">
      <c r="A525" s="3">
        <v>39827</v>
      </c>
      <c r="B525" s="84">
        <v>4000</v>
      </c>
      <c r="C525" s="84">
        <v>4200</v>
      </c>
      <c r="D525" s="84">
        <f t="shared" si="8"/>
        <v>4100</v>
      </c>
    </row>
    <row r="526" spans="1:9" ht="15" customHeight="1">
      <c r="A526" s="3">
        <v>39828</v>
      </c>
      <c r="B526" s="84">
        <v>4100</v>
      </c>
      <c r="C526" s="84">
        <v>4300</v>
      </c>
      <c r="D526" s="84">
        <f t="shared" si="8"/>
        <v>4200</v>
      </c>
    </row>
    <row r="527" spans="1:9" ht="15" customHeight="1">
      <c r="A527" s="3">
        <v>39829</v>
      </c>
      <c r="B527" s="84">
        <v>4100</v>
      </c>
      <c r="C527" s="84">
        <v>4300</v>
      </c>
      <c r="D527" s="84">
        <f t="shared" si="8"/>
        <v>4200</v>
      </c>
    </row>
    <row r="528" spans="1:9" ht="15" customHeight="1">
      <c r="A528" s="3">
        <v>39832</v>
      </c>
      <c r="B528" s="84">
        <v>4100</v>
      </c>
      <c r="C528" s="84">
        <v>4300</v>
      </c>
      <c r="D528" s="84">
        <f t="shared" si="8"/>
        <v>4200</v>
      </c>
    </row>
    <row r="529" spans="1:9" ht="15" customHeight="1">
      <c r="A529" s="3">
        <v>39833</v>
      </c>
      <c r="B529" s="84">
        <v>4200</v>
      </c>
      <c r="C529" s="84">
        <v>4400</v>
      </c>
      <c r="D529" s="84">
        <f t="shared" si="8"/>
        <v>4300</v>
      </c>
    </row>
    <row r="530" spans="1:9" ht="15" customHeight="1">
      <c r="A530" s="3">
        <v>39834</v>
      </c>
      <c r="B530" s="84">
        <v>4200</v>
      </c>
      <c r="C530" s="84">
        <v>4400</v>
      </c>
      <c r="D530" s="84">
        <f t="shared" si="8"/>
        <v>4300</v>
      </c>
    </row>
    <row r="531" spans="1:9" ht="15" customHeight="1">
      <c r="A531" s="3">
        <v>39835</v>
      </c>
      <c r="B531" s="84">
        <v>4200</v>
      </c>
      <c r="C531" s="84">
        <v>4400</v>
      </c>
      <c r="D531" s="84">
        <f t="shared" si="8"/>
        <v>4300</v>
      </c>
    </row>
    <row r="532" spans="1:9" ht="15" customHeight="1">
      <c r="A532" s="3">
        <v>39836</v>
      </c>
      <c r="B532" s="84">
        <v>4200</v>
      </c>
      <c r="C532" s="84">
        <v>4400</v>
      </c>
      <c r="D532" s="84">
        <f t="shared" si="8"/>
        <v>4300</v>
      </c>
    </row>
    <row r="533" spans="1:9" ht="15" customHeight="1">
      <c r="A533" s="3">
        <v>39839</v>
      </c>
      <c r="B533" s="84">
        <v>4200</v>
      </c>
      <c r="C533" s="84">
        <v>4400</v>
      </c>
      <c r="D533" s="84">
        <f t="shared" si="8"/>
        <v>4300</v>
      </c>
    </row>
    <row r="534" spans="1:9" ht="15" customHeight="1">
      <c r="A534" s="3">
        <v>39840</v>
      </c>
      <c r="B534" s="84">
        <v>4200</v>
      </c>
      <c r="C534" s="84">
        <v>4400</v>
      </c>
      <c r="D534" s="84">
        <f t="shared" si="8"/>
        <v>4300</v>
      </c>
    </row>
    <row r="535" spans="1:9" ht="15" customHeight="1">
      <c r="A535" s="3">
        <v>39841</v>
      </c>
      <c r="B535" s="84">
        <v>4200</v>
      </c>
      <c r="C535" s="84">
        <v>4400</v>
      </c>
      <c r="D535" s="84">
        <f t="shared" si="8"/>
        <v>4300</v>
      </c>
    </row>
    <row r="536" spans="1:9" ht="15" customHeight="1">
      <c r="A536" s="3">
        <v>39842</v>
      </c>
      <c r="B536" s="84">
        <v>4300</v>
      </c>
      <c r="C536" s="84">
        <v>4500</v>
      </c>
      <c r="D536" s="84">
        <f t="shared" si="8"/>
        <v>4400</v>
      </c>
    </row>
    <row r="537" spans="1:9" ht="15" customHeight="1" thickBot="1">
      <c r="A537" s="12">
        <v>39843</v>
      </c>
      <c r="B537" s="89">
        <v>4300</v>
      </c>
      <c r="C537" s="89">
        <v>4500</v>
      </c>
      <c r="D537" s="89">
        <f t="shared" si="8"/>
        <v>4400</v>
      </c>
      <c r="E537" s="91">
        <f>AVERAGE(D517:D537)</f>
        <v>4266.666666666667</v>
      </c>
      <c r="F537" s="91"/>
      <c r="G537" s="92"/>
      <c r="H537" s="103"/>
      <c r="I537" s="107"/>
    </row>
    <row r="538" spans="1:9" ht="15" customHeight="1">
      <c r="A538" s="36">
        <v>39846</v>
      </c>
      <c r="B538" s="84">
        <v>4300</v>
      </c>
      <c r="C538" s="84">
        <v>4500</v>
      </c>
      <c r="D538" s="84">
        <f t="shared" si="8"/>
        <v>4400</v>
      </c>
    </row>
    <row r="539" spans="1:9" ht="15" customHeight="1">
      <c r="A539" s="3">
        <v>39847</v>
      </c>
      <c r="B539" s="84">
        <v>4300</v>
      </c>
      <c r="C539" s="84">
        <v>4500</v>
      </c>
      <c r="D539" s="84">
        <f t="shared" si="8"/>
        <v>4400</v>
      </c>
    </row>
    <row r="540" spans="1:9" ht="15" customHeight="1">
      <c r="A540" s="3">
        <v>39848</v>
      </c>
      <c r="B540" s="84">
        <v>4300</v>
      </c>
      <c r="C540" s="84">
        <v>4500</v>
      </c>
      <c r="D540" s="84">
        <f t="shared" si="8"/>
        <v>4400</v>
      </c>
    </row>
    <row r="541" spans="1:9" ht="15" customHeight="1">
      <c r="A541" s="3">
        <v>39849</v>
      </c>
      <c r="B541" s="84">
        <v>4300</v>
      </c>
      <c r="C541" s="84">
        <v>4500</v>
      </c>
      <c r="D541" s="84">
        <f t="shared" si="8"/>
        <v>4400</v>
      </c>
    </row>
    <row r="542" spans="1:9" ht="15" customHeight="1">
      <c r="A542" s="3">
        <v>39850</v>
      </c>
      <c r="B542" s="84">
        <v>4300</v>
      </c>
      <c r="C542" s="84">
        <v>4500</v>
      </c>
      <c r="D542" s="84">
        <f t="shared" si="8"/>
        <v>4400</v>
      </c>
    </row>
    <row r="543" spans="1:9" ht="15" customHeight="1">
      <c r="A543" s="3">
        <v>39853</v>
      </c>
      <c r="B543" s="84">
        <v>4300</v>
      </c>
      <c r="C543" s="84">
        <v>4500</v>
      </c>
      <c r="D543" s="84">
        <f t="shared" si="8"/>
        <v>4400</v>
      </c>
    </row>
    <row r="544" spans="1:9" ht="15" customHeight="1">
      <c r="A544" s="3">
        <v>39854</v>
      </c>
      <c r="B544" s="84">
        <v>4300</v>
      </c>
      <c r="C544" s="84">
        <v>4500</v>
      </c>
      <c r="D544" s="84">
        <f t="shared" si="8"/>
        <v>4400</v>
      </c>
    </row>
    <row r="545" spans="1:9" ht="15" customHeight="1">
      <c r="A545" s="3">
        <v>39855</v>
      </c>
      <c r="B545" s="84">
        <v>4300</v>
      </c>
      <c r="C545" s="84">
        <v>4500</v>
      </c>
      <c r="D545" s="84">
        <f t="shared" si="8"/>
        <v>4400</v>
      </c>
    </row>
    <row r="546" spans="1:9" ht="15" customHeight="1">
      <c r="A546" s="3">
        <v>39856</v>
      </c>
      <c r="B546" s="84">
        <v>4300</v>
      </c>
      <c r="C546" s="84">
        <v>4500</v>
      </c>
      <c r="D546" s="84">
        <f t="shared" si="8"/>
        <v>4400</v>
      </c>
    </row>
    <row r="547" spans="1:9" ht="15" customHeight="1">
      <c r="A547" s="3">
        <v>39857</v>
      </c>
      <c r="B547" s="84">
        <v>4300</v>
      </c>
      <c r="C547" s="84">
        <v>4500</v>
      </c>
      <c r="D547" s="84">
        <f t="shared" si="8"/>
        <v>4400</v>
      </c>
    </row>
    <row r="548" spans="1:9" ht="15" customHeight="1">
      <c r="A548" s="3">
        <v>39860</v>
      </c>
      <c r="B548" s="84">
        <v>4300</v>
      </c>
      <c r="C548" s="84">
        <v>4500</v>
      </c>
      <c r="D548" s="84">
        <f t="shared" si="8"/>
        <v>4400</v>
      </c>
    </row>
    <row r="549" spans="1:9" ht="15" customHeight="1">
      <c r="A549" s="3">
        <v>39861</v>
      </c>
      <c r="B549" s="84">
        <v>4300</v>
      </c>
      <c r="C549" s="84">
        <v>4500</v>
      </c>
      <c r="D549" s="84">
        <f t="shared" si="8"/>
        <v>4400</v>
      </c>
    </row>
    <row r="550" spans="1:9" ht="15" customHeight="1">
      <c r="A550" s="3">
        <v>39862</v>
      </c>
      <c r="B550" s="84">
        <v>4400</v>
      </c>
      <c r="C550" s="84">
        <v>4600</v>
      </c>
      <c r="D550" s="84">
        <f t="shared" si="8"/>
        <v>4500</v>
      </c>
    </row>
    <row r="551" spans="1:9" ht="15" customHeight="1">
      <c r="A551" s="3">
        <v>39863</v>
      </c>
      <c r="B551" s="84">
        <v>4400</v>
      </c>
      <c r="C551" s="84">
        <v>4600</v>
      </c>
      <c r="D551" s="84">
        <f t="shared" si="8"/>
        <v>4500</v>
      </c>
    </row>
    <row r="552" spans="1:9" ht="15" customHeight="1">
      <c r="A552" s="3">
        <v>39864</v>
      </c>
      <c r="B552" s="84">
        <v>4400</v>
      </c>
      <c r="C552" s="84">
        <v>4600</v>
      </c>
      <c r="D552" s="84">
        <f t="shared" si="8"/>
        <v>4500</v>
      </c>
    </row>
    <row r="553" spans="1:9" ht="15" customHeight="1">
      <c r="A553" s="3">
        <v>39867</v>
      </c>
      <c r="B553" s="84">
        <v>4400</v>
      </c>
      <c r="C553" s="84">
        <v>4600</v>
      </c>
      <c r="D553" s="84">
        <f t="shared" si="8"/>
        <v>4500</v>
      </c>
    </row>
    <row r="554" spans="1:9" ht="15" customHeight="1">
      <c r="A554" s="3">
        <v>39868</v>
      </c>
      <c r="B554" s="84">
        <v>4400</v>
      </c>
      <c r="C554" s="84">
        <v>4600</v>
      </c>
      <c r="D554" s="84">
        <f t="shared" si="8"/>
        <v>4500</v>
      </c>
    </row>
    <row r="555" spans="1:9" ht="15" customHeight="1">
      <c r="A555" s="3">
        <v>39869</v>
      </c>
      <c r="B555" s="84">
        <v>4400</v>
      </c>
      <c r="C555" s="84">
        <v>4600</v>
      </c>
      <c r="D555" s="84">
        <f t="shared" si="8"/>
        <v>4500</v>
      </c>
    </row>
    <row r="556" spans="1:9" ht="15" customHeight="1">
      <c r="A556" s="3">
        <v>39870</v>
      </c>
      <c r="B556" s="84">
        <v>4400</v>
      </c>
      <c r="C556" s="84">
        <v>4600</v>
      </c>
      <c r="D556" s="84">
        <f t="shared" si="8"/>
        <v>4500</v>
      </c>
    </row>
    <row r="557" spans="1:9" ht="15" customHeight="1" thickBot="1">
      <c r="A557" s="12">
        <v>39871</v>
      </c>
      <c r="B557" s="89">
        <v>4400</v>
      </c>
      <c r="C557" s="89">
        <v>4600</v>
      </c>
      <c r="D557" s="89">
        <f t="shared" si="8"/>
        <v>4500</v>
      </c>
      <c r="E557" s="91">
        <f>AVERAGE(D538:D557)</f>
        <v>4440</v>
      </c>
      <c r="F557" s="91"/>
      <c r="G557" s="92"/>
      <c r="H557" s="103"/>
      <c r="I557" s="107"/>
    </row>
    <row r="558" spans="1:9" ht="15" customHeight="1">
      <c r="A558" s="3">
        <v>39874</v>
      </c>
      <c r="B558" s="84">
        <v>4400</v>
      </c>
      <c r="C558" s="84">
        <v>4600</v>
      </c>
      <c r="D558" s="84">
        <f t="shared" si="8"/>
        <v>4500</v>
      </c>
    </row>
    <row r="559" spans="1:9" ht="15" customHeight="1">
      <c r="A559" s="3">
        <v>39875</v>
      </c>
      <c r="B559" s="84">
        <v>4400</v>
      </c>
      <c r="C559" s="84">
        <v>4600</v>
      </c>
      <c r="D559" s="84">
        <f t="shared" si="8"/>
        <v>4500</v>
      </c>
    </row>
    <row r="560" spans="1:9" ht="15" customHeight="1">
      <c r="A560" s="3">
        <v>39876</v>
      </c>
      <c r="B560" s="84">
        <v>4400</v>
      </c>
      <c r="C560" s="84">
        <v>4600</v>
      </c>
      <c r="D560" s="84">
        <f t="shared" si="8"/>
        <v>4500</v>
      </c>
    </row>
    <row r="561" spans="1:4" ht="15" customHeight="1">
      <c r="A561" s="3">
        <v>39877</v>
      </c>
      <c r="B561" s="84">
        <v>4400</v>
      </c>
      <c r="C561" s="84">
        <v>4600</v>
      </c>
      <c r="D561" s="84">
        <f t="shared" si="8"/>
        <v>4500</v>
      </c>
    </row>
    <row r="562" spans="1:4" ht="15" customHeight="1">
      <c r="A562" s="3">
        <v>39878</v>
      </c>
      <c r="B562" s="84">
        <v>4400</v>
      </c>
      <c r="C562" s="84">
        <v>4600</v>
      </c>
      <c r="D562" s="84">
        <f t="shared" si="8"/>
        <v>4500</v>
      </c>
    </row>
    <row r="563" spans="1:4" ht="15" customHeight="1">
      <c r="A563" s="3">
        <v>39881</v>
      </c>
      <c r="B563" s="84">
        <v>4400</v>
      </c>
      <c r="C563" s="84">
        <v>4600</v>
      </c>
      <c r="D563" s="84">
        <f t="shared" si="8"/>
        <v>4500</v>
      </c>
    </row>
    <row r="564" spans="1:4" ht="15" customHeight="1">
      <c r="A564" s="3">
        <v>39882</v>
      </c>
      <c r="B564" s="84">
        <v>4400</v>
      </c>
      <c r="C564" s="84">
        <v>4600</v>
      </c>
      <c r="D564" s="84">
        <f t="shared" si="8"/>
        <v>4500</v>
      </c>
    </row>
    <row r="565" spans="1:4" ht="15" customHeight="1">
      <c r="A565" s="3">
        <v>39883</v>
      </c>
      <c r="B565" s="84">
        <v>4400</v>
      </c>
      <c r="C565" s="84">
        <v>4500</v>
      </c>
      <c r="D565" s="84">
        <f t="shared" si="8"/>
        <v>4450</v>
      </c>
    </row>
    <row r="566" spans="1:4" ht="15" customHeight="1">
      <c r="A566" s="3">
        <v>39884</v>
      </c>
      <c r="B566" s="84">
        <v>4400</v>
      </c>
      <c r="C566" s="84">
        <v>4500</v>
      </c>
      <c r="D566" s="84">
        <f t="shared" si="8"/>
        <v>4450</v>
      </c>
    </row>
    <row r="567" spans="1:4" ht="15" customHeight="1">
      <c r="A567" s="3">
        <v>39885</v>
      </c>
      <c r="B567" s="84">
        <v>4400</v>
      </c>
      <c r="C567" s="84">
        <v>4500</v>
      </c>
      <c r="D567" s="84">
        <f t="shared" si="8"/>
        <v>4450</v>
      </c>
    </row>
    <row r="568" spans="1:4" ht="15" customHeight="1">
      <c r="A568" s="3">
        <v>39888</v>
      </c>
      <c r="B568" s="84">
        <v>4400</v>
      </c>
      <c r="C568" s="84">
        <v>4500</v>
      </c>
      <c r="D568" s="84">
        <f t="shared" si="8"/>
        <v>4450</v>
      </c>
    </row>
    <row r="569" spans="1:4" ht="15" customHeight="1">
      <c r="A569" s="3">
        <v>39889</v>
      </c>
      <c r="B569" s="84">
        <v>4400</v>
      </c>
      <c r="C569" s="84">
        <v>4500</v>
      </c>
      <c r="D569" s="84">
        <f t="shared" si="8"/>
        <v>4450</v>
      </c>
    </row>
    <row r="570" spans="1:4" ht="15" customHeight="1">
      <c r="A570" s="3">
        <v>39890</v>
      </c>
      <c r="B570" s="84">
        <v>4300</v>
      </c>
      <c r="C570" s="84">
        <v>4400</v>
      </c>
      <c r="D570" s="84">
        <f t="shared" si="8"/>
        <v>4350</v>
      </c>
    </row>
    <row r="571" spans="1:4" ht="15" customHeight="1">
      <c r="A571" s="3">
        <v>39891</v>
      </c>
      <c r="B571" s="84">
        <v>4300</v>
      </c>
      <c r="C571" s="84">
        <v>4400</v>
      </c>
      <c r="D571" s="84">
        <f t="shared" si="8"/>
        <v>4350</v>
      </c>
    </row>
    <row r="572" spans="1:4" ht="15" customHeight="1">
      <c r="A572" s="3">
        <v>39892</v>
      </c>
      <c r="B572" s="84">
        <v>4300</v>
      </c>
      <c r="C572" s="84">
        <v>4400</v>
      </c>
      <c r="D572" s="84">
        <f t="shared" si="8"/>
        <v>4350</v>
      </c>
    </row>
    <row r="573" spans="1:4" ht="15" customHeight="1">
      <c r="A573" s="3">
        <v>39895</v>
      </c>
      <c r="B573" s="84">
        <v>4300</v>
      </c>
      <c r="C573" s="84">
        <v>4400</v>
      </c>
      <c r="D573" s="84">
        <f t="shared" si="8"/>
        <v>4350</v>
      </c>
    </row>
    <row r="574" spans="1:4" ht="15" customHeight="1">
      <c r="A574" s="3">
        <v>39896</v>
      </c>
      <c r="B574" s="84">
        <v>4300</v>
      </c>
      <c r="C574" s="84">
        <v>4400</v>
      </c>
      <c r="D574" s="84">
        <f t="shared" si="8"/>
        <v>4350</v>
      </c>
    </row>
    <row r="575" spans="1:4" ht="15" customHeight="1">
      <c r="A575" s="3">
        <v>39897</v>
      </c>
      <c r="B575" s="84">
        <v>4100</v>
      </c>
      <c r="C575" s="84">
        <v>4300</v>
      </c>
      <c r="D575" s="84">
        <f t="shared" si="8"/>
        <v>4200</v>
      </c>
    </row>
    <row r="576" spans="1:4" ht="15" customHeight="1">
      <c r="A576" s="3">
        <v>39898</v>
      </c>
      <c r="B576" s="84">
        <v>4100</v>
      </c>
      <c r="C576" s="84">
        <v>4300</v>
      </c>
      <c r="D576" s="84">
        <f t="shared" si="8"/>
        <v>4200</v>
      </c>
    </row>
    <row r="577" spans="1:9" ht="15" customHeight="1">
      <c r="A577" s="3">
        <v>39899</v>
      </c>
      <c r="B577" s="84">
        <v>4100</v>
      </c>
      <c r="C577" s="84">
        <v>4300</v>
      </c>
      <c r="D577" s="84">
        <f t="shared" si="8"/>
        <v>4200</v>
      </c>
    </row>
    <row r="578" spans="1:9" ht="15" customHeight="1">
      <c r="A578" s="3">
        <v>39902</v>
      </c>
      <c r="B578" s="84">
        <v>4100</v>
      </c>
      <c r="C578" s="84">
        <v>4300</v>
      </c>
      <c r="D578" s="84">
        <f t="shared" si="8"/>
        <v>4200</v>
      </c>
    </row>
    <row r="579" spans="1:9" ht="15" customHeight="1" thickBot="1">
      <c r="A579" s="12">
        <v>39903</v>
      </c>
      <c r="B579" s="89">
        <v>4100</v>
      </c>
      <c r="C579" s="89">
        <v>4300</v>
      </c>
      <c r="D579" s="89">
        <f t="shared" si="8"/>
        <v>4200</v>
      </c>
      <c r="E579" s="91">
        <f>AVERAGE(D558:D579)</f>
        <v>4386.363636363636</v>
      </c>
      <c r="F579" s="91"/>
      <c r="G579" s="92">
        <f>AVERAGE(D517:D579)</f>
        <v>4363.4920634920636</v>
      </c>
      <c r="H579" s="103">
        <v>1415.22</v>
      </c>
      <c r="I579" s="105">
        <f>+H579*G579</f>
        <v>6175301.2380952388</v>
      </c>
    </row>
    <row r="580" spans="1:9" ht="15" customHeight="1">
      <c r="A580" s="3">
        <v>39904</v>
      </c>
      <c r="B580" s="84">
        <v>4100</v>
      </c>
      <c r="C580" s="84">
        <v>4300</v>
      </c>
      <c r="D580" s="84">
        <f t="shared" si="8"/>
        <v>4200</v>
      </c>
    </row>
    <row r="581" spans="1:9" ht="15" customHeight="1">
      <c r="A581" s="3">
        <v>39905</v>
      </c>
      <c r="B581" s="84">
        <v>4100</v>
      </c>
      <c r="C581" s="84">
        <v>4300</v>
      </c>
      <c r="D581" s="84">
        <f t="shared" si="8"/>
        <v>4200</v>
      </c>
    </row>
    <row r="582" spans="1:9" ht="15" customHeight="1">
      <c r="A582" s="3">
        <v>39906</v>
      </c>
      <c r="B582" s="84">
        <v>4100</v>
      </c>
      <c r="C582" s="84">
        <v>4300</v>
      </c>
      <c r="D582" s="84">
        <f t="shared" si="8"/>
        <v>4200</v>
      </c>
    </row>
    <row r="583" spans="1:9" ht="15" customHeight="1">
      <c r="A583" s="3">
        <v>39909</v>
      </c>
      <c r="B583" s="84">
        <v>4100</v>
      </c>
      <c r="C583" s="84">
        <v>4300</v>
      </c>
      <c r="D583" s="84">
        <f>AVERAGE(B583:C583)</f>
        <v>4200</v>
      </c>
    </row>
    <row r="584" spans="1:9" ht="15" customHeight="1">
      <c r="A584" s="3">
        <v>39910</v>
      </c>
      <c r="B584" s="84">
        <v>4100</v>
      </c>
      <c r="C584" s="84">
        <v>4300</v>
      </c>
      <c r="D584" s="84">
        <f>AVERAGE(B584:C584)</f>
        <v>4200</v>
      </c>
    </row>
    <row r="585" spans="1:9" ht="15" customHeight="1">
      <c r="A585" s="3">
        <v>39911</v>
      </c>
      <c r="B585" s="84">
        <v>4100</v>
      </c>
      <c r="C585" s="84">
        <v>4300</v>
      </c>
      <c r="D585" s="84">
        <f>AVERAGE(B585:C585)</f>
        <v>4200</v>
      </c>
    </row>
    <row r="586" spans="1:9" ht="15" customHeight="1">
      <c r="A586" s="3">
        <v>39912</v>
      </c>
      <c r="B586" s="84">
        <v>4100</v>
      </c>
      <c r="C586" s="84">
        <v>4300</v>
      </c>
      <c r="D586" s="84">
        <f>AVERAGE(B586:C586)</f>
        <v>4200</v>
      </c>
    </row>
    <row r="587" spans="1:9" ht="15" customHeight="1">
      <c r="A587" s="3">
        <v>39913</v>
      </c>
      <c r="B587" s="1007" t="s">
        <v>44</v>
      </c>
      <c r="C587" s="1007"/>
      <c r="D587" s="1007"/>
      <c r="E587" s="1007"/>
      <c r="F587" s="1007"/>
      <c r="G587" s="1007"/>
      <c r="H587" s="1007"/>
      <c r="I587" s="1007"/>
    </row>
    <row r="588" spans="1:9" ht="15" customHeight="1">
      <c r="A588" s="3">
        <v>39916</v>
      </c>
      <c r="B588" s="1007"/>
      <c r="C588" s="1007"/>
      <c r="D588" s="1007"/>
      <c r="E588" s="1007"/>
      <c r="F588" s="1007"/>
      <c r="G588" s="1007"/>
      <c r="H588" s="1007"/>
      <c r="I588" s="1007"/>
    </row>
    <row r="589" spans="1:9" ht="15" customHeight="1">
      <c r="A589" s="3">
        <v>39917</v>
      </c>
      <c r="B589" s="84">
        <v>4100</v>
      </c>
      <c r="C589" s="84">
        <v>4300</v>
      </c>
      <c r="D589" s="84">
        <f t="shared" ref="D589:D601" si="9">AVERAGE(B589:C589)</f>
        <v>4200</v>
      </c>
    </row>
    <row r="590" spans="1:9" ht="15" customHeight="1">
      <c r="A590" s="3">
        <v>39918</v>
      </c>
      <c r="B590" s="84">
        <v>4000</v>
      </c>
      <c r="C590" s="84">
        <v>4200</v>
      </c>
      <c r="D590" s="84">
        <f t="shared" si="9"/>
        <v>4100</v>
      </c>
    </row>
    <row r="591" spans="1:9" ht="15" customHeight="1">
      <c r="A591" s="3">
        <v>39919</v>
      </c>
      <c r="B591" s="84">
        <v>4000</v>
      </c>
      <c r="C591" s="84">
        <v>4200</v>
      </c>
      <c r="D591" s="84">
        <f t="shared" si="9"/>
        <v>4100</v>
      </c>
    </row>
    <row r="592" spans="1:9" ht="15" customHeight="1">
      <c r="A592" s="3">
        <v>39920</v>
      </c>
      <c r="B592" s="84">
        <v>4000</v>
      </c>
      <c r="C592" s="84">
        <v>4200</v>
      </c>
      <c r="D592" s="84">
        <f t="shared" si="9"/>
        <v>4100</v>
      </c>
    </row>
    <row r="593" spans="1:9" ht="15" customHeight="1">
      <c r="A593" s="3">
        <v>39923</v>
      </c>
      <c r="B593" s="84">
        <v>4000</v>
      </c>
      <c r="C593" s="84">
        <v>4200</v>
      </c>
      <c r="D593" s="84">
        <f t="shared" si="9"/>
        <v>4100</v>
      </c>
    </row>
    <row r="594" spans="1:9" ht="15" customHeight="1">
      <c r="A594" s="3">
        <v>39924</v>
      </c>
      <c r="B594" s="84">
        <v>4000</v>
      </c>
      <c r="C594" s="84">
        <v>4200</v>
      </c>
      <c r="D594" s="84">
        <f t="shared" si="9"/>
        <v>4100</v>
      </c>
    </row>
    <row r="595" spans="1:9" ht="15" customHeight="1">
      <c r="A595" s="3">
        <v>39925</v>
      </c>
      <c r="B595" s="84">
        <v>4000</v>
      </c>
      <c r="C595" s="84">
        <v>4200</v>
      </c>
      <c r="D595" s="84">
        <f t="shared" si="9"/>
        <v>4100</v>
      </c>
    </row>
    <row r="596" spans="1:9" ht="15" customHeight="1">
      <c r="A596" s="3">
        <v>39926</v>
      </c>
      <c r="B596" s="84">
        <v>4100</v>
      </c>
      <c r="C596" s="84">
        <v>4300</v>
      </c>
      <c r="D596" s="84">
        <f t="shared" si="9"/>
        <v>4200</v>
      </c>
    </row>
    <row r="597" spans="1:9" ht="15" customHeight="1">
      <c r="A597" s="3">
        <v>39927</v>
      </c>
      <c r="B597" s="84">
        <v>4100</v>
      </c>
      <c r="C597" s="84">
        <v>4300</v>
      </c>
      <c r="D597" s="84">
        <f t="shared" si="9"/>
        <v>4200</v>
      </c>
    </row>
    <row r="598" spans="1:9" ht="15" customHeight="1">
      <c r="A598" s="3">
        <v>39930</v>
      </c>
      <c r="B598" s="84">
        <v>4100</v>
      </c>
      <c r="C598" s="84">
        <v>4300</v>
      </c>
      <c r="D598" s="84">
        <f t="shared" si="9"/>
        <v>4200</v>
      </c>
    </row>
    <row r="599" spans="1:9" ht="15" customHeight="1">
      <c r="A599" s="3">
        <v>39931</v>
      </c>
      <c r="B599" s="84">
        <v>4100</v>
      </c>
      <c r="C599" s="84">
        <v>4300</v>
      </c>
      <c r="D599" s="84">
        <f t="shared" si="9"/>
        <v>4200</v>
      </c>
    </row>
    <row r="600" spans="1:9" ht="15" customHeight="1">
      <c r="A600" s="3">
        <v>39932</v>
      </c>
      <c r="B600" s="84">
        <v>4100</v>
      </c>
      <c r="C600" s="84">
        <v>4300</v>
      </c>
      <c r="D600" s="84">
        <f t="shared" si="9"/>
        <v>4200</v>
      </c>
    </row>
    <row r="601" spans="1:9" ht="15" customHeight="1" thickBot="1">
      <c r="A601" s="12">
        <v>39933</v>
      </c>
      <c r="B601" s="89">
        <v>4300</v>
      </c>
      <c r="C601" s="89">
        <v>4450</v>
      </c>
      <c r="D601" s="89">
        <f t="shared" si="9"/>
        <v>4375</v>
      </c>
      <c r="E601" s="91">
        <f>AVERAGE(D580:D601)</f>
        <v>4178.75</v>
      </c>
      <c r="F601" s="91"/>
      <c r="G601" s="92"/>
      <c r="H601" s="103"/>
      <c r="I601" s="107"/>
    </row>
    <row r="602" spans="1:9" ht="15" customHeight="1">
      <c r="A602" s="3">
        <v>39934</v>
      </c>
      <c r="B602" s="84">
        <v>4300</v>
      </c>
      <c r="C602" s="84">
        <v>4450</v>
      </c>
      <c r="D602" s="84">
        <f t="shared" ref="D602:D665" si="10">AVERAGE(B602:C602)</f>
        <v>4375</v>
      </c>
    </row>
    <row r="603" spans="1:9" ht="15" customHeight="1">
      <c r="A603" s="114">
        <v>39937</v>
      </c>
      <c r="B603" s="1016" t="s">
        <v>10</v>
      </c>
      <c r="C603" s="1050"/>
      <c r="D603" s="1050"/>
      <c r="E603" s="1050"/>
      <c r="F603" s="1050"/>
      <c r="G603" s="1050"/>
      <c r="H603" s="1050"/>
      <c r="I603" s="1050"/>
    </row>
    <row r="604" spans="1:9" ht="15" customHeight="1">
      <c r="A604" s="3">
        <v>39938</v>
      </c>
      <c r="B604" s="84">
        <v>4300</v>
      </c>
      <c r="C604" s="84">
        <v>4450</v>
      </c>
      <c r="D604" s="84">
        <f t="shared" si="10"/>
        <v>4375</v>
      </c>
    </row>
    <row r="605" spans="1:9" ht="15" customHeight="1">
      <c r="A605" s="3">
        <v>39939</v>
      </c>
      <c r="B605" s="84">
        <v>4300</v>
      </c>
      <c r="C605" s="84">
        <v>4450</v>
      </c>
      <c r="D605" s="84">
        <f t="shared" si="10"/>
        <v>4375</v>
      </c>
    </row>
    <row r="606" spans="1:9" ht="15" customHeight="1">
      <c r="A606" s="3">
        <v>39940</v>
      </c>
      <c r="B606" s="84">
        <v>4300</v>
      </c>
      <c r="C606" s="84">
        <v>4450</v>
      </c>
      <c r="D606" s="84">
        <f t="shared" si="10"/>
        <v>4375</v>
      </c>
    </row>
    <row r="607" spans="1:9" ht="15" customHeight="1">
      <c r="A607" s="3">
        <v>39941</v>
      </c>
      <c r="B607" s="84">
        <v>4350</v>
      </c>
      <c r="C607" s="84">
        <v>4500</v>
      </c>
      <c r="D607" s="84">
        <f t="shared" si="10"/>
        <v>4425</v>
      </c>
    </row>
    <row r="608" spans="1:9" ht="15" customHeight="1">
      <c r="A608" s="3">
        <v>39942</v>
      </c>
      <c r="B608" s="84">
        <v>4350</v>
      </c>
      <c r="C608" s="84">
        <v>4500</v>
      </c>
      <c r="D608" s="84">
        <f t="shared" si="10"/>
        <v>4425</v>
      </c>
    </row>
    <row r="609" spans="1:9" ht="15" customHeight="1">
      <c r="A609" s="3">
        <v>39945</v>
      </c>
      <c r="B609" s="84">
        <v>4350</v>
      </c>
      <c r="C609" s="84">
        <v>4500</v>
      </c>
      <c r="D609" s="84">
        <f t="shared" si="10"/>
        <v>4425</v>
      </c>
    </row>
    <row r="610" spans="1:9" ht="15" customHeight="1">
      <c r="A610" s="3">
        <v>39946</v>
      </c>
      <c r="B610" s="84">
        <v>4350</v>
      </c>
      <c r="C610" s="84">
        <v>4500</v>
      </c>
      <c r="D610" s="84">
        <f t="shared" si="10"/>
        <v>4425</v>
      </c>
    </row>
    <row r="611" spans="1:9" ht="15" customHeight="1">
      <c r="A611" s="3">
        <v>39947</v>
      </c>
      <c r="B611" s="84">
        <v>4500</v>
      </c>
      <c r="C611" s="84">
        <v>4650</v>
      </c>
      <c r="D611" s="84">
        <f t="shared" si="10"/>
        <v>4575</v>
      </c>
    </row>
    <row r="612" spans="1:9" ht="15" customHeight="1">
      <c r="A612" s="3">
        <v>39948</v>
      </c>
      <c r="B612" s="84">
        <v>4500</v>
      </c>
      <c r="C612" s="84">
        <v>4650</v>
      </c>
      <c r="D612" s="84">
        <f t="shared" si="10"/>
        <v>4575</v>
      </c>
    </row>
    <row r="613" spans="1:9" ht="15" customHeight="1">
      <c r="A613" s="3">
        <v>39951</v>
      </c>
      <c r="B613" s="84">
        <v>4500</v>
      </c>
      <c r="C613" s="84">
        <v>4650</v>
      </c>
      <c r="D613" s="84">
        <f t="shared" si="10"/>
        <v>4575</v>
      </c>
    </row>
    <row r="614" spans="1:9" ht="15" customHeight="1">
      <c r="A614" s="3">
        <v>40075</v>
      </c>
      <c r="B614" s="84">
        <v>4500</v>
      </c>
      <c r="C614" s="84">
        <v>4650</v>
      </c>
      <c r="D614" s="84">
        <f t="shared" si="10"/>
        <v>4575</v>
      </c>
    </row>
    <row r="615" spans="1:9" ht="15" customHeight="1">
      <c r="A615" s="3">
        <v>39953</v>
      </c>
      <c r="B615" s="84">
        <v>4500</v>
      </c>
      <c r="C615" s="84">
        <v>4650</v>
      </c>
      <c r="D615" s="84">
        <f t="shared" si="10"/>
        <v>4575</v>
      </c>
    </row>
    <row r="616" spans="1:9" ht="15" customHeight="1">
      <c r="A616" s="3">
        <v>39954</v>
      </c>
      <c r="B616" s="84">
        <v>4550</v>
      </c>
      <c r="C616" s="84">
        <v>4700</v>
      </c>
      <c r="D616" s="84">
        <f t="shared" si="10"/>
        <v>4625</v>
      </c>
    </row>
    <row r="617" spans="1:9" ht="15" customHeight="1">
      <c r="A617" s="3">
        <v>39955</v>
      </c>
      <c r="B617" s="84">
        <v>4550</v>
      </c>
      <c r="C617" s="84">
        <v>4700</v>
      </c>
      <c r="D617" s="84">
        <f t="shared" si="10"/>
        <v>4625</v>
      </c>
    </row>
    <row r="618" spans="1:9" ht="15" customHeight="1">
      <c r="A618" s="114">
        <v>39956</v>
      </c>
      <c r="B618" s="1016" t="s">
        <v>60</v>
      </c>
      <c r="C618" s="1016"/>
      <c r="D618" s="1016"/>
      <c r="E618" s="1016"/>
      <c r="F618" s="1016"/>
      <c r="G618" s="1016"/>
      <c r="H618" s="1016"/>
      <c r="I618" s="1016"/>
    </row>
    <row r="619" spans="1:9" ht="15" customHeight="1">
      <c r="A619" s="3">
        <v>39959</v>
      </c>
      <c r="B619" s="84">
        <v>4550</v>
      </c>
      <c r="C619" s="84">
        <v>4700</v>
      </c>
      <c r="D619" s="84">
        <f t="shared" si="10"/>
        <v>4625</v>
      </c>
    </row>
    <row r="620" spans="1:9" ht="15" customHeight="1">
      <c r="A620" s="3">
        <v>39960</v>
      </c>
      <c r="B620" s="84">
        <v>4550</v>
      </c>
      <c r="C620" s="84">
        <v>4700</v>
      </c>
      <c r="D620" s="84">
        <f t="shared" si="10"/>
        <v>4625</v>
      </c>
    </row>
    <row r="621" spans="1:9" ht="15" customHeight="1">
      <c r="A621" s="3">
        <v>39961</v>
      </c>
      <c r="B621" s="84">
        <v>4550</v>
      </c>
      <c r="C621" s="84">
        <v>4700</v>
      </c>
      <c r="D621" s="84">
        <f t="shared" si="10"/>
        <v>4625</v>
      </c>
    </row>
    <row r="622" spans="1:9" ht="15" customHeight="1" thickBot="1">
      <c r="A622" s="12">
        <v>39962</v>
      </c>
      <c r="B622" s="89">
        <v>4550</v>
      </c>
      <c r="C622" s="89">
        <v>4700</v>
      </c>
      <c r="D622" s="89">
        <f t="shared" si="10"/>
        <v>4625</v>
      </c>
      <c r="E622" s="91">
        <f>AVERAGE(D602:D622)</f>
        <v>4517.105263157895</v>
      </c>
      <c r="F622" s="91"/>
      <c r="G622" s="92"/>
      <c r="H622" s="103"/>
      <c r="I622" s="107"/>
    </row>
    <row r="623" spans="1:9" ht="15" customHeight="1">
      <c r="A623" s="3">
        <v>39965</v>
      </c>
      <c r="B623" s="84">
        <v>4550</v>
      </c>
      <c r="C623" s="84">
        <v>4700</v>
      </c>
      <c r="D623" s="84">
        <f t="shared" si="10"/>
        <v>4625</v>
      </c>
    </row>
    <row r="624" spans="1:9" ht="15" customHeight="1">
      <c r="A624" s="3">
        <v>39966</v>
      </c>
      <c r="B624" s="84">
        <v>4550</v>
      </c>
      <c r="C624" s="84">
        <v>4700</v>
      </c>
      <c r="D624" s="84">
        <f t="shared" si="10"/>
        <v>4625</v>
      </c>
    </row>
    <row r="625" spans="1:4" ht="15" customHeight="1">
      <c r="A625" s="3">
        <v>39967</v>
      </c>
      <c r="B625" s="84">
        <v>4550</v>
      </c>
      <c r="C625" s="84">
        <v>4650</v>
      </c>
      <c r="D625" s="84">
        <f t="shared" si="10"/>
        <v>4600</v>
      </c>
    </row>
    <row r="626" spans="1:4" ht="15" customHeight="1">
      <c r="A626" s="3">
        <v>39968</v>
      </c>
      <c r="B626" s="84">
        <v>4550</v>
      </c>
      <c r="C626" s="84">
        <v>4650</v>
      </c>
      <c r="D626" s="84">
        <f t="shared" si="10"/>
        <v>4600</v>
      </c>
    </row>
    <row r="627" spans="1:4" ht="15" customHeight="1">
      <c r="A627" s="3">
        <v>39969</v>
      </c>
      <c r="B627" s="84">
        <v>4550</v>
      </c>
      <c r="C627" s="84">
        <v>4650</v>
      </c>
      <c r="D627" s="84">
        <f t="shared" si="10"/>
        <v>4600</v>
      </c>
    </row>
    <row r="628" spans="1:4" ht="15" customHeight="1">
      <c r="A628" s="3">
        <v>39972</v>
      </c>
      <c r="B628" s="84">
        <v>4550</v>
      </c>
      <c r="C628" s="84">
        <v>4650</v>
      </c>
      <c r="D628" s="84">
        <f t="shared" si="10"/>
        <v>4600</v>
      </c>
    </row>
    <row r="629" spans="1:4" ht="15" customHeight="1">
      <c r="A629" s="3">
        <v>39973</v>
      </c>
      <c r="B629" s="84">
        <v>4550</v>
      </c>
      <c r="C629" s="84">
        <v>4650</v>
      </c>
      <c r="D629" s="84">
        <f t="shared" si="10"/>
        <v>4600</v>
      </c>
    </row>
    <row r="630" spans="1:4" ht="15" customHeight="1">
      <c r="A630" s="3">
        <v>39974</v>
      </c>
      <c r="B630" s="84">
        <v>4550</v>
      </c>
      <c r="C630" s="84">
        <v>4650</v>
      </c>
      <c r="D630" s="84">
        <f t="shared" si="10"/>
        <v>4600</v>
      </c>
    </row>
    <row r="631" spans="1:4" ht="15" customHeight="1">
      <c r="A631" s="3">
        <v>39975</v>
      </c>
      <c r="B631" s="84">
        <v>4600</v>
      </c>
      <c r="C631" s="84">
        <v>4700</v>
      </c>
      <c r="D631" s="84">
        <f t="shared" si="10"/>
        <v>4650</v>
      </c>
    </row>
    <row r="632" spans="1:4" ht="15" customHeight="1">
      <c r="A632" s="3">
        <v>39976</v>
      </c>
      <c r="B632" s="84">
        <v>4600</v>
      </c>
      <c r="C632" s="84">
        <v>4700</v>
      </c>
      <c r="D632" s="84">
        <f t="shared" si="10"/>
        <v>4650</v>
      </c>
    </row>
    <row r="633" spans="1:4" ht="15" customHeight="1">
      <c r="A633" s="3">
        <v>39979</v>
      </c>
      <c r="B633" s="84">
        <v>4600</v>
      </c>
      <c r="C633" s="84">
        <v>4700</v>
      </c>
      <c r="D633" s="84">
        <f t="shared" si="10"/>
        <v>4650</v>
      </c>
    </row>
    <row r="634" spans="1:4" ht="15" customHeight="1">
      <c r="A634" s="3">
        <v>39980</v>
      </c>
      <c r="B634" s="84">
        <v>4600</v>
      </c>
      <c r="C634" s="84">
        <v>4700</v>
      </c>
      <c r="D634" s="84">
        <f t="shared" si="10"/>
        <v>4650</v>
      </c>
    </row>
    <row r="635" spans="1:4" ht="15" customHeight="1">
      <c r="A635" s="3">
        <v>39981</v>
      </c>
      <c r="B635" s="84">
        <v>4550</v>
      </c>
      <c r="C635" s="84">
        <v>4700</v>
      </c>
      <c r="D635" s="84">
        <f t="shared" si="10"/>
        <v>4625</v>
      </c>
    </row>
    <row r="636" spans="1:4" ht="15" customHeight="1">
      <c r="A636" s="3">
        <v>39982</v>
      </c>
      <c r="B636" s="84">
        <v>4550</v>
      </c>
      <c r="C636" s="84">
        <v>4700</v>
      </c>
      <c r="D636" s="84">
        <f t="shared" si="10"/>
        <v>4625</v>
      </c>
    </row>
    <row r="637" spans="1:4" ht="15" customHeight="1">
      <c r="A637" s="3">
        <v>39983</v>
      </c>
      <c r="B637" s="84">
        <v>4550</v>
      </c>
      <c r="C637" s="84">
        <v>4700</v>
      </c>
      <c r="D637" s="84">
        <f t="shared" si="10"/>
        <v>4625</v>
      </c>
    </row>
    <row r="638" spans="1:4" ht="15" customHeight="1">
      <c r="A638" s="3">
        <v>39986</v>
      </c>
      <c r="B638" s="84">
        <v>4550</v>
      </c>
      <c r="C638" s="84">
        <v>4700</v>
      </c>
      <c r="D638" s="84">
        <f t="shared" si="10"/>
        <v>4625</v>
      </c>
    </row>
    <row r="639" spans="1:4" ht="15" customHeight="1">
      <c r="A639" s="3">
        <v>39987</v>
      </c>
      <c r="B639" s="84">
        <v>4550</v>
      </c>
      <c r="C639" s="84">
        <v>4700</v>
      </c>
      <c r="D639" s="84">
        <f t="shared" si="10"/>
        <v>4625</v>
      </c>
    </row>
    <row r="640" spans="1:4" ht="15" customHeight="1">
      <c r="A640" s="3">
        <v>39988</v>
      </c>
      <c r="B640" s="84">
        <v>4600</v>
      </c>
      <c r="C640" s="84">
        <v>4700</v>
      </c>
      <c r="D640" s="84">
        <f t="shared" si="10"/>
        <v>4650</v>
      </c>
    </row>
    <row r="641" spans="1:9" ht="15" customHeight="1">
      <c r="A641" s="3">
        <v>39989</v>
      </c>
      <c r="B641" s="84">
        <v>4600</v>
      </c>
      <c r="C641" s="84">
        <v>4700</v>
      </c>
      <c r="D641" s="84">
        <f t="shared" si="10"/>
        <v>4650</v>
      </c>
    </row>
    <row r="642" spans="1:9" ht="15" customHeight="1">
      <c r="A642" s="3">
        <v>39990</v>
      </c>
      <c r="B642" s="84">
        <v>4600</v>
      </c>
      <c r="C642" s="84">
        <v>4700</v>
      </c>
      <c r="D642" s="84">
        <f t="shared" si="10"/>
        <v>4650</v>
      </c>
    </row>
    <row r="643" spans="1:9" ht="15" customHeight="1">
      <c r="A643" s="3">
        <v>39993</v>
      </c>
      <c r="B643" s="84">
        <v>4600</v>
      </c>
      <c r="C643" s="84">
        <v>4700</v>
      </c>
      <c r="D643" s="84">
        <f t="shared" si="10"/>
        <v>4650</v>
      </c>
    </row>
    <row r="644" spans="1:9" ht="15" customHeight="1" thickBot="1">
      <c r="A644" s="12">
        <v>39994</v>
      </c>
      <c r="B644" s="89">
        <v>4600</v>
      </c>
      <c r="C644" s="89">
        <v>4700</v>
      </c>
      <c r="D644" s="89">
        <f t="shared" si="10"/>
        <v>4650</v>
      </c>
      <c r="E644" s="91">
        <f>AVERAGE(D623:D644)</f>
        <v>4628.409090909091</v>
      </c>
      <c r="F644" s="91"/>
      <c r="G644" s="92">
        <f>AVERAGE(D580:D644)</f>
        <v>4446.311475409836</v>
      </c>
      <c r="H644" s="103">
        <v>1288.68</v>
      </c>
      <c r="I644" s="105">
        <f>+H644*G644</f>
        <v>5729872.6721311482</v>
      </c>
    </row>
    <row r="645" spans="1:9" ht="15" customHeight="1">
      <c r="A645" s="3">
        <v>39995</v>
      </c>
      <c r="B645" s="84">
        <v>4650</v>
      </c>
      <c r="C645" s="84">
        <v>4800</v>
      </c>
      <c r="D645" s="84">
        <f t="shared" si="10"/>
        <v>4725</v>
      </c>
    </row>
    <row r="646" spans="1:9" ht="15" customHeight="1">
      <c r="A646" s="3">
        <v>39996</v>
      </c>
      <c r="B646" s="84">
        <v>4750</v>
      </c>
      <c r="C646" s="84">
        <v>4850</v>
      </c>
      <c r="D646" s="84">
        <f t="shared" si="10"/>
        <v>4800</v>
      </c>
    </row>
    <row r="647" spans="1:9" ht="15" customHeight="1">
      <c r="A647" s="3">
        <v>39997</v>
      </c>
      <c r="B647" s="84">
        <v>4750</v>
      </c>
      <c r="C647" s="84">
        <v>4850</v>
      </c>
      <c r="D647" s="84">
        <f t="shared" si="10"/>
        <v>4800</v>
      </c>
    </row>
    <row r="648" spans="1:9" ht="15" customHeight="1">
      <c r="A648" s="3">
        <v>40000</v>
      </c>
      <c r="B648" s="84">
        <v>4750</v>
      </c>
      <c r="C648" s="84">
        <v>4850</v>
      </c>
      <c r="D648" s="84">
        <f t="shared" si="10"/>
        <v>4800</v>
      </c>
    </row>
    <row r="649" spans="1:9" ht="15" customHeight="1">
      <c r="A649" s="3">
        <v>40001</v>
      </c>
      <c r="B649" s="84">
        <v>4750</v>
      </c>
      <c r="C649" s="84">
        <v>4850</v>
      </c>
      <c r="D649" s="84">
        <f t="shared" si="10"/>
        <v>4800</v>
      </c>
    </row>
    <row r="650" spans="1:9" ht="15" customHeight="1">
      <c r="A650" s="3">
        <v>40002</v>
      </c>
      <c r="B650" s="84">
        <v>4850</v>
      </c>
      <c r="C650" s="84">
        <v>4950</v>
      </c>
      <c r="D650" s="84">
        <f t="shared" si="10"/>
        <v>4900</v>
      </c>
    </row>
    <row r="651" spans="1:9" ht="15" customHeight="1">
      <c r="A651" s="3">
        <v>40003</v>
      </c>
      <c r="B651" s="84">
        <v>4850</v>
      </c>
      <c r="C651" s="84">
        <v>4950</v>
      </c>
      <c r="D651" s="84">
        <f t="shared" si="10"/>
        <v>4900</v>
      </c>
    </row>
    <row r="652" spans="1:9" ht="15" customHeight="1">
      <c r="A652" s="3">
        <v>40004</v>
      </c>
      <c r="B652" s="84">
        <v>4850</v>
      </c>
      <c r="C652" s="84">
        <v>4950</v>
      </c>
      <c r="D652" s="84">
        <f t="shared" si="10"/>
        <v>4900</v>
      </c>
    </row>
    <row r="653" spans="1:9" ht="15" customHeight="1">
      <c r="A653" s="3">
        <v>40007</v>
      </c>
      <c r="B653" s="84">
        <v>4850</v>
      </c>
      <c r="C653" s="84">
        <v>4950</v>
      </c>
      <c r="D653" s="84">
        <f t="shared" si="10"/>
        <v>4900</v>
      </c>
    </row>
    <row r="654" spans="1:9" ht="15" customHeight="1">
      <c r="A654" s="3">
        <v>40008</v>
      </c>
      <c r="B654" s="84">
        <v>4850</v>
      </c>
      <c r="C654" s="84">
        <v>4950</v>
      </c>
      <c r="D654" s="84">
        <f t="shared" si="10"/>
        <v>4900</v>
      </c>
    </row>
    <row r="655" spans="1:9" ht="15" customHeight="1">
      <c r="A655" s="3">
        <v>40009</v>
      </c>
      <c r="B655" s="84">
        <v>4850</v>
      </c>
      <c r="C655" s="84">
        <v>4950</v>
      </c>
      <c r="D655" s="84">
        <f t="shared" si="10"/>
        <v>4900</v>
      </c>
    </row>
    <row r="656" spans="1:9" ht="15" customHeight="1">
      <c r="A656" s="3">
        <v>40010</v>
      </c>
      <c r="B656" s="84">
        <v>4850</v>
      </c>
      <c r="C656" s="84">
        <v>4950</v>
      </c>
      <c r="D656" s="84">
        <f t="shared" si="10"/>
        <v>4900</v>
      </c>
    </row>
    <row r="657" spans="1:9" ht="15" customHeight="1">
      <c r="A657" s="3">
        <v>40011</v>
      </c>
      <c r="B657" s="84">
        <v>4850</v>
      </c>
      <c r="C657" s="84">
        <v>4950</v>
      </c>
      <c r="D657" s="84">
        <f t="shared" si="10"/>
        <v>4900</v>
      </c>
    </row>
    <row r="658" spans="1:9" ht="15" customHeight="1">
      <c r="A658" s="3">
        <v>40014</v>
      </c>
      <c r="B658" s="84">
        <v>4850</v>
      </c>
      <c r="C658" s="84">
        <v>4950</v>
      </c>
      <c r="D658" s="84">
        <f t="shared" si="10"/>
        <v>4900</v>
      </c>
    </row>
    <row r="659" spans="1:9" ht="15" customHeight="1">
      <c r="A659" s="3">
        <v>40015</v>
      </c>
      <c r="B659" s="84">
        <v>4850</v>
      </c>
      <c r="C659" s="84">
        <v>4950</v>
      </c>
      <c r="D659" s="84">
        <f t="shared" si="10"/>
        <v>4900</v>
      </c>
    </row>
    <row r="660" spans="1:9" ht="15" customHeight="1">
      <c r="A660" s="3">
        <v>40016</v>
      </c>
      <c r="B660" s="84">
        <v>4850</v>
      </c>
      <c r="C660" s="84">
        <v>4950</v>
      </c>
      <c r="D660" s="84">
        <f t="shared" si="10"/>
        <v>4900</v>
      </c>
    </row>
    <row r="661" spans="1:9" ht="15" customHeight="1">
      <c r="A661" s="3">
        <v>40017</v>
      </c>
      <c r="B661" s="84">
        <v>5400</v>
      </c>
      <c r="C661" s="84">
        <v>5600</v>
      </c>
      <c r="D661" s="84">
        <f t="shared" si="10"/>
        <v>5500</v>
      </c>
    </row>
    <row r="662" spans="1:9" ht="15" customHeight="1">
      <c r="A662" s="3">
        <v>40018</v>
      </c>
      <c r="B662" s="84">
        <v>5500</v>
      </c>
      <c r="C662" s="84">
        <v>5700</v>
      </c>
      <c r="D662" s="84">
        <f t="shared" si="10"/>
        <v>5600</v>
      </c>
    </row>
    <row r="663" spans="1:9" ht="15" customHeight="1">
      <c r="A663" s="3">
        <v>40021</v>
      </c>
      <c r="B663" s="84">
        <v>5500</v>
      </c>
      <c r="C663" s="84">
        <v>5700</v>
      </c>
      <c r="D663" s="84">
        <f t="shared" si="10"/>
        <v>5600</v>
      </c>
    </row>
    <row r="664" spans="1:9" ht="15" customHeight="1">
      <c r="A664" s="3">
        <v>40022</v>
      </c>
      <c r="B664" s="84">
        <v>5500</v>
      </c>
      <c r="C664" s="84">
        <v>5700</v>
      </c>
      <c r="D664" s="84">
        <f t="shared" si="10"/>
        <v>5600</v>
      </c>
    </row>
    <row r="665" spans="1:9" ht="15" customHeight="1">
      <c r="A665" s="3">
        <v>40023</v>
      </c>
      <c r="B665" s="84">
        <v>5500</v>
      </c>
      <c r="C665" s="84">
        <v>5700</v>
      </c>
      <c r="D665" s="84">
        <f t="shared" si="10"/>
        <v>5600</v>
      </c>
    </row>
    <row r="666" spans="1:9" ht="15" customHeight="1">
      <c r="A666" s="3">
        <v>40024</v>
      </c>
      <c r="B666" s="84">
        <v>5700</v>
      </c>
      <c r="C666" s="84">
        <v>5900</v>
      </c>
      <c r="D666" s="84">
        <f>AVERAGE(B666:C666)</f>
        <v>5800</v>
      </c>
    </row>
    <row r="667" spans="1:9" ht="15" customHeight="1" thickBot="1">
      <c r="A667" s="12">
        <v>40025</v>
      </c>
      <c r="B667" s="89">
        <v>5700</v>
      </c>
      <c r="C667" s="89">
        <v>5900</v>
      </c>
      <c r="D667" s="89">
        <f>AVERAGE(B667:C667)</f>
        <v>5800</v>
      </c>
      <c r="E667" s="91">
        <f>AVERAGE(D645:D667)</f>
        <v>5101.086956521739</v>
      </c>
      <c r="F667" s="91"/>
      <c r="G667" s="92"/>
      <c r="H667" s="103"/>
      <c r="I667" s="107"/>
    </row>
    <row r="668" spans="1:9" ht="15" customHeight="1">
      <c r="A668" s="3">
        <v>40028</v>
      </c>
      <c r="B668" s="84">
        <v>5700</v>
      </c>
      <c r="C668" s="84">
        <v>5900</v>
      </c>
      <c r="D668" s="84">
        <f>AVERAGE(B668:C668)</f>
        <v>5800</v>
      </c>
    </row>
    <row r="669" spans="1:9" ht="15" customHeight="1">
      <c r="A669" s="3">
        <v>40029</v>
      </c>
      <c r="B669" s="84">
        <v>5700</v>
      </c>
      <c r="C669" s="84">
        <v>5900</v>
      </c>
      <c r="D669" s="84">
        <f t="shared" ref="D669:D733" si="11">AVERAGE(B669:C669)</f>
        <v>5800</v>
      </c>
    </row>
    <row r="670" spans="1:9" ht="15" customHeight="1">
      <c r="A670" s="3">
        <v>40030</v>
      </c>
      <c r="B670" s="84">
        <v>5700</v>
      </c>
      <c r="C670" s="84">
        <v>5900</v>
      </c>
      <c r="D670" s="84">
        <f t="shared" si="11"/>
        <v>5800</v>
      </c>
    </row>
    <row r="671" spans="1:9" ht="15" customHeight="1">
      <c r="A671" s="3">
        <v>40031</v>
      </c>
      <c r="B671" s="84">
        <v>5700</v>
      </c>
      <c r="C671" s="84">
        <v>5900</v>
      </c>
      <c r="D671" s="84">
        <f t="shared" si="11"/>
        <v>5800</v>
      </c>
    </row>
    <row r="672" spans="1:9" ht="15" customHeight="1">
      <c r="A672" s="3">
        <v>40032</v>
      </c>
      <c r="B672" s="84">
        <v>5700</v>
      </c>
      <c r="C672" s="84">
        <v>5900</v>
      </c>
      <c r="D672" s="84">
        <f t="shared" si="11"/>
        <v>5800</v>
      </c>
    </row>
    <row r="673" spans="1:9" ht="15" customHeight="1">
      <c r="A673" s="3">
        <v>40035</v>
      </c>
      <c r="B673" s="84">
        <v>5700</v>
      </c>
      <c r="C673" s="84">
        <v>5900</v>
      </c>
      <c r="D673" s="84">
        <f t="shared" si="11"/>
        <v>5800</v>
      </c>
    </row>
    <row r="674" spans="1:9" ht="15" customHeight="1">
      <c r="A674" s="3">
        <v>40036</v>
      </c>
      <c r="B674" s="84">
        <v>5700</v>
      </c>
      <c r="C674" s="84">
        <v>5900</v>
      </c>
      <c r="D674" s="84">
        <f t="shared" si="11"/>
        <v>5800</v>
      </c>
    </row>
    <row r="675" spans="1:9" ht="15" customHeight="1">
      <c r="A675" s="3">
        <v>40037</v>
      </c>
      <c r="B675" s="84">
        <v>5700</v>
      </c>
      <c r="C675" s="84">
        <v>5900</v>
      </c>
      <c r="D675" s="84">
        <f t="shared" si="11"/>
        <v>5800</v>
      </c>
    </row>
    <row r="676" spans="1:9" ht="15" customHeight="1">
      <c r="A676" s="3">
        <v>40038</v>
      </c>
      <c r="B676" s="84">
        <v>5750</v>
      </c>
      <c r="C676" s="84">
        <v>5900</v>
      </c>
      <c r="D676" s="84">
        <f t="shared" si="11"/>
        <v>5825</v>
      </c>
    </row>
    <row r="677" spans="1:9" ht="15" customHeight="1">
      <c r="A677" s="3">
        <v>40039</v>
      </c>
      <c r="B677" s="84">
        <v>5750</v>
      </c>
      <c r="C677" s="84">
        <v>5900</v>
      </c>
      <c r="D677" s="84">
        <f t="shared" si="11"/>
        <v>5825</v>
      </c>
    </row>
    <row r="678" spans="1:9" ht="15" customHeight="1">
      <c r="A678" s="3">
        <v>40042</v>
      </c>
      <c r="B678" s="84">
        <v>5750</v>
      </c>
      <c r="C678" s="84">
        <v>5900</v>
      </c>
      <c r="D678" s="84">
        <f t="shared" si="11"/>
        <v>5825</v>
      </c>
    </row>
    <row r="679" spans="1:9" ht="15" customHeight="1">
      <c r="A679" s="3">
        <v>40043</v>
      </c>
      <c r="B679" s="84">
        <v>5750</v>
      </c>
      <c r="C679" s="84">
        <v>5900</v>
      </c>
      <c r="D679" s="84">
        <f t="shared" si="11"/>
        <v>5825</v>
      </c>
    </row>
    <row r="680" spans="1:9" ht="15" customHeight="1">
      <c r="A680" s="3">
        <v>40044</v>
      </c>
      <c r="B680" s="84">
        <v>5750</v>
      </c>
      <c r="C680" s="84">
        <v>5900</v>
      </c>
      <c r="D680" s="84">
        <f t="shared" si="11"/>
        <v>5825</v>
      </c>
    </row>
    <row r="681" spans="1:9" ht="15" customHeight="1">
      <c r="A681" s="3">
        <v>40045</v>
      </c>
      <c r="B681" s="84">
        <v>5750</v>
      </c>
      <c r="C681" s="84">
        <v>5900</v>
      </c>
      <c r="D681" s="84">
        <f t="shared" si="11"/>
        <v>5825</v>
      </c>
    </row>
    <row r="682" spans="1:9" ht="15" customHeight="1">
      <c r="A682" s="3">
        <v>40046</v>
      </c>
      <c r="B682" s="84">
        <v>5800</v>
      </c>
      <c r="C682" s="84">
        <v>5950</v>
      </c>
      <c r="D682" s="84">
        <f t="shared" si="11"/>
        <v>5875</v>
      </c>
    </row>
    <row r="683" spans="1:9" ht="15" customHeight="1">
      <c r="A683" s="3">
        <v>40049</v>
      </c>
      <c r="B683" s="84">
        <v>5800</v>
      </c>
      <c r="C683" s="84">
        <v>5950</v>
      </c>
      <c r="D683" s="84">
        <f t="shared" si="11"/>
        <v>5875</v>
      </c>
    </row>
    <row r="684" spans="1:9" ht="15" customHeight="1">
      <c r="A684" s="3">
        <v>40050</v>
      </c>
      <c r="B684" s="84">
        <v>5800</v>
      </c>
      <c r="C684" s="84">
        <v>5950</v>
      </c>
      <c r="D684" s="84">
        <f t="shared" si="11"/>
        <v>5875</v>
      </c>
    </row>
    <row r="685" spans="1:9" ht="15" customHeight="1">
      <c r="A685" s="3">
        <v>40051</v>
      </c>
      <c r="B685" s="84">
        <v>5800</v>
      </c>
      <c r="C685" s="84">
        <v>5950</v>
      </c>
      <c r="D685" s="84">
        <f t="shared" si="11"/>
        <v>5875</v>
      </c>
    </row>
    <row r="686" spans="1:9" ht="15" customHeight="1">
      <c r="A686" s="3">
        <v>40052</v>
      </c>
      <c r="B686" s="84">
        <v>5700</v>
      </c>
      <c r="C686" s="84">
        <v>5850</v>
      </c>
      <c r="D686" s="84">
        <f t="shared" si="11"/>
        <v>5775</v>
      </c>
    </row>
    <row r="687" spans="1:9" ht="15" customHeight="1" thickBot="1">
      <c r="A687" s="12">
        <v>40053</v>
      </c>
      <c r="B687" s="89">
        <v>5700</v>
      </c>
      <c r="C687" s="89">
        <v>5850</v>
      </c>
      <c r="D687" s="89">
        <f t="shared" si="11"/>
        <v>5775</v>
      </c>
      <c r="E687" s="91">
        <f>AVERAGE(D668:D687)</f>
        <v>5820</v>
      </c>
      <c r="F687" s="91"/>
      <c r="G687" s="92"/>
      <c r="H687" s="103"/>
      <c r="I687" s="107"/>
    </row>
    <row r="688" spans="1:9" ht="15" customHeight="1">
      <c r="A688" s="3">
        <v>40057</v>
      </c>
      <c r="B688" s="84">
        <v>5700</v>
      </c>
      <c r="C688" s="84">
        <v>5850</v>
      </c>
      <c r="D688" s="84">
        <f t="shared" si="11"/>
        <v>5775</v>
      </c>
    </row>
    <row r="689" spans="1:4" ht="15" customHeight="1">
      <c r="A689" s="3">
        <v>40058</v>
      </c>
      <c r="B689" s="84">
        <v>5700</v>
      </c>
      <c r="C689" s="84">
        <v>5850</v>
      </c>
      <c r="D689" s="84">
        <f t="shared" si="11"/>
        <v>5775</v>
      </c>
    </row>
    <row r="690" spans="1:4" ht="15" customHeight="1">
      <c r="A690" s="3">
        <v>40059</v>
      </c>
      <c r="B690" s="84">
        <v>5700</v>
      </c>
      <c r="C690" s="84">
        <v>5850</v>
      </c>
      <c r="D690" s="84">
        <f t="shared" si="11"/>
        <v>5775</v>
      </c>
    </row>
    <row r="691" spans="1:4" ht="15" customHeight="1">
      <c r="A691" s="3">
        <v>40060</v>
      </c>
      <c r="B691" s="84">
        <v>5700</v>
      </c>
      <c r="C691" s="84">
        <v>5850</v>
      </c>
      <c r="D691" s="84">
        <f t="shared" si="11"/>
        <v>5775</v>
      </c>
    </row>
    <row r="692" spans="1:4" ht="15" customHeight="1">
      <c r="A692" s="3">
        <v>40063</v>
      </c>
      <c r="B692" s="84">
        <v>5700</v>
      </c>
      <c r="C692" s="84">
        <v>5850</v>
      </c>
      <c r="D692" s="84">
        <f t="shared" si="11"/>
        <v>5775</v>
      </c>
    </row>
    <row r="693" spans="1:4" ht="15" customHeight="1">
      <c r="A693" s="3">
        <v>40064</v>
      </c>
      <c r="B693" s="84">
        <v>5700</v>
      </c>
      <c r="C693" s="84">
        <v>5850</v>
      </c>
      <c r="D693" s="84">
        <f t="shared" si="11"/>
        <v>5775</v>
      </c>
    </row>
    <row r="694" spans="1:4" ht="15" customHeight="1">
      <c r="A694" s="3">
        <v>40065</v>
      </c>
      <c r="B694" s="84">
        <v>5700</v>
      </c>
      <c r="C694" s="84">
        <v>5800</v>
      </c>
      <c r="D694" s="84">
        <f t="shared" si="11"/>
        <v>5750</v>
      </c>
    </row>
    <row r="695" spans="1:4" ht="15" customHeight="1">
      <c r="A695" s="3">
        <v>40066</v>
      </c>
      <c r="B695" s="84">
        <v>5700</v>
      </c>
      <c r="C695" s="84">
        <v>5800</v>
      </c>
      <c r="D695" s="84">
        <f t="shared" si="11"/>
        <v>5750</v>
      </c>
    </row>
    <row r="696" spans="1:4" ht="15" customHeight="1">
      <c r="A696" s="3">
        <v>40067</v>
      </c>
      <c r="B696" s="84">
        <v>5700</v>
      </c>
      <c r="C696" s="84">
        <v>5800</v>
      </c>
      <c r="D696" s="84">
        <f t="shared" si="11"/>
        <v>5750</v>
      </c>
    </row>
    <row r="697" spans="1:4" ht="15" customHeight="1">
      <c r="A697" s="3">
        <v>40070</v>
      </c>
      <c r="B697" s="84">
        <v>5700</v>
      </c>
      <c r="C697" s="84">
        <v>5800</v>
      </c>
      <c r="D697" s="84">
        <f t="shared" si="11"/>
        <v>5750</v>
      </c>
    </row>
    <row r="698" spans="1:4" ht="15" customHeight="1">
      <c r="A698" s="3">
        <v>40071</v>
      </c>
      <c r="B698" s="84">
        <v>5700</v>
      </c>
      <c r="C698" s="84">
        <v>5800</v>
      </c>
      <c r="D698" s="84">
        <f t="shared" si="11"/>
        <v>5750</v>
      </c>
    </row>
    <row r="699" spans="1:4" ht="15" customHeight="1">
      <c r="A699" s="3">
        <v>40072</v>
      </c>
      <c r="B699" s="84">
        <v>5700</v>
      </c>
      <c r="C699" s="84">
        <v>5800</v>
      </c>
      <c r="D699" s="84">
        <f t="shared" si="11"/>
        <v>5750</v>
      </c>
    </row>
    <row r="700" spans="1:4" ht="15" customHeight="1">
      <c r="A700" s="3">
        <v>40073</v>
      </c>
      <c r="B700" s="84">
        <v>5700</v>
      </c>
      <c r="C700" s="84">
        <v>5800</v>
      </c>
      <c r="D700" s="84">
        <f t="shared" si="11"/>
        <v>5750</v>
      </c>
    </row>
    <row r="701" spans="1:4" ht="15" customHeight="1">
      <c r="A701" s="3">
        <v>40074</v>
      </c>
      <c r="B701" s="84">
        <v>5700</v>
      </c>
      <c r="C701" s="84">
        <v>5800</v>
      </c>
      <c r="D701" s="84">
        <f t="shared" si="11"/>
        <v>5750</v>
      </c>
    </row>
    <row r="702" spans="1:4" ht="15" customHeight="1">
      <c r="A702" s="3">
        <v>40077</v>
      </c>
      <c r="B702" s="84">
        <v>5700</v>
      </c>
      <c r="C702" s="84">
        <v>5800</v>
      </c>
      <c r="D702" s="84">
        <f t="shared" si="11"/>
        <v>5750</v>
      </c>
    </row>
    <row r="703" spans="1:4" ht="15" customHeight="1">
      <c r="A703" s="3">
        <v>40078</v>
      </c>
      <c r="B703" s="84">
        <v>5700</v>
      </c>
      <c r="C703" s="84">
        <v>5800</v>
      </c>
      <c r="D703" s="84">
        <f t="shared" si="11"/>
        <v>5750</v>
      </c>
    </row>
    <row r="704" spans="1:4" ht="15" customHeight="1">
      <c r="A704" s="3">
        <v>40079</v>
      </c>
      <c r="B704" s="84">
        <v>5700</v>
      </c>
      <c r="C704" s="84">
        <v>5800</v>
      </c>
      <c r="D704" s="84">
        <f t="shared" si="11"/>
        <v>5750</v>
      </c>
    </row>
    <row r="705" spans="1:9" ht="15" customHeight="1">
      <c r="A705" s="3">
        <v>40080</v>
      </c>
      <c r="B705" s="84">
        <v>5700</v>
      </c>
      <c r="C705" s="84">
        <v>5800</v>
      </c>
      <c r="D705" s="84">
        <f t="shared" si="11"/>
        <v>5750</v>
      </c>
    </row>
    <row r="706" spans="1:9" ht="15" customHeight="1">
      <c r="A706" s="3">
        <v>40081</v>
      </c>
      <c r="B706" s="84">
        <v>5700</v>
      </c>
      <c r="C706" s="84">
        <v>5850</v>
      </c>
      <c r="D706" s="84">
        <f t="shared" si="11"/>
        <v>5775</v>
      </c>
    </row>
    <row r="707" spans="1:9" ht="15" customHeight="1">
      <c r="A707" s="3">
        <v>40084</v>
      </c>
      <c r="B707" s="84">
        <v>5700</v>
      </c>
      <c r="C707" s="84">
        <v>5850</v>
      </c>
      <c r="D707" s="84">
        <f t="shared" si="11"/>
        <v>5775</v>
      </c>
    </row>
    <row r="708" spans="1:9" ht="15" customHeight="1">
      <c r="A708" s="3">
        <v>40085</v>
      </c>
      <c r="B708" s="84">
        <v>5700</v>
      </c>
      <c r="C708" s="84">
        <v>5850</v>
      </c>
      <c r="D708" s="84">
        <f t="shared" si="11"/>
        <v>5775</v>
      </c>
    </row>
    <row r="709" spans="1:9" ht="15" customHeight="1" thickBot="1">
      <c r="A709" s="12">
        <v>40086</v>
      </c>
      <c r="B709" s="89">
        <v>5700</v>
      </c>
      <c r="C709" s="89">
        <v>5850</v>
      </c>
      <c r="D709" s="89">
        <f t="shared" si="11"/>
        <v>5775</v>
      </c>
      <c r="E709" s="91">
        <f>AVERAGE(D688:D709)</f>
        <v>5761.363636363636</v>
      </c>
      <c r="F709" s="91"/>
      <c r="G709" s="92">
        <f>AVERAGE(D645:D709)</f>
        <v>5545.7692307692305</v>
      </c>
      <c r="H709" s="103">
        <v>1240.8900000000001</v>
      </c>
      <c r="I709" s="105">
        <f>+G709*H709</f>
        <v>6881689.5807692306</v>
      </c>
    </row>
    <row r="710" spans="1:9" ht="15" customHeight="1">
      <c r="A710" s="3">
        <v>40087</v>
      </c>
      <c r="B710" s="84">
        <v>5800</v>
      </c>
      <c r="C710" s="84">
        <v>6000</v>
      </c>
      <c r="D710" s="84">
        <f t="shared" si="11"/>
        <v>5900</v>
      </c>
    </row>
    <row r="711" spans="1:9" ht="15" customHeight="1">
      <c r="A711" s="3">
        <v>40088</v>
      </c>
      <c r="B711" s="84">
        <v>5800</v>
      </c>
      <c r="C711" s="84">
        <v>6000</v>
      </c>
      <c r="D711" s="84">
        <f t="shared" si="11"/>
        <v>5900</v>
      </c>
    </row>
    <row r="712" spans="1:9" ht="15" customHeight="1">
      <c r="A712" s="3">
        <v>40091</v>
      </c>
      <c r="B712" s="84">
        <v>5800</v>
      </c>
      <c r="C712" s="84">
        <v>6000</v>
      </c>
      <c r="D712" s="84">
        <f t="shared" si="11"/>
        <v>5900</v>
      </c>
    </row>
    <row r="713" spans="1:9" ht="15" customHeight="1">
      <c r="A713" s="3">
        <v>40092</v>
      </c>
      <c r="B713" s="84">
        <v>5800</v>
      </c>
      <c r="C713" s="84">
        <v>6000</v>
      </c>
      <c r="D713" s="84">
        <f t="shared" si="11"/>
        <v>5900</v>
      </c>
    </row>
    <row r="714" spans="1:9" ht="15" customHeight="1">
      <c r="A714" s="3">
        <v>40093</v>
      </c>
      <c r="B714" s="84">
        <v>5800</v>
      </c>
      <c r="C714" s="84">
        <v>6000</v>
      </c>
      <c r="D714" s="84">
        <f t="shared" si="11"/>
        <v>5900</v>
      </c>
    </row>
    <row r="715" spans="1:9" ht="15" customHeight="1">
      <c r="A715" s="3">
        <v>40094</v>
      </c>
      <c r="B715" s="84">
        <v>5850</v>
      </c>
      <c r="C715" s="84">
        <v>6050</v>
      </c>
      <c r="D715" s="84">
        <f t="shared" si="11"/>
        <v>5950</v>
      </c>
    </row>
    <row r="716" spans="1:9" ht="15" customHeight="1">
      <c r="A716" s="3">
        <v>40095</v>
      </c>
      <c r="B716" s="84">
        <v>5850</v>
      </c>
      <c r="C716" s="84">
        <v>6050</v>
      </c>
      <c r="D716" s="84">
        <f t="shared" si="11"/>
        <v>5950</v>
      </c>
    </row>
    <row r="717" spans="1:9" ht="15" customHeight="1">
      <c r="A717" s="3">
        <v>40098</v>
      </c>
      <c r="B717" s="84">
        <v>5850</v>
      </c>
      <c r="C717" s="84">
        <v>6050</v>
      </c>
      <c r="D717" s="84">
        <f t="shared" si="11"/>
        <v>5950</v>
      </c>
    </row>
    <row r="718" spans="1:9" ht="15" customHeight="1">
      <c r="A718" s="3">
        <v>40099</v>
      </c>
      <c r="B718" s="84">
        <v>6300</v>
      </c>
      <c r="C718" s="84">
        <v>6450</v>
      </c>
      <c r="D718" s="84">
        <f t="shared" si="11"/>
        <v>6375</v>
      </c>
    </row>
    <row r="719" spans="1:9" ht="15" customHeight="1">
      <c r="A719" s="3">
        <v>40100</v>
      </c>
      <c r="B719" s="84">
        <v>6300</v>
      </c>
      <c r="C719" s="84">
        <v>6450</v>
      </c>
      <c r="D719" s="84">
        <f t="shared" si="11"/>
        <v>6375</v>
      </c>
    </row>
    <row r="720" spans="1:9" ht="15" customHeight="1">
      <c r="A720" s="3">
        <v>40101</v>
      </c>
      <c r="B720" s="84">
        <v>6300</v>
      </c>
      <c r="C720" s="84">
        <v>6450</v>
      </c>
      <c r="D720" s="84">
        <f t="shared" si="11"/>
        <v>6375</v>
      </c>
    </row>
    <row r="721" spans="1:9" ht="15" customHeight="1">
      <c r="A721" s="3">
        <v>40102</v>
      </c>
      <c r="B721" s="84">
        <v>6300</v>
      </c>
      <c r="C721" s="84">
        <v>6450</v>
      </c>
      <c r="D721" s="84">
        <f t="shared" si="11"/>
        <v>6375</v>
      </c>
    </row>
    <row r="722" spans="1:9" ht="15" customHeight="1">
      <c r="A722" s="3">
        <v>40105</v>
      </c>
      <c r="B722" s="84">
        <v>6300</v>
      </c>
      <c r="C722" s="84">
        <v>6450</v>
      </c>
      <c r="D722" s="84">
        <f t="shared" si="11"/>
        <v>6375</v>
      </c>
    </row>
    <row r="723" spans="1:9" ht="15" customHeight="1">
      <c r="A723" s="3">
        <v>40106</v>
      </c>
      <c r="B723" s="84">
        <v>6300</v>
      </c>
      <c r="C723" s="84">
        <v>6450</v>
      </c>
      <c r="D723" s="84">
        <f t="shared" si="11"/>
        <v>6375</v>
      </c>
    </row>
    <row r="724" spans="1:9" ht="15" customHeight="1">
      <c r="A724" s="3">
        <v>40107</v>
      </c>
      <c r="B724" s="84">
        <v>6300</v>
      </c>
      <c r="C724" s="84">
        <v>6450</v>
      </c>
      <c r="D724" s="84">
        <f t="shared" si="11"/>
        <v>6375</v>
      </c>
    </row>
    <row r="725" spans="1:9" ht="15" customHeight="1">
      <c r="A725" s="3">
        <v>40108</v>
      </c>
      <c r="B725" s="84">
        <v>6400</v>
      </c>
      <c r="C725" s="84">
        <v>6500</v>
      </c>
      <c r="D725" s="84">
        <f t="shared" si="11"/>
        <v>6450</v>
      </c>
    </row>
    <row r="726" spans="1:9" ht="15" customHeight="1">
      <c r="A726" s="3">
        <v>40109</v>
      </c>
      <c r="B726" s="84">
        <v>6400</v>
      </c>
      <c r="C726" s="84">
        <v>6500</v>
      </c>
      <c r="D726" s="84">
        <f t="shared" si="11"/>
        <v>6450</v>
      </c>
    </row>
    <row r="727" spans="1:9" ht="15" customHeight="1">
      <c r="A727" s="3">
        <v>40112</v>
      </c>
      <c r="B727" s="84">
        <v>6400</v>
      </c>
      <c r="C727" s="84">
        <v>6500</v>
      </c>
      <c r="D727" s="84">
        <f t="shared" si="11"/>
        <v>6450</v>
      </c>
    </row>
    <row r="728" spans="1:9" ht="15" customHeight="1">
      <c r="A728" s="3">
        <v>40113</v>
      </c>
      <c r="B728" s="84">
        <v>6400</v>
      </c>
      <c r="C728" s="84">
        <v>6500</v>
      </c>
      <c r="D728" s="84">
        <f t="shared" si="11"/>
        <v>6450</v>
      </c>
    </row>
    <row r="729" spans="1:9" ht="15" customHeight="1">
      <c r="A729" s="3">
        <v>40114</v>
      </c>
      <c r="B729" s="84">
        <v>6400</v>
      </c>
      <c r="C729" s="84">
        <v>6500</v>
      </c>
      <c r="D729" s="84">
        <f t="shared" si="11"/>
        <v>6450</v>
      </c>
    </row>
    <row r="730" spans="1:9" ht="15" customHeight="1">
      <c r="A730" s="3">
        <v>40115</v>
      </c>
      <c r="B730" s="84">
        <v>6400</v>
      </c>
      <c r="C730" s="84">
        <v>6500</v>
      </c>
      <c r="D730" s="84">
        <f t="shared" si="11"/>
        <v>6450</v>
      </c>
    </row>
    <row r="731" spans="1:9" ht="15" customHeight="1" thickBot="1">
      <c r="A731" s="12">
        <v>40116</v>
      </c>
      <c r="B731" s="89">
        <v>6400</v>
      </c>
      <c r="C731" s="89">
        <v>6500</v>
      </c>
      <c r="D731" s="89">
        <f t="shared" si="11"/>
        <v>6450</v>
      </c>
      <c r="E731" s="240">
        <f>AVERAGE(D710:D731)</f>
        <v>6232.954545454545</v>
      </c>
      <c r="F731" s="240"/>
      <c r="G731" s="92"/>
      <c r="H731" s="103"/>
      <c r="I731" s="107"/>
    </row>
    <row r="732" spans="1:9" ht="15" customHeight="1">
      <c r="A732" s="3">
        <v>40119</v>
      </c>
      <c r="B732" s="84">
        <v>6400</v>
      </c>
      <c r="C732" s="84">
        <v>6500</v>
      </c>
      <c r="D732" s="94">
        <f t="shared" si="11"/>
        <v>6450</v>
      </c>
    </row>
    <row r="733" spans="1:9" ht="15" customHeight="1">
      <c r="A733" s="3">
        <v>40120</v>
      </c>
      <c r="B733" s="84">
        <v>6400</v>
      </c>
      <c r="C733" s="84">
        <v>6500</v>
      </c>
      <c r="D733" s="94">
        <f t="shared" si="11"/>
        <v>6450</v>
      </c>
    </row>
    <row r="734" spans="1:9" ht="15" customHeight="1">
      <c r="A734" s="3">
        <v>40121</v>
      </c>
      <c r="B734" s="84">
        <v>6400</v>
      </c>
      <c r="C734" s="84">
        <v>6500</v>
      </c>
      <c r="D734" s="94">
        <f t="shared" ref="D734:D751" si="12">AVERAGE(B734:C734)</f>
        <v>6450</v>
      </c>
    </row>
    <row r="735" spans="1:9" ht="15" customHeight="1">
      <c r="A735" s="3">
        <v>40122</v>
      </c>
      <c r="B735" s="84">
        <v>6400</v>
      </c>
      <c r="C735" s="84">
        <v>6500</v>
      </c>
      <c r="D735" s="94">
        <f t="shared" si="12"/>
        <v>6450</v>
      </c>
    </row>
    <row r="736" spans="1:9" ht="15" customHeight="1">
      <c r="A736" s="3">
        <v>40123</v>
      </c>
      <c r="B736" s="84">
        <v>6400</v>
      </c>
      <c r="C736" s="84">
        <v>6500</v>
      </c>
      <c r="D736" s="94">
        <f t="shared" si="12"/>
        <v>6450</v>
      </c>
    </row>
    <row r="737" spans="1:9" ht="15" customHeight="1">
      <c r="A737" s="3">
        <v>40126</v>
      </c>
      <c r="B737" s="84">
        <v>6400</v>
      </c>
      <c r="C737" s="84">
        <v>6500</v>
      </c>
      <c r="D737" s="94">
        <f t="shared" si="12"/>
        <v>6450</v>
      </c>
    </row>
    <row r="738" spans="1:9" ht="15" customHeight="1">
      <c r="A738" s="3">
        <v>40127</v>
      </c>
      <c r="B738" s="84">
        <v>6400</v>
      </c>
      <c r="C738" s="84">
        <v>6500</v>
      </c>
      <c r="D738" s="94">
        <f t="shared" si="12"/>
        <v>6450</v>
      </c>
    </row>
    <row r="739" spans="1:9" ht="15" customHeight="1">
      <c r="A739" s="3">
        <v>40128</v>
      </c>
      <c r="B739" s="84">
        <v>6400</v>
      </c>
      <c r="C739" s="84">
        <v>6500</v>
      </c>
      <c r="D739" s="94">
        <f t="shared" si="12"/>
        <v>6450</v>
      </c>
    </row>
    <row r="740" spans="1:9" ht="15" customHeight="1">
      <c r="A740" s="3">
        <v>40129</v>
      </c>
      <c r="B740" s="84">
        <v>6200</v>
      </c>
      <c r="C740" s="84">
        <v>6400</v>
      </c>
      <c r="D740" s="94">
        <f t="shared" si="12"/>
        <v>6300</v>
      </c>
    </row>
    <row r="741" spans="1:9" ht="15" customHeight="1">
      <c r="A741" s="3">
        <v>40130</v>
      </c>
      <c r="B741" s="84">
        <v>6200</v>
      </c>
      <c r="C741" s="84">
        <v>6400</v>
      </c>
      <c r="D741" s="94">
        <f t="shared" si="12"/>
        <v>6300</v>
      </c>
    </row>
    <row r="742" spans="1:9" ht="15" customHeight="1">
      <c r="A742" s="3">
        <v>40133</v>
      </c>
      <c r="B742" s="84">
        <v>6200</v>
      </c>
      <c r="C742" s="84">
        <v>6400</v>
      </c>
      <c r="D742" s="94">
        <f t="shared" si="12"/>
        <v>6300</v>
      </c>
    </row>
    <row r="743" spans="1:9" ht="15" customHeight="1">
      <c r="A743" s="3">
        <v>40134</v>
      </c>
      <c r="B743" s="84">
        <v>6200</v>
      </c>
      <c r="C743" s="84">
        <v>6400</v>
      </c>
      <c r="D743" s="94">
        <f t="shared" si="12"/>
        <v>6300</v>
      </c>
    </row>
    <row r="744" spans="1:9" ht="15" customHeight="1">
      <c r="A744" s="3">
        <v>40135</v>
      </c>
      <c r="B744" s="84">
        <v>6200</v>
      </c>
      <c r="C744" s="84">
        <v>6400</v>
      </c>
      <c r="D744" s="94">
        <f t="shared" si="12"/>
        <v>6300</v>
      </c>
    </row>
    <row r="745" spans="1:9" ht="15" customHeight="1">
      <c r="A745" s="3">
        <v>40136</v>
      </c>
      <c r="B745" s="84">
        <v>6100</v>
      </c>
      <c r="C745" s="84">
        <v>6250</v>
      </c>
      <c r="D745" s="94">
        <f t="shared" si="12"/>
        <v>6175</v>
      </c>
    </row>
    <row r="746" spans="1:9" ht="15" customHeight="1">
      <c r="A746" s="3">
        <v>40137</v>
      </c>
      <c r="B746" s="84">
        <v>6100</v>
      </c>
      <c r="C746" s="84">
        <v>6250</v>
      </c>
      <c r="D746" s="94">
        <f t="shared" si="12"/>
        <v>6175</v>
      </c>
    </row>
    <row r="747" spans="1:9" ht="15" customHeight="1">
      <c r="A747" s="3">
        <v>40140</v>
      </c>
      <c r="B747" s="84">
        <v>6100</v>
      </c>
      <c r="C747" s="84">
        <v>6250</v>
      </c>
      <c r="D747" s="94">
        <f t="shared" si="12"/>
        <v>6175</v>
      </c>
    </row>
    <row r="748" spans="1:9" ht="15" customHeight="1">
      <c r="A748" s="3">
        <v>40141</v>
      </c>
      <c r="B748" s="84">
        <v>6100</v>
      </c>
      <c r="C748" s="84">
        <v>6250</v>
      </c>
      <c r="D748" s="94">
        <f t="shared" si="12"/>
        <v>6175</v>
      </c>
    </row>
    <row r="749" spans="1:9" ht="15" customHeight="1">
      <c r="A749" s="3">
        <v>40142</v>
      </c>
      <c r="B749" s="84">
        <v>6100</v>
      </c>
      <c r="C749" s="84">
        <v>6250</v>
      </c>
      <c r="D749" s="94">
        <f t="shared" si="12"/>
        <v>6175</v>
      </c>
    </row>
    <row r="750" spans="1:9" ht="15" customHeight="1">
      <c r="A750" s="3">
        <v>40143</v>
      </c>
      <c r="B750" s="84">
        <v>6100</v>
      </c>
      <c r="C750" s="84">
        <v>6250</v>
      </c>
      <c r="D750" s="94">
        <f t="shared" si="12"/>
        <v>6175</v>
      </c>
    </row>
    <row r="751" spans="1:9" ht="15" customHeight="1">
      <c r="A751" s="3">
        <v>40144</v>
      </c>
      <c r="B751" s="84">
        <v>6100</v>
      </c>
      <c r="C751" s="84">
        <v>6250</v>
      </c>
      <c r="D751" s="94">
        <f t="shared" si="12"/>
        <v>6175</v>
      </c>
    </row>
    <row r="752" spans="1:9" ht="15" customHeight="1" thickBot="1">
      <c r="A752" s="12">
        <v>40147</v>
      </c>
      <c r="B752" s="89">
        <v>6100</v>
      </c>
      <c r="C752" s="89">
        <v>6250</v>
      </c>
      <c r="D752" s="89">
        <f t="shared" ref="D752:D770" si="13">AVERAGE(B752:C752)</f>
        <v>6175</v>
      </c>
      <c r="E752" s="240">
        <f>AVERAGE(D732:D752)</f>
        <v>6309.5238095238092</v>
      </c>
      <c r="F752" s="240"/>
      <c r="G752" s="92"/>
      <c r="H752" s="103"/>
      <c r="I752" s="107"/>
    </row>
    <row r="753" spans="1:4" ht="15" customHeight="1">
      <c r="A753" s="83">
        <v>40148</v>
      </c>
      <c r="B753" s="84">
        <v>6100</v>
      </c>
      <c r="C753" s="84">
        <v>6550</v>
      </c>
      <c r="D753" s="84">
        <f t="shared" si="13"/>
        <v>6325</v>
      </c>
    </row>
    <row r="754" spans="1:4" ht="15" customHeight="1">
      <c r="A754" s="83">
        <v>40149</v>
      </c>
      <c r="B754" s="84">
        <v>6100</v>
      </c>
      <c r="C754" s="84">
        <v>6250</v>
      </c>
      <c r="D754" s="84">
        <f t="shared" si="13"/>
        <v>6175</v>
      </c>
    </row>
    <row r="755" spans="1:4" ht="15" customHeight="1">
      <c r="A755" s="83">
        <v>40150</v>
      </c>
      <c r="B755" s="84">
        <v>5900</v>
      </c>
      <c r="C755" s="84">
        <v>6200</v>
      </c>
      <c r="D755" s="84">
        <f t="shared" si="13"/>
        <v>6050</v>
      </c>
    </row>
    <row r="756" spans="1:4" ht="15" customHeight="1">
      <c r="A756" s="83">
        <v>40151</v>
      </c>
      <c r="B756" s="84">
        <v>5900</v>
      </c>
      <c r="C756" s="84">
        <v>6200</v>
      </c>
      <c r="D756" s="84">
        <f t="shared" si="13"/>
        <v>6050</v>
      </c>
    </row>
    <row r="757" spans="1:4" ht="15" customHeight="1">
      <c r="A757" s="83">
        <v>40154</v>
      </c>
      <c r="B757" s="84">
        <v>5900</v>
      </c>
      <c r="C757" s="84">
        <v>6200</v>
      </c>
      <c r="D757" s="84">
        <f t="shared" si="13"/>
        <v>6050</v>
      </c>
    </row>
    <row r="758" spans="1:4" ht="15" customHeight="1">
      <c r="A758" s="83">
        <v>40155</v>
      </c>
      <c r="B758" s="84">
        <v>5900</v>
      </c>
      <c r="C758" s="84">
        <v>6200</v>
      </c>
      <c r="D758" s="84">
        <f t="shared" si="13"/>
        <v>6050</v>
      </c>
    </row>
    <row r="759" spans="1:4" ht="15" customHeight="1">
      <c r="A759" s="83">
        <v>40156</v>
      </c>
      <c r="B759" s="84">
        <v>5900</v>
      </c>
      <c r="C759" s="84">
        <v>6200</v>
      </c>
      <c r="D759" s="84">
        <f t="shared" si="13"/>
        <v>6050</v>
      </c>
    </row>
    <row r="760" spans="1:4" ht="15" customHeight="1">
      <c r="A760" s="83">
        <v>40157</v>
      </c>
      <c r="B760" s="84">
        <v>5900</v>
      </c>
      <c r="C760" s="84">
        <v>6200</v>
      </c>
      <c r="D760" s="84">
        <f t="shared" si="13"/>
        <v>6050</v>
      </c>
    </row>
    <row r="761" spans="1:4" ht="15" customHeight="1">
      <c r="A761" s="83">
        <v>40158</v>
      </c>
      <c r="B761" s="84">
        <v>5800</v>
      </c>
      <c r="C761" s="84">
        <v>6000</v>
      </c>
      <c r="D761" s="84">
        <f t="shared" si="13"/>
        <v>5900</v>
      </c>
    </row>
    <row r="762" spans="1:4" ht="15" customHeight="1">
      <c r="A762" s="83">
        <v>40161</v>
      </c>
      <c r="B762" s="84">
        <v>5800</v>
      </c>
      <c r="C762" s="84">
        <v>6000</v>
      </c>
      <c r="D762" s="84">
        <f t="shared" si="13"/>
        <v>5900</v>
      </c>
    </row>
    <row r="763" spans="1:4" ht="15" customHeight="1">
      <c r="A763" s="83">
        <v>40162</v>
      </c>
      <c r="B763" s="84">
        <v>5800</v>
      </c>
      <c r="C763" s="84">
        <v>6000</v>
      </c>
      <c r="D763" s="84">
        <f t="shared" si="13"/>
        <v>5900</v>
      </c>
    </row>
    <row r="764" spans="1:4" ht="15" customHeight="1">
      <c r="A764" s="83">
        <v>40163</v>
      </c>
      <c r="B764" s="84">
        <v>5700</v>
      </c>
      <c r="C764" s="84">
        <v>5900</v>
      </c>
      <c r="D764" s="84">
        <f t="shared" si="13"/>
        <v>5800</v>
      </c>
    </row>
    <row r="765" spans="1:4" ht="15" customHeight="1">
      <c r="A765" s="83">
        <v>40164</v>
      </c>
      <c r="B765" s="84">
        <v>5700</v>
      </c>
      <c r="C765" s="84">
        <v>5900</v>
      </c>
      <c r="D765" s="84">
        <f t="shared" si="13"/>
        <v>5800</v>
      </c>
    </row>
    <row r="766" spans="1:4" ht="15" customHeight="1">
      <c r="A766" s="83">
        <v>40165</v>
      </c>
      <c r="B766" s="84">
        <v>5700</v>
      </c>
      <c r="C766" s="84">
        <v>5900</v>
      </c>
      <c r="D766" s="84">
        <f t="shared" si="13"/>
        <v>5800</v>
      </c>
    </row>
    <row r="767" spans="1:4" ht="15" customHeight="1">
      <c r="A767" s="83">
        <v>40168</v>
      </c>
      <c r="B767" s="84">
        <v>5700</v>
      </c>
      <c r="C767" s="84">
        <v>5900</v>
      </c>
      <c r="D767" s="84">
        <f t="shared" si="13"/>
        <v>5800</v>
      </c>
    </row>
    <row r="768" spans="1:4" ht="15" customHeight="1">
      <c r="A768" s="83">
        <v>40169</v>
      </c>
      <c r="B768" s="84">
        <v>5700</v>
      </c>
      <c r="C768" s="84">
        <v>5900</v>
      </c>
      <c r="D768" s="84">
        <f t="shared" si="13"/>
        <v>5800</v>
      </c>
    </row>
    <row r="769" spans="1:9" ht="15" customHeight="1">
      <c r="A769" s="83">
        <v>40170</v>
      </c>
      <c r="B769" s="84">
        <v>5700</v>
      </c>
      <c r="C769" s="84">
        <v>5900</v>
      </c>
      <c r="D769" s="84">
        <f t="shared" si="13"/>
        <v>5800</v>
      </c>
    </row>
    <row r="770" spans="1:9" ht="15" customHeight="1">
      <c r="A770" s="83">
        <v>40171</v>
      </c>
      <c r="B770" s="84">
        <v>5700</v>
      </c>
      <c r="C770" s="84">
        <v>5900</v>
      </c>
      <c r="D770" s="84">
        <f t="shared" si="13"/>
        <v>5800</v>
      </c>
    </row>
    <row r="771" spans="1:9" ht="15" customHeight="1">
      <c r="A771" s="83">
        <v>40172</v>
      </c>
      <c r="B771" s="1054" t="s">
        <v>64</v>
      </c>
      <c r="C771" s="1054"/>
      <c r="D771" s="1054"/>
      <c r="E771" s="1054"/>
      <c r="F771" s="1054"/>
      <c r="G771" s="1054"/>
      <c r="H771" s="1054"/>
      <c r="I771" s="1054"/>
    </row>
    <row r="772" spans="1:9" ht="15" customHeight="1">
      <c r="A772" s="83">
        <v>40175</v>
      </c>
      <c r="B772" s="1054"/>
      <c r="C772" s="1054"/>
      <c r="D772" s="1054"/>
      <c r="E772" s="1054"/>
      <c r="F772" s="1054"/>
      <c r="G772" s="1054"/>
      <c r="H772" s="1054"/>
      <c r="I772" s="1054"/>
    </row>
    <row r="773" spans="1:9" ht="15" customHeight="1">
      <c r="A773" s="83">
        <v>40176</v>
      </c>
      <c r="B773" s="84">
        <v>5700</v>
      </c>
      <c r="C773" s="84">
        <v>5900</v>
      </c>
      <c r="D773" s="84">
        <f t="shared" ref="D773:D804" si="14">AVERAGE(B773:C773)</f>
        <v>5800</v>
      </c>
    </row>
    <row r="774" spans="1:9" ht="15" customHeight="1">
      <c r="A774" s="83">
        <v>40177</v>
      </c>
      <c r="B774" s="84">
        <v>5700</v>
      </c>
      <c r="C774" s="84">
        <v>5900</v>
      </c>
      <c r="D774" s="84">
        <f t="shared" si="14"/>
        <v>5800</v>
      </c>
    </row>
    <row r="775" spans="1:9" ht="15" customHeight="1" thickBot="1">
      <c r="A775" s="88">
        <v>40178</v>
      </c>
      <c r="B775" s="89">
        <v>5700</v>
      </c>
      <c r="C775" s="89">
        <v>5900</v>
      </c>
      <c r="D775" s="89">
        <f t="shared" si="14"/>
        <v>5800</v>
      </c>
      <c r="E775" s="240">
        <f>AVERAGE(D753:D775)</f>
        <v>5928.5714285714284</v>
      </c>
      <c r="F775" s="240"/>
      <c r="G775" s="92">
        <f>AVERAGE(D710:D775)</f>
        <v>6158.203125</v>
      </c>
      <c r="H775" s="103"/>
      <c r="I775" s="107"/>
    </row>
    <row r="776" spans="1:9" ht="15" customHeight="1">
      <c r="A776" s="83">
        <v>40182</v>
      </c>
      <c r="B776" s="84">
        <v>5700</v>
      </c>
      <c r="C776" s="84">
        <v>5900</v>
      </c>
      <c r="D776" s="84">
        <f t="shared" si="14"/>
        <v>5800</v>
      </c>
    </row>
    <row r="777" spans="1:9" ht="15" customHeight="1">
      <c r="A777" s="83">
        <v>40183</v>
      </c>
      <c r="B777" s="84">
        <v>5700</v>
      </c>
      <c r="C777" s="84">
        <v>5900</v>
      </c>
      <c r="D777" s="84">
        <f t="shared" si="14"/>
        <v>5800</v>
      </c>
    </row>
    <row r="778" spans="1:9" ht="15" customHeight="1">
      <c r="A778" s="83">
        <v>40184</v>
      </c>
      <c r="B778" s="84">
        <v>5700</v>
      </c>
      <c r="C778" s="84">
        <v>5900</v>
      </c>
      <c r="D778" s="84">
        <f t="shared" si="14"/>
        <v>5800</v>
      </c>
    </row>
    <row r="779" spans="1:9" ht="15" customHeight="1">
      <c r="A779" s="83">
        <v>40185</v>
      </c>
      <c r="B779" s="84">
        <v>5700</v>
      </c>
      <c r="C779" s="84">
        <v>5900</v>
      </c>
      <c r="D779" s="84">
        <f t="shared" si="14"/>
        <v>5800</v>
      </c>
    </row>
    <row r="780" spans="1:9" ht="15" customHeight="1">
      <c r="A780" s="83">
        <v>40186</v>
      </c>
      <c r="B780" s="84">
        <v>5900</v>
      </c>
      <c r="C780" s="84">
        <v>6100</v>
      </c>
      <c r="D780" s="84">
        <f t="shared" si="14"/>
        <v>6000</v>
      </c>
    </row>
    <row r="781" spans="1:9" ht="15" customHeight="1">
      <c r="A781" s="83">
        <v>40189</v>
      </c>
      <c r="B781" s="84">
        <v>5900</v>
      </c>
      <c r="C781" s="84">
        <v>6100</v>
      </c>
      <c r="D781" s="84">
        <f t="shared" si="14"/>
        <v>6000</v>
      </c>
    </row>
    <row r="782" spans="1:9" ht="15" customHeight="1">
      <c r="A782" s="83">
        <v>40190</v>
      </c>
      <c r="B782" s="84">
        <v>5900</v>
      </c>
      <c r="C782" s="84">
        <v>6100</v>
      </c>
      <c r="D782" s="84">
        <f t="shared" si="14"/>
        <v>6000</v>
      </c>
    </row>
    <row r="783" spans="1:9" ht="15" customHeight="1">
      <c r="A783" s="83">
        <v>40191</v>
      </c>
      <c r="B783" s="84">
        <v>5900</v>
      </c>
      <c r="C783" s="84">
        <v>6100</v>
      </c>
      <c r="D783" s="84">
        <f t="shared" si="14"/>
        <v>6000</v>
      </c>
    </row>
    <row r="784" spans="1:9" ht="15" customHeight="1">
      <c r="A784" s="83">
        <v>40192</v>
      </c>
      <c r="B784" s="84">
        <v>6100</v>
      </c>
      <c r="C784" s="84">
        <v>6300</v>
      </c>
      <c r="D784" s="84">
        <f t="shared" si="14"/>
        <v>6200</v>
      </c>
    </row>
    <row r="785" spans="1:9" ht="15" customHeight="1">
      <c r="A785" s="83">
        <v>40193</v>
      </c>
      <c r="B785" s="84">
        <v>6100</v>
      </c>
      <c r="C785" s="84">
        <v>6300</v>
      </c>
      <c r="D785" s="84">
        <f t="shared" si="14"/>
        <v>6200</v>
      </c>
    </row>
    <row r="786" spans="1:9" ht="15" customHeight="1">
      <c r="A786" s="83">
        <v>40196</v>
      </c>
      <c r="B786" s="84">
        <v>6100</v>
      </c>
      <c r="C786" s="84">
        <v>6300</v>
      </c>
      <c r="D786" s="84">
        <f t="shared" si="14"/>
        <v>6200</v>
      </c>
    </row>
    <row r="787" spans="1:9" ht="15" customHeight="1">
      <c r="A787" s="83">
        <v>40197</v>
      </c>
      <c r="B787" s="84">
        <v>6100</v>
      </c>
      <c r="C787" s="84">
        <v>6300</v>
      </c>
      <c r="D787" s="84">
        <f t="shared" si="14"/>
        <v>6200</v>
      </c>
    </row>
    <row r="788" spans="1:9" ht="15" customHeight="1">
      <c r="A788" s="83">
        <v>40198</v>
      </c>
      <c r="B788" s="84">
        <v>6100</v>
      </c>
      <c r="C788" s="84">
        <v>6300</v>
      </c>
      <c r="D788" s="84">
        <f t="shared" si="14"/>
        <v>6200</v>
      </c>
    </row>
    <row r="789" spans="1:9" ht="15" customHeight="1">
      <c r="A789" s="83">
        <v>40199</v>
      </c>
      <c r="B789" s="84">
        <v>6200</v>
      </c>
      <c r="C789" s="84">
        <v>6400</v>
      </c>
      <c r="D789" s="84">
        <f t="shared" si="14"/>
        <v>6300</v>
      </c>
    </row>
    <row r="790" spans="1:9" ht="15" customHeight="1">
      <c r="A790" s="83">
        <v>40200</v>
      </c>
      <c r="B790" s="84">
        <v>6200</v>
      </c>
      <c r="C790" s="84">
        <v>6400</v>
      </c>
      <c r="D790" s="84">
        <f t="shared" si="14"/>
        <v>6300</v>
      </c>
    </row>
    <row r="791" spans="1:9" ht="15" customHeight="1">
      <c r="A791" s="83">
        <v>40203</v>
      </c>
      <c r="B791" s="84">
        <v>6200</v>
      </c>
      <c r="C791" s="84">
        <v>6400</v>
      </c>
      <c r="D791" s="84">
        <f t="shared" si="14"/>
        <v>6300</v>
      </c>
    </row>
    <row r="792" spans="1:9" ht="15" customHeight="1">
      <c r="A792" s="83">
        <v>40204</v>
      </c>
      <c r="B792" s="84">
        <v>6200</v>
      </c>
      <c r="C792" s="84">
        <v>6400</v>
      </c>
      <c r="D792" s="84">
        <f t="shared" si="14"/>
        <v>6300</v>
      </c>
    </row>
    <row r="793" spans="1:9" ht="15" customHeight="1">
      <c r="A793" s="83">
        <v>40205</v>
      </c>
      <c r="B793" s="84">
        <v>6200</v>
      </c>
      <c r="C793" s="84">
        <v>6400</v>
      </c>
      <c r="D793" s="84">
        <f t="shared" si="14"/>
        <v>6300</v>
      </c>
    </row>
    <row r="794" spans="1:9" ht="15" customHeight="1">
      <c r="A794" s="83">
        <v>40206</v>
      </c>
      <c r="B794" s="84">
        <v>6200</v>
      </c>
      <c r="C794" s="84">
        <v>6400</v>
      </c>
      <c r="D794" s="84">
        <f t="shared" si="14"/>
        <v>6300</v>
      </c>
    </row>
    <row r="795" spans="1:9" ht="15" customHeight="1" thickBot="1">
      <c r="A795" s="88">
        <v>40207</v>
      </c>
      <c r="B795" s="89">
        <v>6350</v>
      </c>
      <c r="C795" s="89">
        <v>6450</v>
      </c>
      <c r="D795" s="89">
        <f t="shared" si="14"/>
        <v>6400</v>
      </c>
      <c r="E795" s="240">
        <f>AVERAGE(D776:D795)</f>
        <v>6120</v>
      </c>
      <c r="F795" s="240"/>
      <c r="G795" s="92"/>
      <c r="H795" s="103"/>
      <c r="I795" s="107"/>
    </row>
    <row r="796" spans="1:9" ht="15" customHeight="1">
      <c r="A796" s="83">
        <v>40210</v>
      </c>
      <c r="B796" s="84">
        <v>6350</v>
      </c>
      <c r="C796" s="84">
        <v>6450</v>
      </c>
      <c r="D796" s="84">
        <f t="shared" si="14"/>
        <v>6400</v>
      </c>
    </row>
    <row r="797" spans="1:9" ht="15" customHeight="1">
      <c r="A797" s="83">
        <v>40211</v>
      </c>
      <c r="B797" s="84">
        <v>6350</v>
      </c>
      <c r="C797" s="84">
        <v>6450</v>
      </c>
      <c r="D797" s="84">
        <f t="shared" si="14"/>
        <v>6400</v>
      </c>
    </row>
    <row r="798" spans="1:9" ht="15" customHeight="1">
      <c r="A798" s="83">
        <v>40212</v>
      </c>
      <c r="B798" s="84">
        <v>6400</v>
      </c>
      <c r="C798" s="84">
        <v>6600</v>
      </c>
      <c r="D798" s="84">
        <f t="shared" si="14"/>
        <v>6500</v>
      </c>
    </row>
    <row r="799" spans="1:9" ht="15" customHeight="1">
      <c r="A799" s="83">
        <v>40213</v>
      </c>
      <c r="B799" s="84">
        <v>6400</v>
      </c>
      <c r="C799" s="84">
        <v>6600</v>
      </c>
      <c r="D799" s="84">
        <f t="shared" si="14"/>
        <v>6500</v>
      </c>
    </row>
    <row r="800" spans="1:9" ht="15" customHeight="1">
      <c r="A800" s="83">
        <v>40214</v>
      </c>
      <c r="B800" s="84">
        <v>6400</v>
      </c>
      <c r="C800" s="84">
        <v>6600</v>
      </c>
      <c r="D800" s="84">
        <f t="shared" si="14"/>
        <v>6500</v>
      </c>
    </row>
    <row r="801" spans="1:9" ht="15" customHeight="1">
      <c r="A801" s="83">
        <v>40217</v>
      </c>
      <c r="B801" s="84">
        <v>6400</v>
      </c>
      <c r="C801" s="84">
        <v>6600</v>
      </c>
      <c r="D801" s="84">
        <f t="shared" si="14"/>
        <v>6500</v>
      </c>
    </row>
    <row r="802" spans="1:9" ht="15" customHeight="1">
      <c r="A802" s="83">
        <v>40218</v>
      </c>
      <c r="B802" s="84">
        <v>6400</v>
      </c>
      <c r="C802" s="84">
        <v>6600</v>
      </c>
      <c r="D802" s="84">
        <f t="shared" si="14"/>
        <v>6500</v>
      </c>
    </row>
    <row r="803" spans="1:9" ht="15" customHeight="1">
      <c r="A803" s="83">
        <v>40219</v>
      </c>
      <c r="B803" s="84">
        <v>6400</v>
      </c>
      <c r="C803" s="84">
        <v>6600</v>
      </c>
      <c r="D803" s="84">
        <f t="shared" si="14"/>
        <v>6500</v>
      </c>
    </row>
    <row r="804" spans="1:9" ht="15" customHeight="1">
      <c r="A804" s="83">
        <v>40220</v>
      </c>
      <c r="B804" s="84">
        <v>6400</v>
      </c>
      <c r="C804" s="84">
        <v>6600</v>
      </c>
      <c r="D804" s="84">
        <f t="shared" si="14"/>
        <v>6500</v>
      </c>
    </row>
    <row r="805" spans="1:9" ht="15" customHeight="1">
      <c r="A805" s="83">
        <v>40221</v>
      </c>
      <c r="B805" s="84">
        <v>6400</v>
      </c>
      <c r="C805" s="84">
        <v>6600</v>
      </c>
      <c r="D805" s="84">
        <f t="shared" ref="D805:D836" si="15">AVERAGE(B805:C805)</f>
        <v>6500</v>
      </c>
    </row>
    <row r="806" spans="1:9" ht="15" customHeight="1">
      <c r="A806" s="83">
        <v>40224</v>
      </c>
      <c r="B806" s="84">
        <v>6400</v>
      </c>
      <c r="C806" s="84">
        <v>6500</v>
      </c>
      <c r="D806" s="84">
        <f t="shared" si="15"/>
        <v>6450</v>
      </c>
    </row>
    <row r="807" spans="1:9" ht="15" customHeight="1">
      <c r="A807" s="83">
        <v>40225</v>
      </c>
      <c r="B807" s="84">
        <v>6400</v>
      </c>
      <c r="C807" s="84">
        <v>6500</v>
      </c>
      <c r="D807" s="84">
        <f t="shared" si="15"/>
        <v>6450</v>
      </c>
    </row>
    <row r="808" spans="1:9" ht="15" customHeight="1">
      <c r="A808" s="83">
        <v>40226</v>
      </c>
      <c r="B808" s="84">
        <v>6400</v>
      </c>
      <c r="C808" s="84">
        <v>6500</v>
      </c>
      <c r="D808" s="84">
        <f t="shared" si="15"/>
        <v>6450</v>
      </c>
    </row>
    <row r="809" spans="1:9" ht="15" customHeight="1">
      <c r="A809" s="83">
        <v>40227</v>
      </c>
      <c r="B809" s="84">
        <v>6400</v>
      </c>
      <c r="C809" s="84">
        <v>6500</v>
      </c>
      <c r="D809" s="84">
        <f t="shared" si="15"/>
        <v>6450</v>
      </c>
    </row>
    <row r="810" spans="1:9" ht="15" customHeight="1">
      <c r="A810" s="83">
        <v>40228</v>
      </c>
      <c r="B810" s="84">
        <v>6400</v>
      </c>
      <c r="C810" s="84">
        <v>6500</v>
      </c>
      <c r="D810" s="84">
        <f t="shared" si="15"/>
        <v>6450</v>
      </c>
    </row>
    <row r="811" spans="1:9" ht="15" customHeight="1">
      <c r="A811" s="83">
        <v>40231</v>
      </c>
      <c r="B811" s="84">
        <v>6400</v>
      </c>
      <c r="C811" s="84">
        <v>6500</v>
      </c>
      <c r="D811" s="84">
        <f t="shared" si="15"/>
        <v>6450</v>
      </c>
    </row>
    <row r="812" spans="1:9" ht="15" customHeight="1">
      <c r="A812" s="83">
        <v>40232</v>
      </c>
      <c r="B812" s="84">
        <v>6400</v>
      </c>
      <c r="C812" s="84">
        <v>6500</v>
      </c>
      <c r="D812" s="84">
        <f t="shared" si="15"/>
        <v>6450</v>
      </c>
    </row>
    <row r="813" spans="1:9" ht="15" customHeight="1">
      <c r="A813" s="83">
        <v>40233</v>
      </c>
      <c r="B813" s="84">
        <v>6400</v>
      </c>
      <c r="C813" s="84">
        <v>6500</v>
      </c>
      <c r="D813" s="84">
        <f t="shared" si="15"/>
        <v>6450</v>
      </c>
    </row>
    <row r="814" spans="1:9" ht="15" customHeight="1">
      <c r="A814" s="83">
        <v>40234</v>
      </c>
      <c r="B814" s="84">
        <v>6400</v>
      </c>
      <c r="C814" s="84">
        <v>6500</v>
      </c>
      <c r="D814" s="84">
        <f t="shared" si="15"/>
        <v>6450</v>
      </c>
    </row>
    <row r="815" spans="1:9" ht="15" customHeight="1" thickBot="1">
      <c r="A815" s="88">
        <v>40235</v>
      </c>
      <c r="B815" s="89">
        <v>6400</v>
      </c>
      <c r="C815" s="89">
        <v>6500</v>
      </c>
      <c r="D815" s="89">
        <f t="shared" si="15"/>
        <v>6450</v>
      </c>
      <c r="E815" s="240">
        <f>AVERAGE(D796:D815)</f>
        <v>6465</v>
      </c>
      <c r="F815" s="240"/>
      <c r="G815" s="92"/>
      <c r="H815" s="103"/>
      <c r="I815" s="107"/>
    </row>
    <row r="816" spans="1:9" ht="15" customHeight="1">
      <c r="A816" s="83">
        <v>40238</v>
      </c>
      <c r="B816" s="84">
        <v>6400</v>
      </c>
      <c r="C816" s="84">
        <v>6500</v>
      </c>
      <c r="D816" s="84">
        <f t="shared" si="15"/>
        <v>6450</v>
      </c>
    </row>
    <row r="817" spans="1:4" ht="15" customHeight="1">
      <c r="A817" s="83">
        <v>40239</v>
      </c>
      <c r="B817" s="84">
        <v>6400</v>
      </c>
      <c r="C817" s="84">
        <v>6500</v>
      </c>
      <c r="D817" s="84">
        <f t="shared" si="15"/>
        <v>6450</v>
      </c>
    </row>
    <row r="818" spans="1:4" ht="15" customHeight="1">
      <c r="A818" s="83">
        <v>40240</v>
      </c>
      <c r="B818" s="84">
        <v>6400</v>
      </c>
      <c r="C818" s="84">
        <v>6500</v>
      </c>
      <c r="D818" s="84">
        <f t="shared" si="15"/>
        <v>6450</v>
      </c>
    </row>
    <row r="819" spans="1:4" ht="15" customHeight="1">
      <c r="A819" s="83">
        <v>40241</v>
      </c>
      <c r="B819" s="84">
        <v>6400</v>
      </c>
      <c r="C819" s="84">
        <v>6500</v>
      </c>
      <c r="D819" s="84">
        <f t="shared" si="15"/>
        <v>6450</v>
      </c>
    </row>
    <row r="820" spans="1:4" ht="15" customHeight="1">
      <c r="A820" s="83">
        <v>40242</v>
      </c>
      <c r="B820" s="84">
        <v>6400</v>
      </c>
      <c r="C820" s="84">
        <v>6500</v>
      </c>
      <c r="D820" s="84">
        <f t="shared" si="15"/>
        <v>6450</v>
      </c>
    </row>
    <row r="821" spans="1:4" ht="15" customHeight="1">
      <c r="A821" s="83">
        <v>40245</v>
      </c>
      <c r="B821" s="84">
        <v>6400</v>
      </c>
      <c r="C821" s="84">
        <v>6500</v>
      </c>
      <c r="D821" s="84">
        <f t="shared" si="15"/>
        <v>6450</v>
      </c>
    </row>
    <row r="822" spans="1:4" ht="15" customHeight="1">
      <c r="A822" s="83">
        <v>40246</v>
      </c>
      <c r="B822" s="84">
        <v>6400</v>
      </c>
      <c r="C822" s="84">
        <v>6500</v>
      </c>
      <c r="D822" s="84">
        <f t="shared" si="15"/>
        <v>6450</v>
      </c>
    </row>
    <row r="823" spans="1:4" ht="15" customHeight="1">
      <c r="A823" s="83">
        <v>40247</v>
      </c>
      <c r="B823" s="84">
        <v>6400</v>
      </c>
      <c r="C823" s="84">
        <v>6500</v>
      </c>
      <c r="D823" s="84">
        <f t="shared" si="15"/>
        <v>6450</v>
      </c>
    </row>
    <row r="824" spans="1:4" ht="15" customHeight="1">
      <c r="A824" s="83">
        <v>40248</v>
      </c>
      <c r="B824" s="84">
        <v>6500</v>
      </c>
      <c r="C824" s="84">
        <v>6650</v>
      </c>
      <c r="D824" s="84">
        <f t="shared" si="15"/>
        <v>6575</v>
      </c>
    </row>
    <row r="825" spans="1:4" ht="15" customHeight="1">
      <c r="A825" s="83">
        <v>40249</v>
      </c>
      <c r="B825" s="84">
        <v>6500</v>
      </c>
      <c r="C825" s="84">
        <v>6650</v>
      </c>
      <c r="D825" s="84">
        <f t="shared" si="15"/>
        <v>6575</v>
      </c>
    </row>
    <row r="826" spans="1:4" ht="15" customHeight="1">
      <c r="A826" s="83">
        <v>40252</v>
      </c>
      <c r="B826" s="84">
        <v>6500</v>
      </c>
      <c r="C826" s="84">
        <v>6650</v>
      </c>
      <c r="D826" s="84">
        <f t="shared" si="15"/>
        <v>6575</v>
      </c>
    </row>
    <row r="827" spans="1:4" ht="15" customHeight="1">
      <c r="A827" s="83">
        <v>40253</v>
      </c>
      <c r="B827" s="84">
        <v>6500</v>
      </c>
      <c r="C827" s="84">
        <v>6650</v>
      </c>
      <c r="D827" s="84">
        <f t="shared" si="15"/>
        <v>6575</v>
      </c>
    </row>
    <row r="828" spans="1:4" ht="15" customHeight="1">
      <c r="A828" s="83">
        <v>40254</v>
      </c>
      <c r="B828" s="84">
        <v>6500</v>
      </c>
      <c r="C828" s="84">
        <v>6650</v>
      </c>
      <c r="D828" s="84">
        <f t="shared" si="15"/>
        <v>6575</v>
      </c>
    </row>
    <row r="829" spans="1:4" ht="15" customHeight="1">
      <c r="A829" s="83">
        <v>40255</v>
      </c>
      <c r="B829" s="84">
        <v>6500</v>
      </c>
      <c r="C829" s="84">
        <v>6650</v>
      </c>
      <c r="D829" s="84">
        <f t="shared" si="15"/>
        <v>6575</v>
      </c>
    </row>
    <row r="830" spans="1:4" ht="15" customHeight="1">
      <c r="A830" s="83">
        <v>40256</v>
      </c>
      <c r="B830" s="84">
        <v>6600</v>
      </c>
      <c r="C830" s="84">
        <v>6700</v>
      </c>
      <c r="D830" s="84">
        <f t="shared" si="15"/>
        <v>6650</v>
      </c>
    </row>
    <row r="831" spans="1:4" ht="15" customHeight="1">
      <c r="A831" s="83">
        <v>40259</v>
      </c>
      <c r="B831" s="84">
        <v>6600</v>
      </c>
      <c r="C831" s="84">
        <v>6700</v>
      </c>
      <c r="D831" s="84">
        <f t="shared" si="15"/>
        <v>6650</v>
      </c>
    </row>
    <row r="832" spans="1:4" ht="15" customHeight="1">
      <c r="A832" s="83">
        <v>40260</v>
      </c>
      <c r="B832" s="84">
        <v>6600</v>
      </c>
      <c r="C832" s="84">
        <v>6700</v>
      </c>
      <c r="D832" s="84">
        <f t="shared" si="15"/>
        <v>6650</v>
      </c>
    </row>
    <row r="833" spans="1:9" ht="15" customHeight="1">
      <c r="A833" s="83">
        <v>40261</v>
      </c>
      <c r="B833" s="84">
        <v>6600</v>
      </c>
      <c r="C833" s="84">
        <v>6700</v>
      </c>
      <c r="D833" s="84">
        <f t="shared" si="15"/>
        <v>6650</v>
      </c>
    </row>
    <row r="834" spans="1:9" ht="15" customHeight="1">
      <c r="A834" s="83">
        <v>40262</v>
      </c>
      <c r="B834" s="84">
        <v>6650</v>
      </c>
      <c r="C834" s="84">
        <v>6800</v>
      </c>
      <c r="D834" s="84">
        <f t="shared" si="15"/>
        <v>6725</v>
      </c>
    </row>
    <row r="835" spans="1:9" ht="15" customHeight="1">
      <c r="A835" s="83">
        <v>40263</v>
      </c>
      <c r="B835" s="84">
        <v>6650</v>
      </c>
      <c r="C835" s="84">
        <v>6800</v>
      </c>
      <c r="D835" s="84">
        <f t="shared" si="15"/>
        <v>6725</v>
      </c>
    </row>
    <row r="836" spans="1:9" ht="15" customHeight="1">
      <c r="A836" s="83">
        <v>40265</v>
      </c>
      <c r="B836" s="84">
        <v>6650</v>
      </c>
      <c r="C836" s="84">
        <v>6800</v>
      </c>
      <c r="D836" s="84">
        <f t="shared" si="15"/>
        <v>6725</v>
      </c>
    </row>
    <row r="837" spans="1:9" ht="15" customHeight="1">
      <c r="A837" s="83">
        <v>40267</v>
      </c>
      <c r="B837" s="84">
        <v>6650</v>
      </c>
      <c r="C837" s="84">
        <v>6800</v>
      </c>
      <c r="D837" s="84">
        <f>AVERAGE(B837:C837)</f>
        <v>6725</v>
      </c>
    </row>
    <row r="838" spans="1:9" ht="15" customHeight="1" thickBot="1">
      <c r="A838" s="88">
        <v>40268</v>
      </c>
      <c r="B838" s="89">
        <v>6650</v>
      </c>
      <c r="C838" s="89">
        <v>6800</v>
      </c>
      <c r="D838" s="89">
        <f>AVERAGE(B838:C838)</f>
        <v>6725</v>
      </c>
      <c r="E838" s="240">
        <f>AVERAGE(D816:D838)</f>
        <v>6577.173913043478</v>
      </c>
      <c r="F838" s="240"/>
      <c r="G838" s="92">
        <f>AVERAGE(D776:D838)</f>
        <v>6396.4285714285716</v>
      </c>
      <c r="H838" s="103"/>
      <c r="I838" s="107"/>
    </row>
    <row r="839" spans="1:9" ht="15" customHeight="1">
      <c r="A839" s="83">
        <v>40269</v>
      </c>
      <c r="B839" s="84">
        <v>7000</v>
      </c>
      <c r="C839" s="84">
        <v>7200</v>
      </c>
      <c r="D839" s="84">
        <f>AVERAGE(B839:C839)</f>
        <v>7100</v>
      </c>
    </row>
    <row r="840" spans="1:9" ht="15" customHeight="1">
      <c r="A840" s="83">
        <v>40270</v>
      </c>
      <c r="B840" s="1054" t="s">
        <v>65</v>
      </c>
      <c r="C840" s="1054"/>
      <c r="D840" s="1054"/>
      <c r="E840" s="1054"/>
      <c r="F840" s="1054"/>
      <c r="G840" s="1054"/>
      <c r="H840" s="1054"/>
      <c r="I840" s="1054"/>
    </row>
    <row r="841" spans="1:9" ht="15" customHeight="1">
      <c r="A841" s="83">
        <v>40273</v>
      </c>
      <c r="B841" s="1054"/>
      <c r="C841" s="1054"/>
      <c r="D841" s="1054"/>
      <c r="E841" s="1054"/>
      <c r="F841" s="1054"/>
      <c r="G841" s="1054"/>
      <c r="H841" s="1054"/>
      <c r="I841" s="1054"/>
    </row>
    <row r="842" spans="1:9" ht="15" customHeight="1">
      <c r="A842" s="83">
        <v>40274</v>
      </c>
      <c r="B842" s="84">
        <v>7000</v>
      </c>
      <c r="C842" s="84">
        <v>7200</v>
      </c>
      <c r="D842" s="84">
        <f t="shared" ref="D842:D878" si="16">AVERAGE(B842:C842)</f>
        <v>7100</v>
      </c>
    </row>
    <row r="843" spans="1:9" ht="15" customHeight="1">
      <c r="A843" s="83">
        <v>40275</v>
      </c>
      <c r="B843" s="84">
        <v>7000</v>
      </c>
      <c r="C843" s="84">
        <v>7200</v>
      </c>
      <c r="D843" s="84">
        <f t="shared" si="16"/>
        <v>7100</v>
      </c>
    </row>
    <row r="844" spans="1:9" ht="15" customHeight="1">
      <c r="A844" s="83">
        <v>40276</v>
      </c>
      <c r="B844" s="84">
        <v>7000</v>
      </c>
      <c r="C844" s="84">
        <v>7200</v>
      </c>
      <c r="D844" s="84">
        <f t="shared" si="16"/>
        <v>7100</v>
      </c>
    </row>
    <row r="845" spans="1:9" ht="15" customHeight="1">
      <c r="A845" s="83">
        <v>40277</v>
      </c>
      <c r="B845" s="84">
        <v>7400</v>
      </c>
      <c r="C845" s="84">
        <v>7900</v>
      </c>
      <c r="D845" s="84">
        <f t="shared" si="16"/>
        <v>7650</v>
      </c>
    </row>
    <row r="846" spans="1:9" ht="15" customHeight="1">
      <c r="A846" s="83">
        <v>40280</v>
      </c>
      <c r="B846" s="84">
        <v>7400</v>
      </c>
      <c r="C846" s="84">
        <v>7900</v>
      </c>
      <c r="D846" s="84">
        <f t="shared" si="16"/>
        <v>7650</v>
      </c>
    </row>
    <row r="847" spans="1:9" ht="15" customHeight="1">
      <c r="A847" s="83">
        <v>40281</v>
      </c>
      <c r="B847" s="84">
        <v>7400</v>
      </c>
      <c r="C847" s="84">
        <v>7900</v>
      </c>
      <c r="D847" s="84">
        <f t="shared" si="16"/>
        <v>7650</v>
      </c>
    </row>
    <row r="848" spans="1:9" ht="15" customHeight="1">
      <c r="A848" s="83">
        <v>40282</v>
      </c>
      <c r="B848" s="84">
        <v>7400</v>
      </c>
      <c r="C848" s="84">
        <v>7900</v>
      </c>
      <c r="D848" s="84">
        <f t="shared" si="16"/>
        <v>7650</v>
      </c>
    </row>
    <row r="849" spans="1:9" ht="15" customHeight="1">
      <c r="A849" s="83">
        <v>40283</v>
      </c>
      <c r="B849" s="84">
        <v>7400</v>
      </c>
      <c r="C849" s="84">
        <v>7900</v>
      </c>
      <c r="D849" s="84">
        <f t="shared" si="16"/>
        <v>7650</v>
      </c>
    </row>
    <row r="850" spans="1:9" ht="15" customHeight="1">
      <c r="A850" s="83">
        <v>40284</v>
      </c>
      <c r="B850" s="84">
        <v>7750</v>
      </c>
      <c r="C850" s="84">
        <v>8250</v>
      </c>
      <c r="D850" s="84">
        <f t="shared" si="16"/>
        <v>8000</v>
      </c>
    </row>
    <row r="851" spans="1:9" ht="15" customHeight="1">
      <c r="A851" s="83">
        <v>40287</v>
      </c>
      <c r="B851" s="84">
        <v>7750</v>
      </c>
      <c r="C851" s="84">
        <v>8250</v>
      </c>
      <c r="D851" s="84">
        <f t="shared" si="16"/>
        <v>8000</v>
      </c>
    </row>
    <row r="852" spans="1:9" ht="15" customHeight="1">
      <c r="A852" s="83">
        <v>40288</v>
      </c>
      <c r="B852" s="84">
        <v>7750</v>
      </c>
      <c r="C852" s="84">
        <v>8250</v>
      </c>
      <c r="D852" s="84">
        <f t="shared" si="16"/>
        <v>8000</v>
      </c>
    </row>
    <row r="853" spans="1:9" ht="15" customHeight="1">
      <c r="A853" s="83">
        <v>40289</v>
      </c>
      <c r="B853" s="84">
        <v>7750</v>
      </c>
      <c r="C853" s="84">
        <v>8250</v>
      </c>
      <c r="D853" s="84">
        <f t="shared" si="16"/>
        <v>8000</v>
      </c>
    </row>
    <row r="854" spans="1:9" ht="15" customHeight="1">
      <c r="A854" s="83">
        <v>40290</v>
      </c>
      <c r="B854" s="84">
        <v>8500</v>
      </c>
      <c r="C854" s="84">
        <v>9000</v>
      </c>
      <c r="D854" s="84">
        <f t="shared" si="16"/>
        <v>8750</v>
      </c>
    </row>
    <row r="855" spans="1:9" ht="15" customHeight="1">
      <c r="A855" s="83">
        <v>40291</v>
      </c>
      <c r="B855" s="84">
        <v>8500</v>
      </c>
      <c r="C855" s="84">
        <v>9000</v>
      </c>
      <c r="D855" s="84">
        <f t="shared" si="16"/>
        <v>8750</v>
      </c>
    </row>
    <row r="856" spans="1:9" ht="15" customHeight="1">
      <c r="A856" s="83">
        <v>40294</v>
      </c>
      <c r="B856" s="84">
        <v>8500</v>
      </c>
      <c r="C856" s="84">
        <v>9000</v>
      </c>
      <c r="D856" s="84">
        <f t="shared" si="16"/>
        <v>8750</v>
      </c>
    </row>
    <row r="857" spans="1:9" ht="15" customHeight="1">
      <c r="A857" s="83">
        <v>40295</v>
      </c>
      <c r="B857" s="84">
        <v>8500</v>
      </c>
      <c r="C857" s="84">
        <v>9000</v>
      </c>
      <c r="D857" s="84">
        <f t="shared" si="16"/>
        <v>8750</v>
      </c>
    </row>
    <row r="858" spans="1:9" ht="15" customHeight="1">
      <c r="A858" s="83">
        <v>40296</v>
      </c>
      <c r="B858" s="84">
        <v>8500</v>
      </c>
      <c r="C858" s="84">
        <v>9000</v>
      </c>
      <c r="D858" s="84">
        <f t="shared" si="16"/>
        <v>8750</v>
      </c>
    </row>
    <row r="859" spans="1:9" ht="15" customHeight="1">
      <c r="A859" s="83">
        <v>40297</v>
      </c>
      <c r="B859" s="84">
        <v>9000</v>
      </c>
      <c r="C859" s="84">
        <v>9750</v>
      </c>
      <c r="D859" s="84">
        <f t="shared" si="16"/>
        <v>9375</v>
      </c>
    </row>
    <row r="860" spans="1:9" ht="15" customHeight="1" thickBot="1">
      <c r="A860" s="88">
        <v>40298</v>
      </c>
      <c r="B860" s="89">
        <v>9000</v>
      </c>
      <c r="C860" s="89">
        <v>9750</v>
      </c>
      <c r="D860" s="89">
        <f t="shared" si="16"/>
        <v>9375</v>
      </c>
      <c r="E860" s="240">
        <f>AVERAGE(D839:D860)</f>
        <v>8057.5</v>
      </c>
      <c r="F860" s="240"/>
      <c r="G860" s="92"/>
      <c r="H860" s="103"/>
      <c r="I860" s="107"/>
    </row>
    <row r="861" spans="1:9" ht="15" customHeight="1">
      <c r="A861" s="83">
        <v>40302</v>
      </c>
      <c r="B861" s="84">
        <v>9000</v>
      </c>
      <c r="C861" s="84">
        <v>9750</v>
      </c>
      <c r="D861" s="84">
        <f t="shared" si="16"/>
        <v>9375</v>
      </c>
    </row>
    <row r="862" spans="1:9" ht="15" customHeight="1">
      <c r="A862" s="83">
        <v>40303</v>
      </c>
      <c r="B862" s="84">
        <v>9000</v>
      </c>
      <c r="C862" s="84">
        <v>9750</v>
      </c>
      <c r="D862" s="84">
        <f t="shared" si="16"/>
        <v>9375</v>
      </c>
    </row>
    <row r="863" spans="1:9" ht="15" customHeight="1">
      <c r="A863" s="83">
        <v>40304</v>
      </c>
      <c r="B863" s="84">
        <v>9300</v>
      </c>
      <c r="C863" s="84">
        <v>9800</v>
      </c>
      <c r="D863" s="84">
        <f t="shared" si="16"/>
        <v>9550</v>
      </c>
    </row>
    <row r="864" spans="1:9" ht="15" customHeight="1">
      <c r="A864" s="83">
        <v>40305</v>
      </c>
      <c r="B864" s="84">
        <v>9300</v>
      </c>
      <c r="C864" s="84">
        <v>9800</v>
      </c>
      <c r="D864" s="84">
        <f t="shared" si="16"/>
        <v>9550</v>
      </c>
    </row>
    <row r="865" spans="1:9" ht="15" customHeight="1">
      <c r="A865" s="83">
        <v>40308</v>
      </c>
      <c r="B865" s="84">
        <v>9300</v>
      </c>
      <c r="C865" s="84">
        <v>9800</v>
      </c>
      <c r="D865" s="84">
        <f t="shared" si="16"/>
        <v>9550</v>
      </c>
    </row>
    <row r="866" spans="1:9" ht="15" customHeight="1">
      <c r="A866" s="83">
        <v>40309</v>
      </c>
      <c r="B866" s="84">
        <v>9300</v>
      </c>
      <c r="C866" s="84">
        <v>9800</v>
      </c>
      <c r="D866" s="84">
        <f t="shared" si="16"/>
        <v>9550</v>
      </c>
    </row>
    <row r="867" spans="1:9" ht="15" customHeight="1">
      <c r="A867" s="83">
        <v>40310</v>
      </c>
      <c r="B867" s="84">
        <v>9300</v>
      </c>
      <c r="C867" s="84">
        <v>9800</v>
      </c>
      <c r="D867" s="84">
        <f t="shared" si="16"/>
        <v>9550</v>
      </c>
    </row>
    <row r="868" spans="1:9" ht="15" customHeight="1">
      <c r="A868" s="83">
        <v>40311</v>
      </c>
      <c r="B868" s="84">
        <v>9300</v>
      </c>
      <c r="C868" s="84">
        <v>9700</v>
      </c>
      <c r="D868" s="84">
        <f t="shared" si="16"/>
        <v>9500</v>
      </c>
    </row>
    <row r="869" spans="1:9" ht="15" customHeight="1">
      <c r="A869" s="83">
        <v>40312</v>
      </c>
      <c r="B869" s="84">
        <v>9300</v>
      </c>
      <c r="C869" s="84">
        <v>9700</v>
      </c>
      <c r="D869" s="84">
        <f t="shared" si="16"/>
        <v>9500</v>
      </c>
    </row>
    <row r="870" spans="1:9" ht="15" customHeight="1">
      <c r="A870" s="83">
        <v>40315</v>
      </c>
      <c r="B870" s="84">
        <v>9300</v>
      </c>
      <c r="C870" s="84">
        <v>9700</v>
      </c>
      <c r="D870" s="84">
        <f t="shared" si="16"/>
        <v>9500</v>
      </c>
    </row>
    <row r="871" spans="1:9" ht="15" customHeight="1">
      <c r="A871" s="83">
        <v>40316</v>
      </c>
      <c r="B871" s="84">
        <v>9300</v>
      </c>
      <c r="C871" s="84">
        <v>9700</v>
      </c>
      <c r="D871" s="84">
        <f t="shared" si="16"/>
        <v>9500</v>
      </c>
    </row>
    <row r="872" spans="1:9" ht="15" customHeight="1">
      <c r="A872" s="83">
        <v>40317</v>
      </c>
      <c r="B872" s="84">
        <v>9300</v>
      </c>
      <c r="C872" s="84">
        <v>9500</v>
      </c>
      <c r="D872" s="84">
        <f t="shared" si="16"/>
        <v>9400</v>
      </c>
    </row>
    <row r="873" spans="1:9" ht="15" customHeight="1">
      <c r="A873" s="83">
        <v>40318</v>
      </c>
      <c r="B873" s="84">
        <v>9300</v>
      </c>
      <c r="C873" s="84">
        <v>9500</v>
      </c>
      <c r="D873" s="84">
        <f t="shared" si="16"/>
        <v>9400</v>
      </c>
    </row>
    <row r="874" spans="1:9" ht="15" customHeight="1">
      <c r="A874" s="83">
        <v>40319</v>
      </c>
      <c r="B874" s="84">
        <v>9300</v>
      </c>
      <c r="C874" s="84">
        <v>9500</v>
      </c>
      <c r="D874" s="84">
        <f t="shared" si="16"/>
        <v>9400</v>
      </c>
    </row>
    <row r="875" spans="1:9" ht="15" customHeight="1">
      <c r="A875" s="83">
        <v>40322</v>
      </c>
      <c r="B875" s="84">
        <v>9300</v>
      </c>
      <c r="C875" s="84">
        <v>9500</v>
      </c>
      <c r="D875" s="84">
        <f t="shared" si="16"/>
        <v>9400</v>
      </c>
    </row>
    <row r="876" spans="1:9" ht="15" customHeight="1">
      <c r="A876" s="83">
        <v>40323</v>
      </c>
      <c r="B876" s="84">
        <v>9300</v>
      </c>
      <c r="C876" s="84">
        <v>9500</v>
      </c>
      <c r="D876" s="84">
        <f t="shared" si="16"/>
        <v>9400</v>
      </c>
    </row>
    <row r="877" spans="1:9" ht="15" customHeight="1">
      <c r="A877" s="83">
        <v>40324</v>
      </c>
      <c r="B877" s="84">
        <v>9300</v>
      </c>
      <c r="C877" s="84">
        <v>9500</v>
      </c>
      <c r="D877" s="84">
        <f t="shared" si="16"/>
        <v>9400</v>
      </c>
    </row>
    <row r="878" spans="1:9" ht="15" customHeight="1">
      <c r="A878" s="83">
        <v>40325</v>
      </c>
      <c r="B878" s="84">
        <v>8500</v>
      </c>
      <c r="C878" s="84">
        <v>9500</v>
      </c>
      <c r="D878" s="84">
        <f t="shared" si="16"/>
        <v>9000</v>
      </c>
    </row>
    <row r="879" spans="1:9" ht="15" customHeight="1">
      <c r="A879" s="83">
        <v>40326</v>
      </c>
      <c r="B879" s="84">
        <v>8500</v>
      </c>
      <c r="C879" s="84">
        <v>9500</v>
      </c>
      <c r="D879" s="84">
        <f>AVERAGE(B879:C879)</f>
        <v>9000</v>
      </c>
      <c r="E879" s="239">
        <f>AVERAGE(D861:D879)</f>
        <v>9415.78947368421</v>
      </c>
      <c r="F879" s="239"/>
    </row>
    <row r="880" spans="1:9" ht="15" customHeight="1" thickBot="1">
      <c r="A880" s="88">
        <v>40329</v>
      </c>
      <c r="B880" s="1055" t="s">
        <v>68</v>
      </c>
      <c r="C880" s="1055"/>
      <c r="D880" s="1055"/>
      <c r="E880" s="1055"/>
      <c r="F880" s="1055"/>
      <c r="G880" s="1055"/>
      <c r="H880" s="1055"/>
      <c r="I880" s="1055"/>
    </row>
    <row r="881" spans="1:4" ht="15" customHeight="1">
      <c r="A881" s="83">
        <v>40330</v>
      </c>
      <c r="B881" s="84">
        <v>8500</v>
      </c>
      <c r="C881" s="84">
        <v>9500</v>
      </c>
      <c r="D881" s="84">
        <f t="shared" ref="D881:D886" si="17">AVERAGE(B881:C881)</f>
        <v>9000</v>
      </c>
    </row>
    <row r="882" spans="1:4" ht="15" customHeight="1">
      <c r="A882" s="83">
        <v>40331</v>
      </c>
      <c r="B882" s="84">
        <v>8500</v>
      </c>
      <c r="C882" s="84">
        <v>9500</v>
      </c>
      <c r="D882" s="84">
        <f t="shared" si="17"/>
        <v>9000</v>
      </c>
    </row>
    <row r="883" spans="1:4" ht="15" customHeight="1">
      <c r="A883" s="83">
        <v>8500</v>
      </c>
      <c r="B883" s="84">
        <v>8500</v>
      </c>
      <c r="C883" s="84">
        <v>8900</v>
      </c>
      <c r="D883" s="84">
        <f t="shared" si="17"/>
        <v>8700</v>
      </c>
    </row>
    <row r="884" spans="1:4" ht="15" customHeight="1">
      <c r="A884" s="83">
        <v>40333</v>
      </c>
      <c r="B884" s="84">
        <v>8500</v>
      </c>
      <c r="C884" s="84">
        <v>8900</v>
      </c>
      <c r="D884" s="84">
        <f t="shared" si="17"/>
        <v>8700</v>
      </c>
    </row>
    <row r="885" spans="1:4" ht="15" customHeight="1">
      <c r="A885" s="83">
        <v>40336</v>
      </c>
      <c r="B885" s="84">
        <v>8500</v>
      </c>
      <c r="C885" s="84">
        <v>8900</v>
      </c>
      <c r="D885" s="84">
        <f t="shared" si="17"/>
        <v>8700</v>
      </c>
    </row>
    <row r="886" spans="1:4" ht="15" customHeight="1">
      <c r="A886" s="83">
        <v>40337</v>
      </c>
      <c r="B886" s="84">
        <v>8500</v>
      </c>
      <c r="C886" s="84">
        <v>8900</v>
      </c>
      <c r="D886" s="84">
        <f t="shared" si="17"/>
        <v>8700</v>
      </c>
    </row>
    <row r="887" spans="1:4" ht="15" customHeight="1">
      <c r="A887" s="83">
        <v>40338</v>
      </c>
      <c r="B887" s="84">
        <v>8500</v>
      </c>
      <c r="C887" s="84">
        <v>8900</v>
      </c>
      <c r="D887" s="84">
        <f t="shared" ref="D887:D909" si="18">AVERAGE(B887:C887)</f>
        <v>8700</v>
      </c>
    </row>
    <row r="888" spans="1:4" ht="15" customHeight="1">
      <c r="A888" s="83">
        <v>40339</v>
      </c>
      <c r="B888" s="84">
        <v>8250</v>
      </c>
      <c r="C888" s="84">
        <v>8500</v>
      </c>
      <c r="D888" s="84">
        <f t="shared" si="18"/>
        <v>8375</v>
      </c>
    </row>
    <row r="889" spans="1:4" ht="15" customHeight="1">
      <c r="A889" s="83">
        <v>40340</v>
      </c>
      <c r="B889" s="84">
        <v>8250</v>
      </c>
      <c r="C889" s="84">
        <v>8500</v>
      </c>
      <c r="D889" s="84">
        <f t="shared" si="18"/>
        <v>8375</v>
      </c>
    </row>
    <row r="890" spans="1:4" ht="15" customHeight="1">
      <c r="A890" s="83">
        <v>40343</v>
      </c>
      <c r="B890" s="84">
        <v>8250</v>
      </c>
      <c r="C890" s="84">
        <v>8500</v>
      </c>
      <c r="D890" s="84">
        <f t="shared" si="18"/>
        <v>8375</v>
      </c>
    </row>
    <row r="891" spans="1:4" ht="15" customHeight="1">
      <c r="A891" s="83">
        <v>40344</v>
      </c>
      <c r="B891" s="84">
        <v>8250</v>
      </c>
      <c r="C891" s="84">
        <v>8500</v>
      </c>
      <c r="D891" s="84">
        <f t="shared" si="18"/>
        <v>8375</v>
      </c>
    </row>
    <row r="892" spans="1:4" ht="15" customHeight="1">
      <c r="A892" s="83">
        <v>40345</v>
      </c>
      <c r="B892" s="84">
        <v>8000</v>
      </c>
      <c r="C892" s="84">
        <v>8300</v>
      </c>
      <c r="D892" s="84">
        <f t="shared" si="18"/>
        <v>8150</v>
      </c>
    </row>
    <row r="893" spans="1:4" ht="15" customHeight="1">
      <c r="A893" s="83">
        <v>40346</v>
      </c>
      <c r="B893" s="84">
        <v>8000</v>
      </c>
      <c r="C893" s="84">
        <v>8300</v>
      </c>
      <c r="D893" s="84">
        <f t="shared" si="18"/>
        <v>8150</v>
      </c>
    </row>
    <row r="894" spans="1:4" ht="15" customHeight="1">
      <c r="A894" s="83">
        <v>40347</v>
      </c>
      <c r="B894" s="84">
        <v>8000</v>
      </c>
      <c r="C894" s="84">
        <v>8300</v>
      </c>
      <c r="D894" s="84">
        <f t="shared" si="18"/>
        <v>8150</v>
      </c>
    </row>
    <row r="895" spans="1:4" ht="15" customHeight="1">
      <c r="A895" s="83">
        <v>40350</v>
      </c>
      <c r="B895" s="84">
        <v>8000</v>
      </c>
      <c r="C895" s="84">
        <v>8300</v>
      </c>
      <c r="D895" s="84">
        <f t="shared" si="18"/>
        <v>8150</v>
      </c>
    </row>
    <row r="896" spans="1:4" ht="15" customHeight="1">
      <c r="A896" s="83">
        <v>40351</v>
      </c>
      <c r="B896" s="84">
        <v>8000</v>
      </c>
      <c r="C896" s="84">
        <v>8300</v>
      </c>
      <c r="D896" s="84">
        <f t="shared" si="18"/>
        <v>8150</v>
      </c>
    </row>
    <row r="897" spans="1:9" ht="15" customHeight="1">
      <c r="A897" s="83">
        <v>40352</v>
      </c>
      <c r="B897" s="84">
        <v>8000</v>
      </c>
      <c r="C897" s="84">
        <v>8300</v>
      </c>
      <c r="D897" s="84">
        <f t="shared" si="18"/>
        <v>8150</v>
      </c>
    </row>
    <row r="898" spans="1:9" ht="15" customHeight="1">
      <c r="A898" s="83">
        <v>40353</v>
      </c>
      <c r="B898" s="84">
        <v>7900</v>
      </c>
      <c r="C898" s="84">
        <v>8200</v>
      </c>
      <c r="D898" s="84">
        <f t="shared" si="18"/>
        <v>8050</v>
      </c>
    </row>
    <row r="899" spans="1:9" ht="15" customHeight="1">
      <c r="A899" s="83">
        <v>40354</v>
      </c>
      <c r="B899" s="84">
        <v>7900</v>
      </c>
      <c r="C899" s="84">
        <v>8200</v>
      </c>
      <c r="D899" s="84">
        <f t="shared" si="18"/>
        <v>8050</v>
      </c>
    </row>
    <row r="900" spans="1:9" ht="15" customHeight="1">
      <c r="A900" s="83">
        <v>40357</v>
      </c>
      <c r="B900" s="84">
        <v>7900</v>
      </c>
      <c r="C900" s="84">
        <v>8200</v>
      </c>
      <c r="D900" s="84">
        <f t="shared" si="18"/>
        <v>8050</v>
      </c>
    </row>
    <row r="901" spans="1:9" ht="15" customHeight="1">
      <c r="A901" s="83">
        <v>40358</v>
      </c>
      <c r="B901" s="84">
        <v>7900</v>
      </c>
      <c r="C901" s="84">
        <v>8200</v>
      </c>
      <c r="D901" s="84">
        <f t="shared" si="18"/>
        <v>8050</v>
      </c>
    </row>
    <row r="902" spans="1:9" ht="15" customHeight="1" thickBot="1">
      <c r="A902" s="88">
        <v>40359</v>
      </c>
      <c r="B902" s="89">
        <v>7900</v>
      </c>
      <c r="C902" s="89">
        <v>8200</v>
      </c>
      <c r="D902" s="89">
        <f t="shared" si="18"/>
        <v>8050</v>
      </c>
      <c r="E902" s="240">
        <f>AVERAGE(D881:D902)</f>
        <v>8370.454545454546</v>
      </c>
      <c r="F902" s="240"/>
      <c r="G902" s="92">
        <f>AVERAGE(D839:D902)</f>
        <v>8593.442622950819</v>
      </c>
      <c r="H902" s="103"/>
      <c r="I902" s="107"/>
    </row>
    <row r="903" spans="1:9" ht="15" customHeight="1">
      <c r="A903" s="83">
        <v>40360</v>
      </c>
      <c r="B903" s="84">
        <v>7800</v>
      </c>
      <c r="C903" s="84">
        <v>8200</v>
      </c>
      <c r="D903" s="84">
        <f t="shared" si="18"/>
        <v>8000</v>
      </c>
    </row>
    <row r="904" spans="1:9" ht="15" customHeight="1">
      <c r="A904" s="83">
        <v>40361</v>
      </c>
      <c r="B904" s="84">
        <v>7800</v>
      </c>
      <c r="C904" s="84">
        <v>8200</v>
      </c>
      <c r="D904" s="84">
        <f t="shared" si="18"/>
        <v>8000</v>
      </c>
    </row>
    <row r="905" spans="1:9" ht="15" customHeight="1">
      <c r="A905" s="83">
        <v>40364</v>
      </c>
      <c r="B905" s="84">
        <v>7800</v>
      </c>
      <c r="C905" s="84">
        <v>8200</v>
      </c>
      <c r="D905" s="84">
        <f t="shared" si="18"/>
        <v>8000</v>
      </c>
    </row>
    <row r="906" spans="1:9" ht="15" customHeight="1">
      <c r="A906" s="83">
        <v>40365</v>
      </c>
      <c r="B906" s="84">
        <v>7800</v>
      </c>
      <c r="C906" s="84">
        <v>8200</v>
      </c>
      <c r="D906" s="84">
        <f t="shared" si="18"/>
        <v>8000</v>
      </c>
    </row>
    <row r="907" spans="1:9" ht="15" customHeight="1">
      <c r="A907" s="83">
        <v>40366</v>
      </c>
      <c r="B907" s="84">
        <v>8000</v>
      </c>
      <c r="C907" s="84">
        <v>8400</v>
      </c>
      <c r="D907" s="84">
        <f t="shared" si="18"/>
        <v>8200</v>
      </c>
    </row>
    <row r="908" spans="1:9" ht="15" customHeight="1">
      <c r="A908" s="83">
        <v>40367</v>
      </c>
      <c r="B908" s="84">
        <v>8000</v>
      </c>
      <c r="C908" s="84">
        <v>8400</v>
      </c>
      <c r="D908" s="84">
        <f t="shared" si="18"/>
        <v>8200</v>
      </c>
    </row>
    <row r="909" spans="1:9" ht="15" customHeight="1">
      <c r="A909" s="83">
        <v>40368</v>
      </c>
      <c r="B909" s="84">
        <v>8000</v>
      </c>
      <c r="C909" s="84">
        <v>8400</v>
      </c>
      <c r="D909" s="84">
        <f t="shared" si="18"/>
        <v>8200</v>
      </c>
    </row>
    <row r="910" spans="1:9" ht="15" customHeight="1">
      <c r="A910" s="83">
        <v>40371</v>
      </c>
      <c r="B910" s="84">
        <v>8000</v>
      </c>
      <c r="C910" s="84">
        <v>8400</v>
      </c>
      <c r="D910" s="84">
        <f t="shared" ref="D910:D923" si="19">AVERAGE(B910:C910)</f>
        <v>8200</v>
      </c>
    </row>
    <row r="911" spans="1:9" ht="15" customHeight="1">
      <c r="A911" s="83">
        <v>40372</v>
      </c>
      <c r="B911" s="84">
        <v>8000</v>
      </c>
      <c r="C911" s="84">
        <v>8400</v>
      </c>
      <c r="D911" s="84">
        <f t="shared" si="19"/>
        <v>8200</v>
      </c>
    </row>
    <row r="912" spans="1:9" ht="15" customHeight="1">
      <c r="A912" s="83">
        <v>40373</v>
      </c>
      <c r="B912" s="84">
        <v>8000</v>
      </c>
      <c r="C912" s="84">
        <v>8400</v>
      </c>
      <c r="D912" s="84">
        <f t="shared" si="19"/>
        <v>8200</v>
      </c>
    </row>
    <row r="913" spans="1:9" ht="15" customHeight="1">
      <c r="A913" s="83">
        <v>40374</v>
      </c>
      <c r="B913" s="84">
        <v>8000</v>
      </c>
      <c r="C913" s="84">
        <v>8400</v>
      </c>
      <c r="D913" s="84">
        <f t="shared" si="19"/>
        <v>8200</v>
      </c>
    </row>
    <row r="914" spans="1:9" ht="15" customHeight="1">
      <c r="A914" s="83">
        <v>40375</v>
      </c>
      <c r="B914" s="84">
        <v>8450</v>
      </c>
      <c r="C914" s="84">
        <v>9000</v>
      </c>
      <c r="D914" s="84">
        <f t="shared" si="19"/>
        <v>8725</v>
      </c>
    </row>
    <row r="915" spans="1:9" ht="15" customHeight="1">
      <c r="A915" s="83">
        <v>40378</v>
      </c>
      <c r="B915" s="84">
        <v>8450</v>
      </c>
      <c r="C915" s="84">
        <v>9000</v>
      </c>
      <c r="D915" s="84">
        <f t="shared" si="19"/>
        <v>8725</v>
      </c>
    </row>
    <row r="916" spans="1:9" ht="15" customHeight="1">
      <c r="A916" s="83">
        <v>40379</v>
      </c>
      <c r="B916" s="84">
        <v>8450</v>
      </c>
      <c r="C916" s="84">
        <v>9000</v>
      </c>
      <c r="D916" s="84">
        <f t="shared" si="19"/>
        <v>8725</v>
      </c>
    </row>
    <row r="917" spans="1:9" ht="15" customHeight="1">
      <c r="A917" s="83">
        <v>40380</v>
      </c>
      <c r="B917" s="84">
        <v>8450</v>
      </c>
      <c r="C917" s="84">
        <v>9000</v>
      </c>
      <c r="D917" s="84">
        <f t="shared" si="19"/>
        <v>8725</v>
      </c>
    </row>
    <row r="918" spans="1:9" ht="15" customHeight="1">
      <c r="A918" s="83">
        <v>40381</v>
      </c>
      <c r="B918" s="84">
        <v>8500</v>
      </c>
      <c r="C918" s="84">
        <v>9500</v>
      </c>
      <c r="D918" s="84">
        <f t="shared" si="19"/>
        <v>9000</v>
      </c>
    </row>
    <row r="919" spans="1:9" ht="15" customHeight="1">
      <c r="A919" s="83">
        <v>40382</v>
      </c>
      <c r="B919" s="84">
        <v>8500</v>
      </c>
      <c r="C919" s="84">
        <v>9500</v>
      </c>
      <c r="D919" s="84">
        <f t="shared" si="19"/>
        <v>9000</v>
      </c>
    </row>
    <row r="920" spans="1:9" ht="15" customHeight="1">
      <c r="A920" s="83">
        <v>40385</v>
      </c>
      <c r="B920" s="84">
        <v>8500</v>
      </c>
      <c r="C920" s="84">
        <v>9500</v>
      </c>
      <c r="D920" s="84">
        <f t="shared" si="19"/>
        <v>9000</v>
      </c>
    </row>
    <row r="921" spans="1:9" ht="15" customHeight="1">
      <c r="A921" s="83">
        <v>40386</v>
      </c>
      <c r="B921" s="84">
        <v>8500</v>
      </c>
      <c r="C921" s="84">
        <v>9500</v>
      </c>
      <c r="D921" s="84">
        <f t="shared" si="19"/>
        <v>9000</v>
      </c>
    </row>
    <row r="922" spans="1:9" ht="15" customHeight="1">
      <c r="A922" s="83">
        <v>40387</v>
      </c>
      <c r="B922" s="84">
        <v>8500</v>
      </c>
      <c r="C922" s="84">
        <v>9500</v>
      </c>
      <c r="D922" s="84">
        <f t="shared" si="19"/>
        <v>9000</v>
      </c>
    </row>
    <row r="923" spans="1:9" ht="15" customHeight="1">
      <c r="A923" s="83">
        <v>40388</v>
      </c>
      <c r="B923" s="84">
        <v>9000</v>
      </c>
      <c r="C923" s="84">
        <v>9500</v>
      </c>
      <c r="D923" s="84">
        <f t="shared" si="19"/>
        <v>9250</v>
      </c>
    </row>
    <row r="924" spans="1:9" ht="15" customHeight="1" thickBot="1">
      <c r="A924" s="88">
        <v>40389</v>
      </c>
      <c r="B924" s="89">
        <v>9000</v>
      </c>
      <c r="C924" s="89">
        <v>9500</v>
      </c>
      <c r="D924" s="89">
        <f t="shared" ref="D924:D930" si="20">AVERAGE(B924:C924)</f>
        <v>9250</v>
      </c>
      <c r="E924" s="240">
        <f>AVERAGE(D903:D924)</f>
        <v>8536.363636363636</v>
      </c>
      <c r="F924" s="240"/>
      <c r="G924" s="92"/>
      <c r="H924" s="103"/>
      <c r="I924" s="107"/>
    </row>
    <row r="925" spans="1:9" ht="15" customHeight="1">
      <c r="A925" s="157">
        <v>40392</v>
      </c>
      <c r="B925" s="158">
        <v>9000</v>
      </c>
      <c r="C925" s="158">
        <v>9500</v>
      </c>
      <c r="D925" s="158">
        <f t="shared" si="20"/>
        <v>9250</v>
      </c>
      <c r="E925" s="163"/>
      <c r="F925" s="96"/>
    </row>
    <row r="926" spans="1:9" ht="15" customHeight="1">
      <c r="A926" s="93">
        <v>40393</v>
      </c>
      <c r="B926" s="94">
        <v>9000</v>
      </c>
      <c r="C926" s="94">
        <v>9500</v>
      </c>
      <c r="D926" s="94">
        <f t="shared" si="20"/>
        <v>9250</v>
      </c>
    </row>
    <row r="927" spans="1:9" ht="15" customHeight="1">
      <c r="A927" s="93">
        <v>40394</v>
      </c>
      <c r="B927" s="94">
        <v>9000</v>
      </c>
      <c r="C927" s="94">
        <v>9500</v>
      </c>
      <c r="D927" s="94">
        <f t="shared" si="20"/>
        <v>9250</v>
      </c>
    </row>
    <row r="928" spans="1:9" ht="15" customHeight="1">
      <c r="A928" s="93">
        <v>40395</v>
      </c>
      <c r="B928" s="94">
        <v>9000</v>
      </c>
      <c r="C928" s="94">
        <v>9500</v>
      </c>
      <c r="D928" s="94">
        <f t="shared" si="20"/>
        <v>9250</v>
      </c>
    </row>
    <row r="929" spans="1:9" ht="15" customHeight="1">
      <c r="A929" s="93">
        <v>40396</v>
      </c>
      <c r="B929" s="84">
        <v>9150</v>
      </c>
      <c r="C929" s="84">
        <v>9500</v>
      </c>
      <c r="D929" s="84">
        <f t="shared" si="20"/>
        <v>9325</v>
      </c>
    </row>
    <row r="930" spans="1:9" ht="15" customHeight="1">
      <c r="A930" s="93">
        <v>40399</v>
      </c>
      <c r="B930" s="84">
        <v>9150</v>
      </c>
      <c r="C930" s="84">
        <v>9500</v>
      </c>
      <c r="D930" s="84">
        <f t="shared" si="20"/>
        <v>9325</v>
      </c>
    </row>
    <row r="931" spans="1:9" ht="15" customHeight="1">
      <c r="A931" s="93">
        <v>40400</v>
      </c>
      <c r="B931" s="84">
        <v>9150</v>
      </c>
      <c r="C931" s="84">
        <v>9500</v>
      </c>
      <c r="D931" s="84">
        <f t="shared" ref="D931:D936" si="21">AVERAGE(B931:C931)</f>
        <v>9325</v>
      </c>
    </row>
    <row r="932" spans="1:9" ht="15" customHeight="1">
      <c r="A932" s="93">
        <v>40401</v>
      </c>
      <c r="B932" s="84">
        <v>9150</v>
      </c>
      <c r="C932" s="84">
        <v>9500</v>
      </c>
      <c r="D932" s="84">
        <f t="shared" si="21"/>
        <v>9325</v>
      </c>
    </row>
    <row r="933" spans="1:9" ht="15" customHeight="1">
      <c r="A933" s="93">
        <v>40402</v>
      </c>
      <c r="B933" s="84">
        <v>9150</v>
      </c>
      <c r="C933" s="84">
        <v>9500</v>
      </c>
      <c r="D933" s="84">
        <f t="shared" si="21"/>
        <v>9325</v>
      </c>
    </row>
    <row r="934" spans="1:9" ht="15" customHeight="1">
      <c r="A934" s="93">
        <v>40403</v>
      </c>
      <c r="B934" s="84">
        <v>9150</v>
      </c>
      <c r="C934" s="84">
        <v>9500</v>
      </c>
      <c r="D934" s="84">
        <f t="shared" si="21"/>
        <v>9325</v>
      </c>
    </row>
    <row r="935" spans="1:9" ht="15" customHeight="1">
      <c r="A935" s="93">
        <v>40406</v>
      </c>
      <c r="B935" s="84">
        <v>9150</v>
      </c>
      <c r="C935" s="84">
        <v>9500</v>
      </c>
      <c r="D935" s="84">
        <f t="shared" si="21"/>
        <v>9325</v>
      </c>
    </row>
    <row r="936" spans="1:9" ht="15" customHeight="1">
      <c r="A936" s="93">
        <v>40407</v>
      </c>
      <c r="B936" s="84">
        <v>9150</v>
      </c>
      <c r="C936" s="84">
        <v>9500</v>
      </c>
      <c r="D936" s="84">
        <f t="shared" si="21"/>
        <v>9325</v>
      </c>
    </row>
    <row r="937" spans="1:9" ht="15" customHeight="1">
      <c r="A937" s="93">
        <v>40408</v>
      </c>
      <c r="B937" s="84">
        <v>9150</v>
      </c>
      <c r="C937" s="84">
        <v>9500</v>
      </c>
      <c r="D937" s="84">
        <f t="shared" ref="D937:D944" si="22">AVERAGE(B937:C937)</f>
        <v>9325</v>
      </c>
    </row>
    <row r="938" spans="1:9" ht="15" customHeight="1">
      <c r="A938" s="93">
        <v>40409</v>
      </c>
      <c r="B938" s="84">
        <v>9100</v>
      </c>
      <c r="C938" s="84">
        <v>9600</v>
      </c>
      <c r="D938" s="84">
        <f t="shared" si="22"/>
        <v>9350</v>
      </c>
    </row>
    <row r="939" spans="1:9" ht="15" customHeight="1">
      <c r="A939" s="93">
        <v>40410</v>
      </c>
      <c r="B939" s="84">
        <v>9100</v>
      </c>
      <c r="C939" s="84">
        <v>9600</v>
      </c>
      <c r="D939" s="84">
        <f t="shared" si="22"/>
        <v>9350</v>
      </c>
    </row>
    <row r="940" spans="1:9" ht="15" customHeight="1">
      <c r="A940" s="93">
        <v>40413</v>
      </c>
      <c r="B940" s="84">
        <v>9100</v>
      </c>
      <c r="C940" s="84">
        <v>9600</v>
      </c>
      <c r="D940" s="84">
        <f t="shared" si="22"/>
        <v>9350</v>
      </c>
    </row>
    <row r="941" spans="1:9" ht="15" customHeight="1">
      <c r="A941" s="93">
        <v>40414</v>
      </c>
      <c r="B941" s="84">
        <v>9100</v>
      </c>
      <c r="C941" s="84">
        <v>9600</v>
      </c>
      <c r="D941" s="84">
        <f t="shared" si="22"/>
        <v>9350</v>
      </c>
    </row>
    <row r="942" spans="1:9" ht="15" customHeight="1">
      <c r="A942" s="93">
        <v>40415</v>
      </c>
      <c r="B942" s="84">
        <v>9100</v>
      </c>
      <c r="C942" s="84">
        <v>9600</v>
      </c>
      <c r="D942" s="84">
        <f t="shared" si="22"/>
        <v>9350</v>
      </c>
    </row>
    <row r="943" spans="1:9" ht="15" customHeight="1">
      <c r="A943" s="93">
        <v>40416</v>
      </c>
      <c r="B943" s="84">
        <v>9100</v>
      </c>
      <c r="C943" s="84">
        <v>9600</v>
      </c>
      <c r="D943" s="84">
        <f t="shared" si="22"/>
        <v>9350</v>
      </c>
    </row>
    <row r="944" spans="1:9" ht="15" customHeight="1">
      <c r="A944" s="93">
        <v>40417</v>
      </c>
      <c r="B944" s="94">
        <v>9100</v>
      </c>
      <c r="C944" s="94">
        <v>9600</v>
      </c>
      <c r="D944" s="94">
        <f t="shared" si="22"/>
        <v>9350</v>
      </c>
      <c r="E944" s="96"/>
      <c r="F944" s="96"/>
      <c r="G944" s="179"/>
      <c r="H944" s="180"/>
      <c r="I944" s="181"/>
    </row>
    <row r="945" spans="1:9" ht="15" customHeight="1">
      <c r="A945" s="93">
        <v>40420</v>
      </c>
      <c r="B945" s="1053" t="s">
        <v>75</v>
      </c>
      <c r="C945" s="1053"/>
      <c r="D945" s="1053"/>
      <c r="E945" s="1053"/>
      <c r="F945" s="1053"/>
      <c r="G945" s="1053"/>
      <c r="H945" s="1053"/>
      <c r="I945" s="1053"/>
    </row>
    <row r="946" spans="1:9" ht="15" customHeight="1" thickBot="1">
      <c r="A946" s="88">
        <v>40421</v>
      </c>
      <c r="B946" s="89">
        <v>9100</v>
      </c>
      <c r="C946" s="89">
        <v>9600</v>
      </c>
      <c r="D946" s="89">
        <f t="shared" ref="D946:D977" si="23">AVERAGE(B946:C946)</f>
        <v>9350</v>
      </c>
      <c r="E946" s="240">
        <f>AVERAGE(D925:D946)</f>
        <v>9320.2380952380954</v>
      </c>
      <c r="F946" s="240"/>
      <c r="G946" s="92"/>
      <c r="H946" s="103"/>
      <c r="I946" s="107"/>
    </row>
    <row r="947" spans="1:9" ht="15" customHeight="1">
      <c r="A947" s="93">
        <v>40422</v>
      </c>
      <c r="B947" s="84">
        <v>9100</v>
      </c>
      <c r="C947" s="84">
        <v>9600</v>
      </c>
      <c r="D947" s="84">
        <f t="shared" si="23"/>
        <v>9350</v>
      </c>
    </row>
    <row r="948" spans="1:9" ht="15" customHeight="1">
      <c r="A948" s="93">
        <v>40423</v>
      </c>
      <c r="B948" s="84">
        <v>9600</v>
      </c>
      <c r="C948" s="84">
        <v>10500</v>
      </c>
      <c r="D948" s="84">
        <f t="shared" si="23"/>
        <v>10050</v>
      </c>
    </row>
    <row r="949" spans="1:9" ht="15" customHeight="1">
      <c r="A949" s="93">
        <v>40424</v>
      </c>
      <c r="B949" s="84">
        <v>9600</v>
      </c>
      <c r="C949" s="84">
        <v>10500</v>
      </c>
      <c r="D949" s="84">
        <f t="shared" si="23"/>
        <v>10050</v>
      </c>
    </row>
    <row r="950" spans="1:9" ht="15" customHeight="1">
      <c r="A950" s="93">
        <v>40427</v>
      </c>
      <c r="B950" s="84">
        <v>9600</v>
      </c>
      <c r="C950" s="84">
        <v>10500</v>
      </c>
      <c r="D950" s="84">
        <f t="shared" si="23"/>
        <v>10050</v>
      </c>
    </row>
    <row r="951" spans="1:9" ht="15" customHeight="1">
      <c r="A951" s="93">
        <v>40428</v>
      </c>
      <c r="B951" s="84">
        <v>9600</v>
      </c>
      <c r="C951" s="84">
        <v>10500</v>
      </c>
      <c r="D951" s="84">
        <f t="shared" si="23"/>
        <v>10050</v>
      </c>
    </row>
    <row r="952" spans="1:9" ht="15" customHeight="1">
      <c r="A952" s="93">
        <v>40429</v>
      </c>
      <c r="B952" s="84">
        <v>10100</v>
      </c>
      <c r="C952" s="84">
        <v>10600</v>
      </c>
      <c r="D952" s="84">
        <f t="shared" si="23"/>
        <v>10350</v>
      </c>
    </row>
    <row r="953" spans="1:9" ht="15" customHeight="1">
      <c r="A953" s="93">
        <v>40430</v>
      </c>
      <c r="B953" s="84">
        <v>10100</v>
      </c>
      <c r="C953" s="84">
        <v>10600</v>
      </c>
      <c r="D953" s="84">
        <f t="shared" si="23"/>
        <v>10350</v>
      </c>
    </row>
    <row r="954" spans="1:9" ht="15" customHeight="1">
      <c r="A954" s="93">
        <v>40431</v>
      </c>
      <c r="B954" s="84">
        <v>10100</v>
      </c>
      <c r="C954" s="84">
        <v>10600</v>
      </c>
      <c r="D954" s="84">
        <f t="shared" si="23"/>
        <v>10350</v>
      </c>
    </row>
    <row r="955" spans="1:9" ht="15" customHeight="1">
      <c r="A955" s="93">
        <v>40434</v>
      </c>
      <c r="B955" s="84">
        <v>10100</v>
      </c>
      <c r="C955" s="84">
        <v>10600</v>
      </c>
      <c r="D955" s="84">
        <f t="shared" si="23"/>
        <v>10350</v>
      </c>
    </row>
    <row r="956" spans="1:9" ht="15" customHeight="1">
      <c r="A956" s="93">
        <v>40435</v>
      </c>
      <c r="B956" s="84">
        <v>10100</v>
      </c>
      <c r="C956" s="84">
        <v>10600</v>
      </c>
      <c r="D956" s="84">
        <f t="shared" si="23"/>
        <v>10350</v>
      </c>
    </row>
    <row r="957" spans="1:9" ht="15" customHeight="1">
      <c r="A957" s="93">
        <v>40436</v>
      </c>
      <c r="B957" s="84">
        <v>10100</v>
      </c>
      <c r="C957" s="84">
        <v>10600</v>
      </c>
      <c r="D957" s="84">
        <f t="shared" si="23"/>
        <v>10350</v>
      </c>
    </row>
    <row r="958" spans="1:9" ht="15" customHeight="1">
      <c r="A958" s="93">
        <v>40437</v>
      </c>
      <c r="B958" s="84">
        <v>10200</v>
      </c>
      <c r="C958" s="84">
        <v>10500</v>
      </c>
      <c r="D958" s="84">
        <f t="shared" si="23"/>
        <v>10350</v>
      </c>
    </row>
    <row r="959" spans="1:9" ht="15" customHeight="1">
      <c r="A959" s="93">
        <v>40438</v>
      </c>
      <c r="B959" s="84">
        <v>10200</v>
      </c>
      <c r="C959" s="84">
        <v>10500</v>
      </c>
      <c r="D959" s="84">
        <f t="shared" si="23"/>
        <v>10350</v>
      </c>
    </row>
    <row r="960" spans="1:9" ht="15" customHeight="1">
      <c r="A960" s="93">
        <v>40441</v>
      </c>
      <c r="B960" s="84">
        <v>10200</v>
      </c>
      <c r="C960" s="84">
        <v>10500</v>
      </c>
      <c r="D960" s="84">
        <f t="shared" si="23"/>
        <v>10350</v>
      </c>
    </row>
    <row r="961" spans="1:9" ht="15" customHeight="1">
      <c r="A961" s="93">
        <v>40442</v>
      </c>
      <c r="B961" s="84">
        <v>10200</v>
      </c>
      <c r="C961" s="84">
        <v>10500</v>
      </c>
      <c r="D961" s="84">
        <f t="shared" si="23"/>
        <v>10350</v>
      </c>
    </row>
    <row r="962" spans="1:9" ht="15" customHeight="1">
      <c r="A962" s="93">
        <v>40443</v>
      </c>
      <c r="B962" s="84">
        <v>10200</v>
      </c>
      <c r="C962" s="84">
        <v>10500</v>
      </c>
      <c r="D962" s="84">
        <f t="shared" si="23"/>
        <v>10350</v>
      </c>
    </row>
    <row r="963" spans="1:9" ht="15" customHeight="1">
      <c r="A963" s="93">
        <v>40444</v>
      </c>
      <c r="B963" s="84">
        <v>10200</v>
      </c>
      <c r="C963" s="84">
        <v>10500</v>
      </c>
      <c r="D963" s="84">
        <f t="shared" si="23"/>
        <v>10350</v>
      </c>
    </row>
    <row r="964" spans="1:9" ht="15" customHeight="1">
      <c r="A964" s="93">
        <v>40445</v>
      </c>
      <c r="B964" s="84">
        <v>10000</v>
      </c>
      <c r="C964" s="84">
        <v>10350</v>
      </c>
      <c r="D964" s="84">
        <f t="shared" si="23"/>
        <v>10175</v>
      </c>
    </row>
    <row r="965" spans="1:9" ht="15" customHeight="1">
      <c r="A965" s="93">
        <v>40448</v>
      </c>
      <c r="B965" s="84">
        <v>10000</v>
      </c>
      <c r="C965" s="84">
        <v>10350</v>
      </c>
      <c r="D965" s="84">
        <f t="shared" si="23"/>
        <v>10175</v>
      </c>
    </row>
    <row r="966" spans="1:9" ht="15" customHeight="1">
      <c r="A966" s="93">
        <v>40449</v>
      </c>
      <c r="B966" s="84">
        <v>10000</v>
      </c>
      <c r="C966" s="84">
        <v>10350</v>
      </c>
      <c r="D966" s="84">
        <f t="shared" si="23"/>
        <v>10175</v>
      </c>
    </row>
    <row r="967" spans="1:9" ht="15" customHeight="1">
      <c r="A967" s="93">
        <v>40450</v>
      </c>
      <c r="B967" s="84">
        <v>10000</v>
      </c>
      <c r="C967" s="84">
        <v>10350</v>
      </c>
      <c r="D967" s="84">
        <f t="shared" si="23"/>
        <v>10175</v>
      </c>
    </row>
    <row r="968" spans="1:9" ht="15" customHeight="1" thickBot="1">
      <c r="A968" s="88">
        <v>40451</v>
      </c>
      <c r="B968" s="89">
        <v>9900</v>
      </c>
      <c r="C968" s="89">
        <v>10200</v>
      </c>
      <c r="D968" s="89">
        <f t="shared" si="23"/>
        <v>10050</v>
      </c>
      <c r="E968" s="240">
        <f>AVERAGE(D947:D968)</f>
        <v>10204.545454545454</v>
      </c>
      <c r="F968" s="240"/>
      <c r="G968" s="92">
        <f>AVERAGE(D903:D968)</f>
        <v>9354.2307692307695</v>
      </c>
      <c r="H968" s="103"/>
      <c r="I968" s="107"/>
    </row>
    <row r="969" spans="1:9" ht="15" customHeight="1">
      <c r="A969" s="93">
        <v>40452</v>
      </c>
      <c r="B969" s="84">
        <v>9900</v>
      </c>
      <c r="C969" s="84">
        <v>10200</v>
      </c>
      <c r="D969" s="84">
        <f t="shared" si="23"/>
        <v>10050</v>
      </c>
    </row>
    <row r="970" spans="1:9" ht="15" customHeight="1">
      <c r="A970" s="93">
        <v>40455</v>
      </c>
      <c r="B970" s="84">
        <v>9900</v>
      </c>
      <c r="C970" s="84">
        <v>10200</v>
      </c>
      <c r="D970" s="84">
        <f t="shared" si="23"/>
        <v>10050</v>
      </c>
    </row>
    <row r="971" spans="1:9" ht="15" customHeight="1">
      <c r="A971" s="93">
        <v>40456</v>
      </c>
      <c r="B971" s="84">
        <v>9900</v>
      </c>
      <c r="C971" s="84">
        <v>10200</v>
      </c>
      <c r="D971" s="84">
        <f t="shared" si="23"/>
        <v>10050</v>
      </c>
    </row>
    <row r="972" spans="1:9" ht="15" customHeight="1">
      <c r="A972" s="93">
        <v>40457</v>
      </c>
      <c r="B972" s="84">
        <v>9900</v>
      </c>
      <c r="C972" s="84">
        <v>10200</v>
      </c>
      <c r="D972" s="84">
        <f t="shared" si="23"/>
        <v>10050</v>
      </c>
    </row>
    <row r="973" spans="1:9" ht="15" customHeight="1">
      <c r="A973" s="93">
        <v>40458</v>
      </c>
      <c r="B973" s="84">
        <v>9900</v>
      </c>
      <c r="C973" s="84">
        <v>10300</v>
      </c>
      <c r="D973" s="84">
        <f t="shared" si="23"/>
        <v>10100</v>
      </c>
    </row>
    <row r="974" spans="1:9" ht="15" customHeight="1">
      <c r="A974" s="93">
        <v>40459</v>
      </c>
      <c r="B974" s="84">
        <v>9900</v>
      </c>
      <c r="C974" s="84">
        <v>10300</v>
      </c>
      <c r="D974" s="84">
        <f t="shared" si="23"/>
        <v>10100</v>
      </c>
    </row>
    <row r="975" spans="1:9" ht="15" customHeight="1">
      <c r="A975" s="93">
        <v>40462</v>
      </c>
      <c r="B975" s="84">
        <v>9900</v>
      </c>
      <c r="C975" s="84">
        <v>10300</v>
      </c>
      <c r="D975" s="84">
        <f t="shared" si="23"/>
        <v>10100</v>
      </c>
    </row>
    <row r="976" spans="1:9" ht="15" customHeight="1">
      <c r="A976" s="93">
        <v>40463</v>
      </c>
      <c r="B976" s="84">
        <v>9900</v>
      </c>
      <c r="C976" s="84">
        <v>10300</v>
      </c>
      <c r="D976" s="84">
        <f t="shared" si="23"/>
        <v>10100</v>
      </c>
    </row>
    <row r="977" spans="1:9" ht="15" customHeight="1">
      <c r="A977" s="93">
        <v>40464</v>
      </c>
      <c r="B977" s="84">
        <v>9900</v>
      </c>
      <c r="C977" s="84">
        <v>10300</v>
      </c>
      <c r="D977" s="84">
        <f t="shared" si="23"/>
        <v>10100</v>
      </c>
    </row>
    <row r="978" spans="1:9" ht="15" customHeight="1">
      <c r="A978" s="93">
        <v>40465</v>
      </c>
      <c r="B978" s="84">
        <v>9900</v>
      </c>
      <c r="C978" s="84">
        <v>10300</v>
      </c>
      <c r="D978" s="84">
        <f t="shared" ref="D978:D1009" si="24">AVERAGE(B978:C978)</f>
        <v>10100</v>
      </c>
    </row>
    <row r="979" spans="1:9" ht="15" customHeight="1">
      <c r="A979" s="93">
        <v>40466</v>
      </c>
      <c r="B979" s="84">
        <v>10000</v>
      </c>
      <c r="C979" s="84">
        <v>10400</v>
      </c>
      <c r="D979" s="84">
        <f t="shared" si="24"/>
        <v>10200</v>
      </c>
    </row>
    <row r="980" spans="1:9" ht="15" customHeight="1">
      <c r="A980" s="93">
        <v>40469</v>
      </c>
      <c r="B980" s="84">
        <v>10000</v>
      </c>
      <c r="C980" s="84">
        <v>10400</v>
      </c>
      <c r="D980" s="84">
        <f t="shared" si="24"/>
        <v>10200</v>
      </c>
    </row>
    <row r="981" spans="1:9" ht="15" customHeight="1">
      <c r="A981" s="93">
        <v>40470</v>
      </c>
      <c r="B981" s="84">
        <v>10000</v>
      </c>
      <c r="C981" s="84">
        <v>10400</v>
      </c>
      <c r="D981" s="84">
        <f t="shared" si="24"/>
        <v>10200</v>
      </c>
    </row>
    <row r="982" spans="1:9" ht="15" customHeight="1">
      <c r="A982" s="93">
        <v>40471</v>
      </c>
      <c r="B982" s="84">
        <v>10000</v>
      </c>
      <c r="C982" s="84">
        <v>10400</v>
      </c>
      <c r="D982" s="84">
        <f t="shared" si="24"/>
        <v>10200</v>
      </c>
    </row>
    <row r="983" spans="1:9" ht="15" customHeight="1">
      <c r="A983" s="93">
        <v>40472</v>
      </c>
      <c r="B983" s="84">
        <v>10200</v>
      </c>
      <c r="C983" s="84">
        <v>10600</v>
      </c>
      <c r="D983" s="84">
        <f t="shared" si="24"/>
        <v>10400</v>
      </c>
    </row>
    <row r="984" spans="1:9" ht="15" customHeight="1">
      <c r="A984" s="93">
        <v>40473</v>
      </c>
      <c r="B984" s="84">
        <v>10200</v>
      </c>
      <c r="C984" s="84">
        <v>10600</v>
      </c>
      <c r="D984" s="84">
        <f t="shared" si="24"/>
        <v>10400</v>
      </c>
    </row>
    <row r="985" spans="1:9" ht="15" customHeight="1">
      <c r="A985" s="93">
        <v>40476</v>
      </c>
      <c r="B985" s="84">
        <v>10200</v>
      </c>
      <c r="C985" s="84">
        <v>10600</v>
      </c>
      <c r="D985" s="84">
        <f t="shared" si="24"/>
        <v>10400</v>
      </c>
    </row>
    <row r="986" spans="1:9" ht="15" customHeight="1">
      <c r="A986" s="93">
        <v>40477</v>
      </c>
      <c r="B986" s="84">
        <v>10200</v>
      </c>
      <c r="C986" s="84">
        <v>10600</v>
      </c>
      <c r="D986" s="84">
        <f t="shared" si="24"/>
        <v>10400</v>
      </c>
    </row>
    <row r="987" spans="1:9" ht="15" customHeight="1">
      <c r="A987" s="93">
        <v>40478</v>
      </c>
      <c r="B987" s="84">
        <v>10200</v>
      </c>
      <c r="C987" s="84">
        <v>10600</v>
      </c>
      <c r="D987" s="84">
        <f t="shared" si="24"/>
        <v>10400</v>
      </c>
    </row>
    <row r="988" spans="1:9" ht="15" customHeight="1">
      <c r="A988" s="93">
        <v>40479</v>
      </c>
      <c r="B988" s="84">
        <v>10500</v>
      </c>
      <c r="C988" s="84">
        <v>11000</v>
      </c>
      <c r="D988" s="84">
        <f t="shared" si="24"/>
        <v>10750</v>
      </c>
    </row>
    <row r="989" spans="1:9" ht="15" customHeight="1" thickBot="1">
      <c r="A989" s="88">
        <v>40480</v>
      </c>
      <c r="B989" s="89">
        <v>10500</v>
      </c>
      <c r="C989" s="89">
        <v>11000</v>
      </c>
      <c r="D989" s="89">
        <f t="shared" si="24"/>
        <v>10750</v>
      </c>
      <c r="E989" s="240">
        <f>AVERAGE(D969:D989)</f>
        <v>10242.857142857143</v>
      </c>
      <c r="F989" s="240"/>
      <c r="G989" s="92"/>
      <c r="H989" s="103"/>
      <c r="I989" s="107"/>
    </row>
    <row r="990" spans="1:9" ht="15" customHeight="1">
      <c r="A990" s="93">
        <v>40483</v>
      </c>
      <c r="B990" s="84">
        <v>10500</v>
      </c>
      <c r="C990" s="84">
        <v>11000</v>
      </c>
      <c r="D990" s="84">
        <f t="shared" si="24"/>
        <v>10750</v>
      </c>
    </row>
    <row r="991" spans="1:9" ht="15" customHeight="1">
      <c r="A991" s="93">
        <v>40484</v>
      </c>
      <c r="B991" s="84">
        <v>10500</v>
      </c>
      <c r="C991" s="84">
        <v>11000</v>
      </c>
      <c r="D991" s="84">
        <f t="shared" si="24"/>
        <v>10750</v>
      </c>
    </row>
    <row r="992" spans="1:9" ht="15" customHeight="1">
      <c r="A992" s="93">
        <v>40485</v>
      </c>
      <c r="B992" s="84">
        <v>10500</v>
      </c>
      <c r="C992" s="84">
        <v>11000</v>
      </c>
      <c r="D992" s="84">
        <f t="shared" si="24"/>
        <v>10750</v>
      </c>
    </row>
    <row r="993" spans="1:4" ht="15" customHeight="1">
      <c r="A993" s="93">
        <v>40486</v>
      </c>
      <c r="B993" s="84">
        <v>10800</v>
      </c>
      <c r="C993" s="84">
        <v>11400</v>
      </c>
      <c r="D993" s="84">
        <f t="shared" si="24"/>
        <v>11100</v>
      </c>
    </row>
    <row r="994" spans="1:4" ht="15" customHeight="1">
      <c r="A994" s="93">
        <v>40487</v>
      </c>
      <c r="B994" s="84">
        <v>10800</v>
      </c>
      <c r="C994" s="84">
        <v>11400</v>
      </c>
      <c r="D994" s="84">
        <f t="shared" si="24"/>
        <v>11100</v>
      </c>
    </row>
    <row r="995" spans="1:4" ht="15" customHeight="1">
      <c r="A995" s="93">
        <v>40490</v>
      </c>
      <c r="B995" s="84">
        <v>10800</v>
      </c>
      <c r="C995" s="84">
        <v>11400</v>
      </c>
      <c r="D995" s="84">
        <f t="shared" si="24"/>
        <v>11100</v>
      </c>
    </row>
    <row r="996" spans="1:4" ht="15" customHeight="1">
      <c r="A996" s="93">
        <v>40491</v>
      </c>
      <c r="B996" s="84">
        <v>10800</v>
      </c>
      <c r="C996" s="84">
        <v>11400</v>
      </c>
      <c r="D996" s="84">
        <f t="shared" si="24"/>
        <v>11100</v>
      </c>
    </row>
    <row r="997" spans="1:4" ht="15" customHeight="1">
      <c r="A997" s="93">
        <v>40492</v>
      </c>
      <c r="B997" s="84">
        <v>10800</v>
      </c>
      <c r="C997" s="84">
        <v>11400</v>
      </c>
      <c r="D997" s="84">
        <f t="shared" si="24"/>
        <v>11100</v>
      </c>
    </row>
    <row r="998" spans="1:4" ht="15" customHeight="1">
      <c r="A998" s="93">
        <v>40493</v>
      </c>
      <c r="B998" s="84">
        <v>10800</v>
      </c>
      <c r="C998" s="84">
        <v>11400</v>
      </c>
      <c r="D998" s="84">
        <f t="shared" si="24"/>
        <v>11100</v>
      </c>
    </row>
    <row r="999" spans="1:4" ht="15" customHeight="1">
      <c r="A999" s="93">
        <v>40494</v>
      </c>
      <c r="B999" s="84">
        <v>11000</v>
      </c>
      <c r="C999" s="84">
        <v>11600</v>
      </c>
      <c r="D999" s="84">
        <f t="shared" si="24"/>
        <v>11300</v>
      </c>
    </row>
    <row r="1000" spans="1:4" ht="15" customHeight="1">
      <c r="A1000" s="93">
        <v>40497</v>
      </c>
      <c r="B1000" s="84">
        <v>11000</v>
      </c>
      <c r="C1000" s="84">
        <v>11600</v>
      </c>
      <c r="D1000" s="84">
        <f t="shared" si="24"/>
        <v>11300</v>
      </c>
    </row>
    <row r="1001" spans="1:4" ht="15" customHeight="1">
      <c r="A1001" s="93">
        <v>40498</v>
      </c>
      <c r="B1001" s="84">
        <v>11000</v>
      </c>
      <c r="C1001" s="84">
        <v>11600</v>
      </c>
      <c r="D1001" s="84">
        <f t="shared" si="24"/>
        <v>11300</v>
      </c>
    </row>
    <row r="1002" spans="1:4" ht="15" customHeight="1">
      <c r="A1002" s="93">
        <v>40499</v>
      </c>
      <c r="B1002" s="84">
        <v>11000</v>
      </c>
      <c r="C1002" s="84">
        <v>11600</v>
      </c>
      <c r="D1002" s="84">
        <f t="shared" si="24"/>
        <v>11300</v>
      </c>
    </row>
    <row r="1003" spans="1:4" ht="15" customHeight="1">
      <c r="A1003" s="93">
        <v>40500</v>
      </c>
      <c r="B1003" s="84">
        <v>11000</v>
      </c>
      <c r="C1003" s="84">
        <v>11600</v>
      </c>
      <c r="D1003" s="84">
        <f t="shared" si="24"/>
        <v>11300</v>
      </c>
    </row>
    <row r="1004" spans="1:4" ht="15" customHeight="1">
      <c r="A1004" s="93">
        <v>40501</v>
      </c>
      <c r="B1004" s="84">
        <v>11500</v>
      </c>
      <c r="C1004" s="84">
        <v>12200</v>
      </c>
      <c r="D1004" s="84">
        <f t="shared" si="24"/>
        <v>11850</v>
      </c>
    </row>
    <row r="1005" spans="1:4" ht="15" customHeight="1">
      <c r="A1005" s="93">
        <v>40504</v>
      </c>
      <c r="B1005" s="84">
        <v>11500</v>
      </c>
      <c r="C1005" s="84">
        <v>12200</v>
      </c>
      <c r="D1005" s="84">
        <f t="shared" si="24"/>
        <v>11850</v>
      </c>
    </row>
    <row r="1006" spans="1:4" ht="15" customHeight="1">
      <c r="A1006" s="93">
        <v>40505</v>
      </c>
      <c r="B1006" s="84">
        <v>11500</v>
      </c>
      <c r="C1006" s="84">
        <v>12200</v>
      </c>
      <c r="D1006" s="84">
        <f t="shared" si="24"/>
        <v>11850</v>
      </c>
    </row>
    <row r="1007" spans="1:4" ht="15" customHeight="1">
      <c r="A1007" s="93">
        <v>40506</v>
      </c>
      <c r="B1007" s="84">
        <v>11500</v>
      </c>
      <c r="C1007" s="84">
        <v>12200</v>
      </c>
      <c r="D1007" s="84">
        <f t="shared" si="24"/>
        <v>11850</v>
      </c>
    </row>
    <row r="1008" spans="1:4" ht="15" customHeight="1">
      <c r="A1008" s="93">
        <v>40507</v>
      </c>
      <c r="B1008" s="84">
        <v>11500</v>
      </c>
      <c r="C1008" s="84">
        <v>12200</v>
      </c>
      <c r="D1008" s="84">
        <f t="shared" si="24"/>
        <v>11850</v>
      </c>
    </row>
    <row r="1009" spans="1:9" ht="15" customHeight="1">
      <c r="A1009" s="93">
        <v>40508</v>
      </c>
      <c r="B1009" s="84">
        <v>11800</v>
      </c>
      <c r="C1009" s="84">
        <v>12200</v>
      </c>
      <c r="D1009" s="84">
        <f t="shared" si="24"/>
        <v>12000</v>
      </c>
    </row>
    <row r="1010" spans="1:9" ht="15" customHeight="1">
      <c r="A1010" s="93">
        <v>40511</v>
      </c>
      <c r="B1010" s="84">
        <v>11800</v>
      </c>
      <c r="C1010" s="84">
        <v>12200</v>
      </c>
      <c r="D1010" s="84">
        <f t="shared" ref="D1010:D1029" si="25">AVERAGE(B1010:C1010)</f>
        <v>12000</v>
      </c>
    </row>
    <row r="1011" spans="1:9" ht="15" customHeight="1" thickBot="1">
      <c r="A1011" s="88">
        <v>40512</v>
      </c>
      <c r="B1011" s="89">
        <v>11800</v>
      </c>
      <c r="C1011" s="89">
        <v>12200</v>
      </c>
      <c r="D1011" s="89">
        <f t="shared" si="25"/>
        <v>12000</v>
      </c>
      <c r="E1011" s="240">
        <f>AVERAGE(D990:D1011)</f>
        <v>11390.90909090909</v>
      </c>
      <c r="F1011" s="240"/>
      <c r="G1011" s="92"/>
      <c r="H1011" s="103"/>
      <c r="I1011" s="107"/>
    </row>
    <row r="1012" spans="1:9" ht="15" customHeight="1">
      <c r="A1012" s="93">
        <v>40513</v>
      </c>
      <c r="B1012" s="84">
        <v>11800</v>
      </c>
      <c r="C1012" s="84">
        <v>12200</v>
      </c>
      <c r="D1012" s="84">
        <f t="shared" si="25"/>
        <v>12000</v>
      </c>
    </row>
    <row r="1013" spans="1:9" ht="15" customHeight="1">
      <c r="A1013" s="93">
        <v>40514</v>
      </c>
      <c r="B1013" s="84">
        <v>11800</v>
      </c>
      <c r="C1013" s="84">
        <v>12200</v>
      </c>
      <c r="D1013" s="84">
        <f t="shared" si="25"/>
        <v>12000</v>
      </c>
    </row>
    <row r="1014" spans="1:9" ht="15" customHeight="1">
      <c r="A1014" s="93">
        <v>40515</v>
      </c>
      <c r="B1014" s="84">
        <v>11800</v>
      </c>
      <c r="C1014" s="84">
        <v>12200</v>
      </c>
      <c r="D1014" s="84">
        <f t="shared" si="25"/>
        <v>12000</v>
      </c>
    </row>
    <row r="1015" spans="1:9" ht="15" customHeight="1">
      <c r="A1015" s="93">
        <v>40518</v>
      </c>
      <c r="B1015" s="84">
        <v>11800</v>
      </c>
      <c r="C1015" s="84">
        <v>12200</v>
      </c>
      <c r="D1015" s="84">
        <f t="shared" si="25"/>
        <v>12000</v>
      </c>
    </row>
    <row r="1016" spans="1:9" ht="15" customHeight="1">
      <c r="A1016" s="93">
        <v>40519</v>
      </c>
      <c r="B1016" s="84">
        <v>11800</v>
      </c>
      <c r="C1016" s="84">
        <v>12200</v>
      </c>
      <c r="D1016" s="84">
        <f t="shared" si="25"/>
        <v>12000</v>
      </c>
    </row>
    <row r="1017" spans="1:9" ht="15" customHeight="1">
      <c r="A1017" s="93">
        <v>40520</v>
      </c>
      <c r="B1017" s="84">
        <v>11800</v>
      </c>
      <c r="C1017" s="84">
        <v>12200</v>
      </c>
      <c r="D1017" s="84">
        <f t="shared" si="25"/>
        <v>12000</v>
      </c>
    </row>
    <row r="1018" spans="1:9" ht="15" customHeight="1">
      <c r="A1018" s="93">
        <v>40521</v>
      </c>
      <c r="B1018" s="84">
        <v>11800</v>
      </c>
      <c r="C1018" s="84">
        <v>12200</v>
      </c>
      <c r="D1018" s="84">
        <f t="shared" si="25"/>
        <v>12000</v>
      </c>
    </row>
    <row r="1019" spans="1:9" ht="15" customHeight="1">
      <c r="A1019" s="93">
        <v>40522</v>
      </c>
      <c r="B1019" s="84">
        <v>12000</v>
      </c>
      <c r="C1019" s="84">
        <v>12200</v>
      </c>
      <c r="D1019" s="84">
        <f t="shared" si="25"/>
        <v>12100</v>
      </c>
    </row>
    <row r="1020" spans="1:9" ht="15" customHeight="1">
      <c r="A1020" s="93">
        <v>40525</v>
      </c>
      <c r="B1020" s="84">
        <v>12000</v>
      </c>
      <c r="C1020" s="84">
        <v>12200</v>
      </c>
      <c r="D1020" s="84">
        <f t="shared" si="25"/>
        <v>12100</v>
      </c>
    </row>
    <row r="1021" spans="1:9" ht="15" customHeight="1">
      <c r="A1021" s="93">
        <v>40526</v>
      </c>
      <c r="B1021" s="84">
        <v>12000</v>
      </c>
      <c r="C1021" s="84">
        <v>12200</v>
      </c>
      <c r="D1021" s="84">
        <f t="shared" si="25"/>
        <v>12100</v>
      </c>
    </row>
    <row r="1022" spans="1:9" ht="15" customHeight="1">
      <c r="A1022" s="93">
        <v>40527</v>
      </c>
      <c r="B1022" s="84">
        <v>12000</v>
      </c>
      <c r="C1022" s="84">
        <v>12200</v>
      </c>
      <c r="D1022" s="84">
        <f t="shared" si="25"/>
        <v>12100</v>
      </c>
    </row>
    <row r="1023" spans="1:9" ht="15" customHeight="1">
      <c r="A1023" s="93">
        <v>40528</v>
      </c>
      <c r="B1023" s="84">
        <v>12000</v>
      </c>
      <c r="C1023" s="84">
        <v>12200</v>
      </c>
      <c r="D1023" s="84">
        <f t="shared" si="25"/>
        <v>12100</v>
      </c>
    </row>
    <row r="1024" spans="1:9" ht="15" customHeight="1">
      <c r="A1024" s="93">
        <v>40529</v>
      </c>
      <c r="B1024" s="84">
        <v>12000</v>
      </c>
      <c r="C1024" s="84">
        <v>12300</v>
      </c>
      <c r="D1024" s="84">
        <f t="shared" si="25"/>
        <v>12150</v>
      </c>
    </row>
    <row r="1025" spans="1:9" ht="15" customHeight="1">
      <c r="A1025" s="93">
        <v>40532</v>
      </c>
      <c r="B1025" s="84">
        <v>12000</v>
      </c>
      <c r="C1025" s="84">
        <v>12300</v>
      </c>
      <c r="D1025" s="84">
        <f t="shared" si="25"/>
        <v>12150</v>
      </c>
    </row>
    <row r="1026" spans="1:9" ht="15" customHeight="1">
      <c r="A1026" s="93">
        <v>40533</v>
      </c>
      <c r="B1026" s="84">
        <v>12000</v>
      </c>
      <c r="C1026" s="84">
        <v>12300</v>
      </c>
      <c r="D1026" s="84">
        <f t="shared" si="25"/>
        <v>12150</v>
      </c>
    </row>
    <row r="1027" spans="1:9" ht="15" customHeight="1">
      <c r="A1027" s="93">
        <v>40534</v>
      </c>
      <c r="B1027" s="84">
        <v>12000</v>
      </c>
      <c r="C1027" s="84">
        <v>12300</v>
      </c>
      <c r="D1027" s="84">
        <f t="shared" si="25"/>
        <v>12150</v>
      </c>
    </row>
    <row r="1028" spans="1:9" ht="15" customHeight="1">
      <c r="A1028" s="93">
        <v>40535</v>
      </c>
      <c r="B1028" s="84">
        <v>12000</v>
      </c>
      <c r="C1028" s="84">
        <v>12300</v>
      </c>
      <c r="D1028" s="84">
        <f t="shared" si="25"/>
        <v>12150</v>
      </c>
    </row>
    <row r="1029" spans="1:9" ht="15" customHeight="1">
      <c r="A1029" s="93">
        <v>40536</v>
      </c>
      <c r="B1029" s="84">
        <v>12000</v>
      </c>
      <c r="C1029" s="84">
        <v>12400</v>
      </c>
      <c r="D1029" s="84">
        <f t="shared" si="25"/>
        <v>12200</v>
      </c>
    </row>
    <row r="1030" spans="1:9" ht="15" customHeight="1">
      <c r="A1030" s="93">
        <v>40539</v>
      </c>
      <c r="B1030" s="1054" t="s">
        <v>65</v>
      </c>
      <c r="C1030" s="1054"/>
      <c r="D1030" s="1054"/>
      <c r="E1030" s="1054"/>
      <c r="F1030" s="1054"/>
      <c r="G1030" s="1054"/>
      <c r="H1030" s="1054"/>
      <c r="I1030" s="1054"/>
    </row>
    <row r="1031" spans="1:9" ht="15" customHeight="1">
      <c r="A1031" s="93">
        <v>40540</v>
      </c>
      <c r="B1031" s="1054"/>
      <c r="C1031" s="1054"/>
      <c r="D1031" s="1054"/>
      <c r="E1031" s="1054"/>
      <c r="F1031" s="1054"/>
      <c r="G1031" s="1054"/>
      <c r="H1031" s="1054"/>
      <c r="I1031" s="1054"/>
    </row>
    <row r="1032" spans="1:9" ht="15" customHeight="1">
      <c r="A1032" s="93">
        <v>40541</v>
      </c>
      <c r="B1032" s="84">
        <v>12000</v>
      </c>
      <c r="C1032" s="84">
        <v>12400</v>
      </c>
      <c r="D1032" s="84">
        <f>AVERAGE(B1032:C1032)</f>
        <v>12200</v>
      </c>
    </row>
    <row r="1033" spans="1:9" ht="15" customHeight="1">
      <c r="A1033" s="93">
        <v>40542</v>
      </c>
      <c r="B1033" s="84">
        <v>12000</v>
      </c>
      <c r="C1033" s="84">
        <v>12400</v>
      </c>
      <c r="D1033" s="84">
        <f>AVERAGE(B1033:C1033)</f>
        <v>12200</v>
      </c>
    </row>
    <row r="1034" spans="1:9" ht="15" customHeight="1" thickBot="1">
      <c r="A1034" s="88">
        <v>40543</v>
      </c>
      <c r="B1034" s="89">
        <v>12000</v>
      </c>
      <c r="C1034" s="89">
        <v>12400</v>
      </c>
      <c r="D1034" s="89">
        <f>AVERAGE(B1034:C1034)</f>
        <v>12200</v>
      </c>
      <c r="E1034" s="240">
        <f>AVERAGE(D1012:D1034)</f>
        <v>12097.619047619048</v>
      </c>
      <c r="F1034" s="240"/>
      <c r="G1034" s="92">
        <f>AVERAGE(D969:D1034)</f>
        <v>11246.09375</v>
      </c>
      <c r="H1034" s="103"/>
      <c r="I1034" s="107"/>
    </row>
    <row r="1035" spans="1:9" ht="15" customHeight="1">
      <c r="A1035" s="93">
        <v>40546</v>
      </c>
      <c r="B1035" s="1056" t="s">
        <v>68</v>
      </c>
      <c r="C1035" s="1056"/>
      <c r="D1035" s="1056"/>
      <c r="E1035" s="1056"/>
      <c r="F1035" s="1056"/>
      <c r="G1035" s="1056"/>
      <c r="H1035" s="1056"/>
      <c r="I1035" s="1056"/>
    </row>
    <row r="1036" spans="1:9" ht="15" customHeight="1">
      <c r="A1036" s="93">
        <v>40547</v>
      </c>
      <c r="B1036" s="84">
        <v>12000</v>
      </c>
      <c r="C1036" s="84">
        <v>12400</v>
      </c>
      <c r="D1036" s="84">
        <f t="shared" ref="D1036:D1045" si="26">AVERAGE(B1036:C1036)</f>
        <v>12200</v>
      </c>
    </row>
    <row r="1037" spans="1:9" ht="15" customHeight="1">
      <c r="A1037" s="93">
        <v>40548</v>
      </c>
      <c r="B1037" s="84">
        <v>12000</v>
      </c>
      <c r="C1037" s="84">
        <v>12400</v>
      </c>
      <c r="D1037" s="84">
        <f t="shared" si="26"/>
        <v>12200</v>
      </c>
    </row>
    <row r="1038" spans="1:9" ht="15" customHeight="1">
      <c r="A1038" s="93">
        <v>40549</v>
      </c>
      <c r="B1038" s="84">
        <v>12000</v>
      </c>
      <c r="C1038" s="84">
        <v>12400</v>
      </c>
      <c r="D1038" s="84">
        <f t="shared" si="26"/>
        <v>12200</v>
      </c>
    </row>
    <row r="1039" spans="1:9" ht="15" customHeight="1">
      <c r="A1039" s="93">
        <v>40550</v>
      </c>
      <c r="B1039" s="84">
        <v>12400</v>
      </c>
      <c r="C1039" s="84">
        <v>12800</v>
      </c>
      <c r="D1039" s="84">
        <f t="shared" si="26"/>
        <v>12600</v>
      </c>
    </row>
    <row r="1040" spans="1:9" ht="15" customHeight="1">
      <c r="A1040" s="93">
        <v>40553</v>
      </c>
      <c r="B1040" s="84">
        <v>12400</v>
      </c>
      <c r="C1040" s="84">
        <v>12800</v>
      </c>
      <c r="D1040" s="84">
        <f t="shared" si="26"/>
        <v>12600</v>
      </c>
    </row>
    <row r="1041" spans="1:9" ht="15" customHeight="1">
      <c r="A1041" s="93">
        <v>40554</v>
      </c>
      <c r="B1041" s="84">
        <v>12400</v>
      </c>
      <c r="C1041" s="84">
        <v>12800</v>
      </c>
      <c r="D1041" s="84">
        <f t="shared" si="26"/>
        <v>12600</v>
      </c>
    </row>
    <row r="1042" spans="1:9" ht="15" customHeight="1">
      <c r="A1042" s="93">
        <v>40555</v>
      </c>
      <c r="B1042" s="84">
        <v>12400</v>
      </c>
      <c r="C1042" s="84">
        <v>12800</v>
      </c>
      <c r="D1042" s="84">
        <f t="shared" si="26"/>
        <v>12600</v>
      </c>
    </row>
    <row r="1043" spans="1:9" ht="15" customHeight="1">
      <c r="A1043" s="93">
        <v>40556</v>
      </c>
      <c r="B1043" s="84">
        <v>12400</v>
      </c>
      <c r="C1043" s="84">
        <v>12800</v>
      </c>
      <c r="D1043" s="84">
        <f t="shared" si="26"/>
        <v>12600</v>
      </c>
    </row>
    <row r="1044" spans="1:9" ht="15" customHeight="1">
      <c r="A1044" s="93">
        <v>40557</v>
      </c>
      <c r="B1044" s="84">
        <v>12800</v>
      </c>
      <c r="C1044" s="84">
        <v>13300</v>
      </c>
      <c r="D1044" s="84">
        <f t="shared" si="26"/>
        <v>13050</v>
      </c>
    </row>
    <row r="1045" spans="1:9" ht="15" customHeight="1">
      <c r="A1045" s="93">
        <v>40560</v>
      </c>
      <c r="B1045" s="84">
        <v>12800</v>
      </c>
      <c r="C1045" s="84">
        <v>13300</v>
      </c>
      <c r="D1045" s="84">
        <f t="shared" si="26"/>
        <v>13050</v>
      </c>
    </row>
    <row r="1046" spans="1:9" ht="15" customHeight="1">
      <c r="A1046" s="93">
        <v>40561</v>
      </c>
      <c r="B1046" s="84">
        <v>12800</v>
      </c>
      <c r="C1046" s="84">
        <v>13300</v>
      </c>
      <c r="D1046" s="84">
        <f t="shared" ref="D1046:D1051" si="27">AVERAGE(B1046:C1046)</f>
        <v>13050</v>
      </c>
    </row>
    <row r="1047" spans="1:9" ht="15" customHeight="1">
      <c r="A1047" s="93">
        <v>40562</v>
      </c>
      <c r="B1047" s="84">
        <v>12800</v>
      </c>
      <c r="C1047" s="84">
        <v>13300</v>
      </c>
      <c r="D1047" s="84">
        <f t="shared" si="27"/>
        <v>13050</v>
      </c>
    </row>
    <row r="1048" spans="1:9" ht="15" customHeight="1">
      <c r="A1048" s="93">
        <v>40563</v>
      </c>
      <c r="B1048" s="84">
        <v>12800</v>
      </c>
      <c r="C1048" s="84">
        <v>13300</v>
      </c>
      <c r="D1048" s="84">
        <f t="shared" si="27"/>
        <v>13050</v>
      </c>
    </row>
    <row r="1049" spans="1:9" ht="15" customHeight="1">
      <c r="A1049" s="93">
        <v>40564</v>
      </c>
      <c r="B1049" s="84">
        <v>13000</v>
      </c>
      <c r="C1049" s="84">
        <v>13500</v>
      </c>
      <c r="D1049" s="84">
        <f t="shared" si="27"/>
        <v>13250</v>
      </c>
    </row>
    <row r="1050" spans="1:9" ht="15" customHeight="1">
      <c r="A1050" s="93">
        <v>40567</v>
      </c>
      <c r="B1050" s="84">
        <v>13000</v>
      </c>
      <c r="C1050" s="84">
        <v>13500</v>
      </c>
      <c r="D1050" s="84">
        <f t="shared" si="27"/>
        <v>13250</v>
      </c>
    </row>
    <row r="1051" spans="1:9" ht="15" customHeight="1">
      <c r="A1051" s="93">
        <v>40568</v>
      </c>
      <c r="B1051" s="84">
        <v>13000</v>
      </c>
      <c r="C1051" s="84">
        <v>13500</v>
      </c>
      <c r="D1051" s="84">
        <f t="shared" si="27"/>
        <v>13250</v>
      </c>
    </row>
    <row r="1052" spans="1:9" ht="15" customHeight="1">
      <c r="A1052" s="93">
        <v>40569</v>
      </c>
      <c r="B1052" s="84">
        <v>13000</v>
      </c>
      <c r="C1052" s="84">
        <v>13500</v>
      </c>
      <c r="D1052" s="84">
        <f t="shared" ref="D1052:D1059" si="28">AVERAGE(B1052:C1052)</f>
        <v>13250</v>
      </c>
    </row>
    <row r="1053" spans="1:9" ht="15" customHeight="1">
      <c r="A1053" s="93">
        <v>40570</v>
      </c>
      <c r="B1053" s="84">
        <v>13500</v>
      </c>
      <c r="C1053" s="84">
        <v>14000</v>
      </c>
      <c r="D1053" s="84">
        <f t="shared" si="28"/>
        <v>13750</v>
      </c>
    </row>
    <row r="1054" spans="1:9" ht="15" customHeight="1">
      <c r="A1054" s="93">
        <v>40571</v>
      </c>
      <c r="B1054" s="84">
        <v>13500</v>
      </c>
      <c r="C1054" s="84">
        <v>14000</v>
      </c>
      <c r="D1054" s="84">
        <f t="shared" si="28"/>
        <v>13750</v>
      </c>
    </row>
    <row r="1055" spans="1:9" ht="15" customHeight="1" thickBot="1">
      <c r="A1055" s="88">
        <v>40574</v>
      </c>
      <c r="B1055" s="89">
        <v>13500</v>
      </c>
      <c r="C1055" s="89">
        <v>14000</v>
      </c>
      <c r="D1055" s="89">
        <f t="shared" si="28"/>
        <v>13750</v>
      </c>
      <c r="E1055" s="240">
        <f>AVERAGE(D1036:D1055)</f>
        <v>12955</v>
      </c>
      <c r="F1055" s="240"/>
      <c r="G1055" s="92"/>
      <c r="H1055" s="103"/>
      <c r="I1055" s="107"/>
    </row>
    <row r="1056" spans="1:9" ht="15" customHeight="1">
      <c r="A1056" s="93">
        <v>40575</v>
      </c>
      <c r="B1056" s="84">
        <v>13500</v>
      </c>
      <c r="C1056" s="84">
        <v>14000</v>
      </c>
      <c r="D1056" s="84">
        <f t="shared" si="28"/>
        <v>13750</v>
      </c>
    </row>
    <row r="1057" spans="1:4" ht="15" customHeight="1">
      <c r="A1057" s="93">
        <v>40576</v>
      </c>
      <c r="B1057" s="84">
        <v>13500</v>
      </c>
      <c r="C1057" s="84">
        <v>14000</v>
      </c>
      <c r="D1057" s="84">
        <f t="shared" si="28"/>
        <v>13750</v>
      </c>
    </row>
    <row r="1058" spans="1:4" ht="15" customHeight="1">
      <c r="A1058" s="93">
        <v>40577</v>
      </c>
      <c r="B1058" s="84">
        <v>13500</v>
      </c>
      <c r="C1058" s="84">
        <v>14000</v>
      </c>
      <c r="D1058" s="84">
        <f t="shared" si="28"/>
        <v>13750</v>
      </c>
    </row>
    <row r="1059" spans="1:4" ht="15" customHeight="1">
      <c r="A1059" s="93">
        <v>40578</v>
      </c>
      <c r="B1059" s="84">
        <v>13500</v>
      </c>
      <c r="C1059" s="84">
        <v>14000</v>
      </c>
      <c r="D1059" s="84">
        <f t="shared" si="28"/>
        <v>13750</v>
      </c>
    </row>
    <row r="1060" spans="1:4" ht="15" customHeight="1">
      <c r="A1060" s="93">
        <v>40581</v>
      </c>
      <c r="B1060" s="84">
        <v>13500</v>
      </c>
      <c r="C1060" s="84">
        <v>14000</v>
      </c>
      <c r="D1060" s="84">
        <f t="shared" ref="D1060:D1065" si="29">AVERAGE(B1060:C1060)</f>
        <v>13750</v>
      </c>
    </row>
    <row r="1061" spans="1:4" ht="15" customHeight="1">
      <c r="A1061" s="93">
        <v>40582</v>
      </c>
      <c r="B1061" s="84">
        <v>13500</v>
      </c>
      <c r="C1061" s="84">
        <v>14000</v>
      </c>
      <c r="D1061" s="84">
        <f t="shared" si="29"/>
        <v>13750</v>
      </c>
    </row>
    <row r="1062" spans="1:4" ht="15" customHeight="1">
      <c r="A1062" s="93">
        <v>40583</v>
      </c>
      <c r="B1062" s="84">
        <v>13500</v>
      </c>
      <c r="C1062" s="84">
        <v>14000</v>
      </c>
      <c r="D1062" s="84">
        <f t="shared" si="29"/>
        <v>13750</v>
      </c>
    </row>
    <row r="1063" spans="1:4" ht="15" customHeight="1">
      <c r="A1063" s="93">
        <v>40584</v>
      </c>
      <c r="B1063" s="84">
        <v>13500</v>
      </c>
      <c r="C1063" s="84">
        <v>14000</v>
      </c>
      <c r="D1063" s="84">
        <f t="shared" si="29"/>
        <v>13750</v>
      </c>
    </row>
    <row r="1064" spans="1:4" ht="15" customHeight="1">
      <c r="A1064" s="93">
        <v>40585</v>
      </c>
      <c r="B1064" s="84">
        <v>13600</v>
      </c>
      <c r="C1064" s="84">
        <v>14200</v>
      </c>
      <c r="D1064" s="84">
        <f t="shared" si="29"/>
        <v>13900</v>
      </c>
    </row>
    <row r="1065" spans="1:4" ht="15" customHeight="1">
      <c r="A1065" s="93">
        <v>40588</v>
      </c>
      <c r="B1065" s="84">
        <v>13600</v>
      </c>
      <c r="C1065" s="84">
        <v>14200</v>
      </c>
      <c r="D1065" s="84">
        <f t="shared" si="29"/>
        <v>13900</v>
      </c>
    </row>
    <row r="1066" spans="1:4" ht="15" customHeight="1">
      <c r="A1066" s="93">
        <v>40589</v>
      </c>
      <c r="B1066" s="84">
        <v>13600</v>
      </c>
      <c r="C1066" s="84">
        <v>14200</v>
      </c>
      <c r="D1066" s="84">
        <f t="shared" ref="D1066:D1071" si="30">AVERAGE(B1066:C1066)</f>
        <v>13900</v>
      </c>
    </row>
    <row r="1067" spans="1:4" ht="15" customHeight="1">
      <c r="A1067" s="93">
        <v>40590</v>
      </c>
      <c r="B1067" s="84">
        <v>13600</v>
      </c>
      <c r="C1067" s="84">
        <v>14200</v>
      </c>
      <c r="D1067" s="84">
        <f t="shared" si="30"/>
        <v>13900</v>
      </c>
    </row>
    <row r="1068" spans="1:4" ht="15" customHeight="1">
      <c r="A1068" s="93">
        <v>40591</v>
      </c>
      <c r="B1068" s="84">
        <v>13600</v>
      </c>
      <c r="C1068" s="84">
        <v>14200</v>
      </c>
      <c r="D1068" s="84">
        <f t="shared" si="30"/>
        <v>13900</v>
      </c>
    </row>
    <row r="1069" spans="1:4" ht="15" customHeight="1">
      <c r="A1069" s="93">
        <v>40592</v>
      </c>
      <c r="B1069" s="84">
        <v>13600</v>
      </c>
      <c r="C1069" s="84">
        <v>14400</v>
      </c>
      <c r="D1069" s="84">
        <f t="shared" si="30"/>
        <v>14000</v>
      </c>
    </row>
    <row r="1070" spans="1:4" ht="15" customHeight="1">
      <c r="A1070" s="93">
        <v>40595</v>
      </c>
      <c r="B1070" s="84">
        <v>13600</v>
      </c>
      <c r="C1070" s="84">
        <v>14400</v>
      </c>
      <c r="D1070" s="84">
        <f t="shared" si="30"/>
        <v>14000</v>
      </c>
    </row>
    <row r="1071" spans="1:4" ht="15" customHeight="1">
      <c r="A1071" s="93">
        <v>40596</v>
      </c>
      <c r="B1071" s="84">
        <v>13600</v>
      </c>
      <c r="C1071" s="84">
        <v>14400</v>
      </c>
      <c r="D1071" s="84">
        <f t="shared" si="30"/>
        <v>14000</v>
      </c>
    </row>
    <row r="1072" spans="1:4" ht="15" customHeight="1">
      <c r="A1072" s="93">
        <v>40597</v>
      </c>
      <c r="B1072" s="84">
        <v>13600</v>
      </c>
      <c r="C1072" s="84">
        <v>14400</v>
      </c>
      <c r="D1072" s="84">
        <f t="shared" ref="D1072:D1077" si="31">AVERAGE(B1072:C1072)</f>
        <v>14000</v>
      </c>
    </row>
    <row r="1073" spans="1:9" ht="15" customHeight="1">
      <c r="A1073" s="93">
        <v>40598</v>
      </c>
      <c r="B1073" s="84">
        <v>13600</v>
      </c>
      <c r="C1073" s="84">
        <v>14400</v>
      </c>
      <c r="D1073" s="84">
        <f t="shared" si="31"/>
        <v>14000</v>
      </c>
    </row>
    <row r="1074" spans="1:9" ht="15" customHeight="1">
      <c r="A1074" s="93">
        <v>40599</v>
      </c>
      <c r="B1074" s="84">
        <v>13600</v>
      </c>
      <c r="C1074" s="84">
        <v>14400</v>
      </c>
      <c r="D1074" s="84">
        <f t="shared" si="31"/>
        <v>14000</v>
      </c>
    </row>
    <row r="1075" spans="1:9" ht="15" customHeight="1" thickBot="1">
      <c r="A1075" s="88">
        <v>40602</v>
      </c>
      <c r="B1075" s="89">
        <v>13600</v>
      </c>
      <c r="C1075" s="89">
        <v>14400</v>
      </c>
      <c r="D1075" s="89">
        <f t="shared" si="31"/>
        <v>14000</v>
      </c>
      <c r="E1075" s="240">
        <f>AVERAGE(D1056:D1075)</f>
        <v>13875</v>
      </c>
      <c r="F1075" s="240"/>
      <c r="G1075" s="92"/>
      <c r="H1075" s="103"/>
      <c r="I1075" s="107"/>
    </row>
    <row r="1076" spans="1:9" ht="15" customHeight="1">
      <c r="A1076" s="93">
        <v>40603</v>
      </c>
      <c r="B1076" s="84">
        <v>13600</v>
      </c>
      <c r="C1076" s="84">
        <v>14400</v>
      </c>
      <c r="D1076" s="84">
        <f t="shared" si="31"/>
        <v>14000</v>
      </c>
    </row>
    <row r="1077" spans="1:9" ht="15" customHeight="1">
      <c r="A1077" s="93">
        <v>40604</v>
      </c>
      <c r="B1077" s="84">
        <v>13600</v>
      </c>
      <c r="C1077" s="84">
        <v>14400</v>
      </c>
      <c r="D1077" s="84">
        <f t="shared" si="31"/>
        <v>14000</v>
      </c>
    </row>
    <row r="1078" spans="1:9" ht="15" customHeight="1">
      <c r="A1078" s="93">
        <v>40605</v>
      </c>
      <c r="B1078" s="84">
        <v>13600</v>
      </c>
      <c r="C1078" s="84">
        <v>14400</v>
      </c>
      <c r="D1078" s="84">
        <f t="shared" ref="D1078:D1083" si="32">AVERAGE(B1078:C1078)</f>
        <v>14000</v>
      </c>
    </row>
    <row r="1079" spans="1:9" ht="15" customHeight="1">
      <c r="A1079" s="93">
        <v>40606</v>
      </c>
      <c r="B1079" s="84">
        <v>14600</v>
      </c>
      <c r="C1079" s="84">
        <v>15400</v>
      </c>
      <c r="D1079" s="84">
        <f t="shared" si="32"/>
        <v>15000</v>
      </c>
    </row>
    <row r="1080" spans="1:9" ht="15" customHeight="1">
      <c r="A1080" s="93">
        <v>40609</v>
      </c>
      <c r="B1080" s="84">
        <v>14600</v>
      </c>
      <c r="C1080" s="84">
        <v>15400</v>
      </c>
      <c r="D1080" s="84">
        <f t="shared" si="32"/>
        <v>15000</v>
      </c>
    </row>
    <row r="1081" spans="1:9" ht="15" customHeight="1">
      <c r="A1081" s="93">
        <v>40610</v>
      </c>
      <c r="B1081" s="84">
        <v>14600</v>
      </c>
      <c r="C1081" s="84">
        <v>15400</v>
      </c>
      <c r="D1081" s="84">
        <f t="shared" si="32"/>
        <v>15000</v>
      </c>
    </row>
    <row r="1082" spans="1:9" ht="15" customHeight="1">
      <c r="A1082" s="93">
        <v>40611</v>
      </c>
      <c r="B1082" s="84">
        <v>14600</v>
      </c>
      <c r="C1082" s="84">
        <v>15400</v>
      </c>
      <c r="D1082" s="84">
        <f t="shared" si="32"/>
        <v>15000</v>
      </c>
    </row>
    <row r="1083" spans="1:9" ht="15" customHeight="1">
      <c r="A1083" s="93">
        <v>40612</v>
      </c>
      <c r="B1083" s="84">
        <v>15000</v>
      </c>
      <c r="C1083" s="84">
        <v>15700</v>
      </c>
      <c r="D1083" s="84">
        <f t="shared" si="32"/>
        <v>15350</v>
      </c>
    </row>
    <row r="1084" spans="1:9" ht="15" customHeight="1">
      <c r="A1084" s="93">
        <v>40613</v>
      </c>
      <c r="B1084" s="84">
        <v>15000</v>
      </c>
      <c r="C1084" s="84">
        <v>15700</v>
      </c>
      <c r="D1084" s="84">
        <f t="shared" ref="D1084:D1089" si="33">AVERAGE(B1084:C1084)</f>
        <v>15350</v>
      </c>
    </row>
    <row r="1085" spans="1:9" ht="15" customHeight="1">
      <c r="A1085" s="93">
        <v>40616</v>
      </c>
      <c r="B1085" s="84">
        <v>15000</v>
      </c>
      <c r="C1085" s="84">
        <v>15700</v>
      </c>
      <c r="D1085" s="84">
        <f t="shared" si="33"/>
        <v>15350</v>
      </c>
    </row>
    <row r="1086" spans="1:9" ht="15" customHeight="1">
      <c r="A1086" s="93">
        <v>40617</v>
      </c>
      <c r="B1086" s="84">
        <v>15000</v>
      </c>
      <c r="C1086" s="84">
        <v>15700</v>
      </c>
      <c r="D1086" s="84">
        <f t="shared" si="33"/>
        <v>15350</v>
      </c>
    </row>
    <row r="1087" spans="1:9" ht="15" customHeight="1">
      <c r="A1087" s="93">
        <v>40618</v>
      </c>
      <c r="B1087" s="84">
        <v>15000</v>
      </c>
      <c r="C1087" s="84">
        <v>15700</v>
      </c>
      <c r="D1087" s="84">
        <f t="shared" si="33"/>
        <v>15350</v>
      </c>
    </row>
    <row r="1088" spans="1:9" ht="15" customHeight="1">
      <c r="A1088" s="93">
        <v>40619</v>
      </c>
      <c r="B1088" s="84">
        <v>15000</v>
      </c>
      <c r="C1088" s="84">
        <v>15700</v>
      </c>
      <c r="D1088" s="84">
        <f t="shared" si="33"/>
        <v>15350</v>
      </c>
    </row>
    <row r="1089" spans="1:9" ht="15" customHeight="1">
      <c r="A1089" s="93">
        <v>40620</v>
      </c>
      <c r="B1089" s="84">
        <v>15500</v>
      </c>
      <c r="C1089" s="84">
        <v>16000</v>
      </c>
      <c r="D1089" s="84">
        <f t="shared" si="33"/>
        <v>15750</v>
      </c>
    </row>
    <row r="1090" spans="1:9" ht="15" customHeight="1">
      <c r="A1090" s="93">
        <v>40623</v>
      </c>
      <c r="B1090" s="84">
        <v>15500</v>
      </c>
      <c r="C1090" s="84">
        <v>16000</v>
      </c>
      <c r="D1090" s="84">
        <f t="shared" ref="D1090:D1095" si="34">AVERAGE(B1090:C1090)</f>
        <v>15750</v>
      </c>
    </row>
    <row r="1091" spans="1:9" ht="15" customHeight="1">
      <c r="A1091" s="93">
        <v>40624</v>
      </c>
      <c r="B1091" s="84">
        <v>15500</v>
      </c>
      <c r="C1091" s="84">
        <v>16000</v>
      </c>
      <c r="D1091" s="84">
        <f t="shared" si="34"/>
        <v>15750</v>
      </c>
    </row>
    <row r="1092" spans="1:9" ht="15" customHeight="1">
      <c r="A1092" s="93">
        <v>40625</v>
      </c>
      <c r="B1092" s="84">
        <v>15500</v>
      </c>
      <c r="C1092" s="84">
        <v>16000</v>
      </c>
      <c r="D1092" s="84">
        <f t="shared" si="34"/>
        <v>15750</v>
      </c>
    </row>
    <row r="1093" spans="1:9" ht="15" customHeight="1">
      <c r="A1093" s="93">
        <v>40626</v>
      </c>
      <c r="B1093" s="84">
        <v>15500</v>
      </c>
      <c r="C1093" s="84">
        <v>16000</v>
      </c>
      <c r="D1093" s="84">
        <f t="shared" si="34"/>
        <v>15750</v>
      </c>
    </row>
    <row r="1094" spans="1:9" ht="15" customHeight="1">
      <c r="A1094" s="93">
        <v>40627</v>
      </c>
      <c r="B1094" s="84">
        <v>15500</v>
      </c>
      <c r="C1094" s="84">
        <v>16000</v>
      </c>
      <c r="D1094" s="84">
        <f t="shared" si="34"/>
        <v>15750</v>
      </c>
    </row>
    <row r="1095" spans="1:9" ht="15" customHeight="1">
      <c r="A1095" s="93">
        <v>40630</v>
      </c>
      <c r="B1095" s="84">
        <v>15500</v>
      </c>
      <c r="C1095" s="84">
        <v>16000</v>
      </c>
      <c r="D1095" s="84">
        <f t="shared" si="34"/>
        <v>15750</v>
      </c>
    </row>
    <row r="1096" spans="1:9" ht="15" customHeight="1">
      <c r="A1096" s="93">
        <v>40631</v>
      </c>
      <c r="B1096" s="84">
        <v>15500</v>
      </c>
      <c r="C1096" s="84">
        <v>16000</v>
      </c>
      <c r="D1096" s="84">
        <f t="shared" ref="D1096:D1101" si="35">AVERAGE(B1096:C1096)</f>
        <v>15750</v>
      </c>
    </row>
    <row r="1097" spans="1:9" ht="15" customHeight="1">
      <c r="A1097" s="93">
        <v>40632</v>
      </c>
      <c r="B1097" s="84">
        <v>15500</v>
      </c>
      <c r="C1097" s="84">
        <v>16000</v>
      </c>
      <c r="D1097" s="84">
        <f t="shared" si="35"/>
        <v>15750</v>
      </c>
    </row>
    <row r="1098" spans="1:9" ht="15" customHeight="1" thickBot="1">
      <c r="A1098" s="88">
        <v>40633</v>
      </c>
      <c r="B1098" s="89">
        <v>15500</v>
      </c>
      <c r="C1098" s="89">
        <v>16000</v>
      </c>
      <c r="D1098" s="89">
        <f t="shared" si="35"/>
        <v>15750</v>
      </c>
      <c r="E1098" s="240">
        <f>AVERAGE(D1076:D1098)</f>
        <v>15286.95652173913</v>
      </c>
      <c r="F1098" s="240"/>
      <c r="G1098" s="92">
        <f>AVERAGE(D1036:D1098)</f>
        <v>14098.412698412698</v>
      </c>
      <c r="H1098" s="103"/>
      <c r="I1098" s="107"/>
    </row>
    <row r="1099" spans="1:9" ht="15" customHeight="1">
      <c r="A1099" s="93">
        <v>40634</v>
      </c>
      <c r="B1099" s="84">
        <v>16500</v>
      </c>
      <c r="C1099" s="84">
        <v>17000</v>
      </c>
      <c r="D1099" s="84">
        <f t="shared" si="35"/>
        <v>16750</v>
      </c>
    </row>
    <row r="1100" spans="1:9" ht="15" customHeight="1">
      <c r="A1100" s="93">
        <v>40637</v>
      </c>
      <c r="B1100" s="84">
        <v>16500</v>
      </c>
      <c r="C1100" s="84">
        <v>17000</v>
      </c>
      <c r="D1100" s="84">
        <f t="shared" si="35"/>
        <v>16750</v>
      </c>
    </row>
    <row r="1101" spans="1:9" ht="15" customHeight="1">
      <c r="A1101" s="93">
        <v>40638</v>
      </c>
      <c r="B1101" s="84">
        <v>16500</v>
      </c>
      <c r="C1101" s="84">
        <v>17000</v>
      </c>
      <c r="D1101" s="84">
        <f t="shared" si="35"/>
        <v>16750</v>
      </c>
    </row>
    <row r="1102" spans="1:9" ht="15" customHeight="1">
      <c r="A1102" s="93">
        <v>40639</v>
      </c>
      <c r="B1102" s="84">
        <v>16500</v>
      </c>
      <c r="C1102" s="84">
        <v>17000</v>
      </c>
      <c r="D1102" s="84">
        <f t="shared" ref="D1102:D1107" si="36">AVERAGE(B1102:C1102)</f>
        <v>16750</v>
      </c>
    </row>
    <row r="1103" spans="1:9" ht="15" customHeight="1">
      <c r="A1103" s="93">
        <v>40640</v>
      </c>
      <c r="B1103" s="84">
        <v>16500</v>
      </c>
      <c r="C1103" s="84">
        <v>17000</v>
      </c>
      <c r="D1103" s="84">
        <f t="shared" si="36"/>
        <v>16750</v>
      </c>
    </row>
    <row r="1104" spans="1:9" ht="15" customHeight="1">
      <c r="A1104" s="93">
        <v>40641</v>
      </c>
      <c r="B1104" s="84">
        <v>16800</v>
      </c>
      <c r="C1104" s="84">
        <v>17300</v>
      </c>
      <c r="D1104" s="84">
        <f t="shared" si="36"/>
        <v>17050</v>
      </c>
    </row>
    <row r="1105" spans="1:9" ht="15" customHeight="1">
      <c r="A1105" s="93">
        <v>40644</v>
      </c>
      <c r="B1105" s="84">
        <v>16800</v>
      </c>
      <c r="C1105" s="84">
        <v>17300</v>
      </c>
      <c r="D1105" s="84">
        <f t="shared" si="36"/>
        <v>17050</v>
      </c>
    </row>
    <row r="1106" spans="1:9" ht="15" customHeight="1">
      <c r="A1106" s="93">
        <v>40645</v>
      </c>
      <c r="B1106" s="84">
        <v>16800</v>
      </c>
      <c r="C1106" s="84">
        <v>17300</v>
      </c>
      <c r="D1106" s="84">
        <f t="shared" si="36"/>
        <v>17050</v>
      </c>
    </row>
    <row r="1107" spans="1:9" ht="15" customHeight="1">
      <c r="A1107" s="93">
        <v>40646</v>
      </c>
      <c r="B1107" s="84">
        <v>16800</v>
      </c>
      <c r="C1107" s="84">
        <v>17300</v>
      </c>
      <c r="D1107" s="84">
        <f t="shared" si="36"/>
        <v>17050</v>
      </c>
    </row>
    <row r="1108" spans="1:9" ht="15" customHeight="1">
      <c r="A1108" s="93">
        <v>40647</v>
      </c>
      <c r="B1108" s="84">
        <v>16800</v>
      </c>
      <c r="C1108" s="84">
        <v>17300</v>
      </c>
      <c r="D1108" s="84">
        <f t="shared" ref="D1108:D1113" si="37">AVERAGE(B1108:C1108)</f>
        <v>17050</v>
      </c>
    </row>
    <row r="1109" spans="1:9" ht="15" customHeight="1">
      <c r="A1109" s="93">
        <v>40648</v>
      </c>
      <c r="B1109" s="84">
        <v>16800</v>
      </c>
      <c r="C1109" s="84">
        <v>17300</v>
      </c>
      <c r="D1109" s="84">
        <f t="shared" si="37"/>
        <v>17050</v>
      </c>
    </row>
    <row r="1110" spans="1:9" ht="15" customHeight="1">
      <c r="A1110" s="93">
        <v>40651</v>
      </c>
      <c r="B1110" s="84">
        <v>16800</v>
      </c>
      <c r="C1110" s="84">
        <v>17300</v>
      </c>
      <c r="D1110" s="84">
        <f t="shared" si="37"/>
        <v>17050</v>
      </c>
    </row>
    <row r="1111" spans="1:9" ht="15" customHeight="1">
      <c r="A1111" s="93">
        <v>40652</v>
      </c>
      <c r="B1111" s="84">
        <v>16800</v>
      </c>
      <c r="C1111" s="84">
        <v>17300</v>
      </c>
      <c r="D1111" s="84">
        <f t="shared" si="37"/>
        <v>17050</v>
      </c>
    </row>
    <row r="1112" spans="1:9" ht="15" customHeight="1">
      <c r="A1112" s="93">
        <v>40653</v>
      </c>
      <c r="B1112" s="84">
        <v>16800</v>
      </c>
      <c r="C1112" s="84">
        <v>17300</v>
      </c>
      <c r="D1112" s="84">
        <f t="shared" si="37"/>
        <v>17050</v>
      </c>
    </row>
    <row r="1113" spans="1:9" ht="15" customHeight="1">
      <c r="A1113" s="93">
        <v>40654</v>
      </c>
      <c r="B1113" s="84">
        <v>16800</v>
      </c>
      <c r="C1113" s="84">
        <v>17300</v>
      </c>
      <c r="D1113" s="84">
        <f t="shared" si="37"/>
        <v>17050</v>
      </c>
    </row>
    <row r="1114" spans="1:9" ht="15" customHeight="1">
      <c r="A1114" s="93">
        <v>40655</v>
      </c>
      <c r="B1114" s="1054" t="s">
        <v>65</v>
      </c>
      <c r="C1114" s="1054"/>
      <c r="D1114" s="1054"/>
      <c r="E1114" s="1054"/>
      <c r="F1114" s="1054"/>
      <c r="G1114" s="1054"/>
      <c r="H1114" s="1054"/>
      <c r="I1114" s="1054"/>
    </row>
    <row r="1115" spans="1:9" ht="15" customHeight="1">
      <c r="A1115" s="93">
        <v>40658</v>
      </c>
      <c r="B1115" s="1054"/>
      <c r="C1115" s="1054"/>
      <c r="D1115" s="1054"/>
      <c r="E1115" s="1054"/>
      <c r="F1115" s="1054"/>
      <c r="G1115" s="1054"/>
      <c r="H1115" s="1054"/>
      <c r="I1115" s="1054"/>
    </row>
    <row r="1116" spans="1:9" ht="15" customHeight="1">
      <c r="A1116" s="93">
        <v>40659</v>
      </c>
      <c r="B1116" s="84">
        <v>16800</v>
      </c>
      <c r="C1116" s="84">
        <v>17300</v>
      </c>
      <c r="D1116" s="84">
        <f>AVERAGE(B1116:C1116)</f>
        <v>17050</v>
      </c>
    </row>
    <row r="1117" spans="1:9" ht="15" customHeight="1">
      <c r="A1117" s="93">
        <v>40660</v>
      </c>
      <c r="B1117" s="84">
        <v>16800</v>
      </c>
      <c r="C1117" s="84">
        <v>17300</v>
      </c>
      <c r="D1117" s="84">
        <f>AVERAGE(B1117:C1117)</f>
        <v>17050</v>
      </c>
    </row>
    <row r="1118" spans="1:9" ht="15" customHeight="1">
      <c r="A1118" s="93">
        <v>40661</v>
      </c>
      <c r="B1118" s="84">
        <v>16800</v>
      </c>
      <c r="C1118" s="84">
        <v>17300</v>
      </c>
      <c r="D1118" s="84">
        <f>AVERAGE(B1118:C1118)</f>
        <v>17050</v>
      </c>
      <c r="E1118" s="239">
        <f>AVERAGE(D1099:D1118)</f>
        <v>16966.666666666668</v>
      </c>
      <c r="F1118" s="239"/>
    </row>
    <row r="1119" spans="1:9" ht="15" customHeight="1" thickBot="1">
      <c r="A1119" s="88">
        <v>40662</v>
      </c>
      <c r="B1119" s="1055" t="s">
        <v>84</v>
      </c>
      <c r="C1119" s="1055"/>
      <c r="D1119" s="1055"/>
      <c r="E1119" s="1055"/>
      <c r="F1119" s="1055"/>
      <c r="G1119" s="1055"/>
      <c r="H1119" s="1055"/>
      <c r="I1119" s="1055"/>
    </row>
    <row r="1120" spans="1:9" ht="15" customHeight="1">
      <c r="A1120" s="93">
        <v>40665</v>
      </c>
      <c r="B1120" s="1056" t="s">
        <v>85</v>
      </c>
      <c r="C1120" s="1056"/>
      <c r="D1120" s="1056"/>
      <c r="E1120" s="1056"/>
      <c r="F1120" s="1056"/>
      <c r="G1120" s="1056"/>
      <c r="H1120" s="1056"/>
      <c r="I1120" s="1056"/>
    </row>
    <row r="1121" spans="1:4" ht="15" customHeight="1">
      <c r="A1121" s="93">
        <v>40666</v>
      </c>
      <c r="B1121" s="84">
        <v>16800</v>
      </c>
      <c r="C1121" s="84">
        <v>17300</v>
      </c>
      <c r="D1121" s="84">
        <f t="shared" ref="D1121:D1126" si="38">AVERAGE(B1121:C1121)</f>
        <v>17050</v>
      </c>
    </row>
    <row r="1122" spans="1:4" ht="15" customHeight="1">
      <c r="A1122" s="93">
        <v>40667</v>
      </c>
      <c r="B1122" s="84">
        <v>16800</v>
      </c>
      <c r="C1122" s="84">
        <v>17300</v>
      </c>
      <c r="D1122" s="84">
        <f t="shared" si="38"/>
        <v>17050</v>
      </c>
    </row>
    <row r="1123" spans="1:4" ht="15" customHeight="1">
      <c r="A1123" s="93">
        <v>40668</v>
      </c>
      <c r="B1123" s="84">
        <v>16800</v>
      </c>
      <c r="C1123" s="84">
        <v>17300</v>
      </c>
      <c r="D1123" s="84">
        <f t="shared" si="38"/>
        <v>17050</v>
      </c>
    </row>
    <row r="1124" spans="1:4" ht="15" customHeight="1">
      <c r="A1124" s="93">
        <v>40669</v>
      </c>
      <c r="B1124" s="84">
        <v>16000</v>
      </c>
      <c r="C1124" s="84">
        <v>16500</v>
      </c>
      <c r="D1124" s="84">
        <f t="shared" si="38"/>
        <v>16250</v>
      </c>
    </row>
    <row r="1125" spans="1:4" ht="15" customHeight="1">
      <c r="A1125" s="93">
        <v>40672</v>
      </c>
      <c r="B1125" s="84">
        <v>16000</v>
      </c>
      <c r="C1125" s="84">
        <v>16500</v>
      </c>
      <c r="D1125" s="84">
        <f t="shared" si="38"/>
        <v>16250</v>
      </c>
    </row>
    <row r="1126" spans="1:4" ht="15" customHeight="1">
      <c r="A1126" s="93">
        <v>40673</v>
      </c>
      <c r="B1126" s="84">
        <v>16000</v>
      </c>
      <c r="C1126" s="84">
        <v>16500</v>
      </c>
      <c r="D1126" s="84">
        <f t="shared" si="38"/>
        <v>16250</v>
      </c>
    </row>
    <row r="1127" spans="1:4" ht="15" customHeight="1">
      <c r="A1127" s="93">
        <v>40674</v>
      </c>
      <c r="B1127" s="84">
        <v>16000</v>
      </c>
      <c r="C1127" s="84">
        <v>16500</v>
      </c>
      <c r="D1127" s="84">
        <f t="shared" ref="D1127:D1132" si="39">AVERAGE(B1127:C1127)</f>
        <v>16250</v>
      </c>
    </row>
    <row r="1128" spans="1:4" ht="15" customHeight="1">
      <c r="A1128" s="93">
        <v>40675</v>
      </c>
      <c r="B1128" s="84">
        <v>16000</v>
      </c>
      <c r="C1128" s="84">
        <v>16500</v>
      </c>
      <c r="D1128" s="84">
        <f t="shared" si="39"/>
        <v>16250</v>
      </c>
    </row>
    <row r="1129" spans="1:4" ht="15" customHeight="1">
      <c r="A1129" s="93">
        <v>40676</v>
      </c>
      <c r="B1129" s="84">
        <v>16000</v>
      </c>
      <c r="C1129" s="84">
        <v>16500</v>
      </c>
      <c r="D1129" s="84">
        <f t="shared" si="39"/>
        <v>16250</v>
      </c>
    </row>
    <row r="1130" spans="1:4" ht="15" customHeight="1">
      <c r="A1130" s="93">
        <v>40679</v>
      </c>
      <c r="B1130" s="84">
        <v>16000</v>
      </c>
      <c r="C1130" s="84">
        <v>16500</v>
      </c>
      <c r="D1130" s="84">
        <f t="shared" si="39"/>
        <v>16250</v>
      </c>
    </row>
    <row r="1131" spans="1:4" ht="15" customHeight="1">
      <c r="A1131" s="93">
        <v>40680</v>
      </c>
      <c r="B1131" s="84">
        <v>16000</v>
      </c>
      <c r="C1131" s="84">
        <v>16500</v>
      </c>
      <c r="D1131" s="84">
        <f t="shared" si="39"/>
        <v>16250</v>
      </c>
    </row>
    <row r="1132" spans="1:4" ht="15" customHeight="1">
      <c r="A1132" s="93">
        <v>40681</v>
      </c>
      <c r="B1132" s="84">
        <v>16000</v>
      </c>
      <c r="C1132" s="84">
        <v>16500</v>
      </c>
      <c r="D1132" s="84">
        <f t="shared" si="39"/>
        <v>16250</v>
      </c>
    </row>
    <row r="1133" spans="1:4" ht="15" customHeight="1">
      <c r="A1133" s="93">
        <v>40682</v>
      </c>
      <c r="B1133" s="84">
        <v>16000</v>
      </c>
      <c r="C1133" s="84">
        <v>16500</v>
      </c>
      <c r="D1133" s="84">
        <f t="shared" ref="D1133:D1138" si="40">AVERAGE(B1133:C1133)</f>
        <v>16250</v>
      </c>
    </row>
    <row r="1134" spans="1:4" ht="15" customHeight="1">
      <c r="A1134" s="93">
        <v>40683</v>
      </c>
      <c r="B1134" s="84">
        <v>16000</v>
      </c>
      <c r="C1134" s="84">
        <v>16500</v>
      </c>
      <c r="D1134" s="84">
        <f t="shared" si="40"/>
        <v>16250</v>
      </c>
    </row>
    <row r="1135" spans="1:4" ht="15" customHeight="1">
      <c r="A1135" s="93">
        <v>40686</v>
      </c>
      <c r="B1135" s="84">
        <v>16000</v>
      </c>
      <c r="C1135" s="84">
        <v>16500</v>
      </c>
      <c r="D1135" s="84">
        <f t="shared" si="40"/>
        <v>16250</v>
      </c>
    </row>
    <row r="1136" spans="1:4" ht="15" customHeight="1">
      <c r="A1136" s="93">
        <v>40687</v>
      </c>
      <c r="B1136" s="84">
        <v>16000</v>
      </c>
      <c r="C1136" s="84">
        <v>16500</v>
      </c>
      <c r="D1136" s="84">
        <f t="shared" si="40"/>
        <v>16250</v>
      </c>
    </row>
    <row r="1137" spans="1:9" ht="15" customHeight="1">
      <c r="A1137" s="93">
        <v>40688</v>
      </c>
      <c r="B1137" s="84">
        <v>16000</v>
      </c>
      <c r="C1137" s="84">
        <v>16500</v>
      </c>
      <c r="D1137" s="84">
        <f t="shared" si="40"/>
        <v>16250</v>
      </c>
    </row>
    <row r="1138" spans="1:9" ht="15" customHeight="1">
      <c r="A1138" s="93">
        <v>40689</v>
      </c>
      <c r="B1138" s="84">
        <v>16000</v>
      </c>
      <c r="C1138" s="84">
        <v>16500</v>
      </c>
      <c r="D1138" s="84">
        <f t="shared" si="40"/>
        <v>16250</v>
      </c>
    </row>
    <row r="1139" spans="1:9" ht="15" customHeight="1">
      <c r="A1139" s="93">
        <v>40690</v>
      </c>
      <c r="B1139" s="84">
        <v>16000</v>
      </c>
      <c r="C1139" s="84">
        <v>16500</v>
      </c>
      <c r="D1139" s="84">
        <f>AVERAGE(B1139:C1139)</f>
        <v>16250</v>
      </c>
    </row>
    <row r="1140" spans="1:9" ht="15" customHeight="1">
      <c r="A1140" s="93">
        <v>40693</v>
      </c>
      <c r="B1140" s="1053" t="s">
        <v>68</v>
      </c>
      <c r="C1140" s="1053"/>
      <c r="D1140" s="1053"/>
      <c r="E1140" s="1053"/>
      <c r="F1140" s="1053"/>
      <c r="G1140" s="1053"/>
      <c r="H1140" s="1053"/>
      <c r="I1140" s="1053"/>
    </row>
    <row r="1141" spans="1:9" ht="15" customHeight="1" thickBot="1">
      <c r="A1141" s="88">
        <v>40694</v>
      </c>
      <c r="B1141" s="89">
        <v>16000</v>
      </c>
      <c r="C1141" s="89">
        <v>16500</v>
      </c>
      <c r="D1141" s="89">
        <f t="shared" ref="D1141:D1146" si="41">AVERAGE(B1141:C1141)</f>
        <v>16250</v>
      </c>
      <c r="E1141" s="240">
        <f>AVERAGE(D1120:D1141)</f>
        <v>16370</v>
      </c>
      <c r="F1141" s="240"/>
      <c r="G1141" s="92"/>
      <c r="H1141" s="103"/>
      <c r="I1141" s="107"/>
    </row>
    <row r="1142" spans="1:9" ht="15" customHeight="1">
      <c r="A1142" s="93">
        <v>40695</v>
      </c>
      <c r="B1142" s="84">
        <v>16000</v>
      </c>
      <c r="C1142" s="84">
        <v>16500</v>
      </c>
      <c r="D1142" s="84">
        <f t="shared" si="41"/>
        <v>16250</v>
      </c>
    </row>
    <row r="1143" spans="1:9" ht="15" customHeight="1">
      <c r="A1143" s="93">
        <v>40696</v>
      </c>
      <c r="B1143" s="84">
        <v>16000</v>
      </c>
      <c r="C1143" s="84">
        <v>16500</v>
      </c>
      <c r="D1143" s="84">
        <f t="shared" si="41"/>
        <v>16250</v>
      </c>
    </row>
    <row r="1144" spans="1:9" ht="15" customHeight="1">
      <c r="A1144" s="93">
        <v>40697</v>
      </c>
      <c r="B1144" s="84">
        <v>15500</v>
      </c>
      <c r="C1144" s="84">
        <v>16000</v>
      </c>
      <c r="D1144" s="84">
        <f t="shared" si="41"/>
        <v>15750</v>
      </c>
    </row>
    <row r="1145" spans="1:9" ht="15" customHeight="1">
      <c r="A1145" s="93">
        <v>40700</v>
      </c>
      <c r="B1145" s="84">
        <v>15500</v>
      </c>
      <c r="C1145" s="84">
        <v>16000</v>
      </c>
      <c r="D1145" s="84">
        <f t="shared" si="41"/>
        <v>15750</v>
      </c>
    </row>
    <row r="1146" spans="1:9" ht="15" customHeight="1">
      <c r="A1146" s="93">
        <v>40701</v>
      </c>
      <c r="B1146" s="84">
        <v>15500</v>
      </c>
      <c r="C1146" s="84">
        <v>16000</v>
      </c>
      <c r="D1146" s="84">
        <f t="shared" si="41"/>
        <v>15750</v>
      </c>
    </row>
    <row r="1147" spans="1:9" ht="15" customHeight="1">
      <c r="A1147" s="93">
        <v>40702</v>
      </c>
      <c r="B1147" s="84">
        <v>15500</v>
      </c>
      <c r="C1147" s="84">
        <v>16000</v>
      </c>
      <c r="D1147" s="84">
        <f t="shared" ref="D1147:D1152" si="42">AVERAGE(B1147:C1147)</f>
        <v>15750</v>
      </c>
    </row>
    <row r="1148" spans="1:9" ht="15" customHeight="1">
      <c r="A1148" s="93">
        <v>40703</v>
      </c>
      <c r="B1148" s="84">
        <v>15500</v>
      </c>
      <c r="C1148" s="84">
        <v>16000</v>
      </c>
      <c r="D1148" s="84">
        <f t="shared" si="42"/>
        <v>15750</v>
      </c>
    </row>
    <row r="1149" spans="1:9" ht="15" customHeight="1">
      <c r="A1149" s="93">
        <v>40704</v>
      </c>
      <c r="B1149" s="84">
        <v>15500</v>
      </c>
      <c r="C1149" s="84">
        <v>16000</v>
      </c>
      <c r="D1149" s="84">
        <f t="shared" si="42"/>
        <v>15750</v>
      </c>
    </row>
    <row r="1150" spans="1:9" ht="15" customHeight="1">
      <c r="A1150" s="93">
        <v>40707</v>
      </c>
      <c r="B1150" s="84">
        <v>15500</v>
      </c>
      <c r="C1150" s="84">
        <v>16000</v>
      </c>
      <c r="D1150" s="84">
        <f t="shared" si="42"/>
        <v>15750</v>
      </c>
    </row>
    <row r="1151" spans="1:9" ht="15" customHeight="1">
      <c r="A1151" s="93">
        <v>40708</v>
      </c>
      <c r="B1151" s="84">
        <v>15500</v>
      </c>
      <c r="C1151" s="84">
        <v>16000</v>
      </c>
      <c r="D1151" s="84">
        <f t="shared" si="42"/>
        <v>15750</v>
      </c>
    </row>
    <row r="1152" spans="1:9" ht="15" customHeight="1">
      <c r="A1152" s="93">
        <v>40709</v>
      </c>
      <c r="B1152" s="84">
        <v>15500</v>
      </c>
      <c r="C1152" s="84">
        <v>16000</v>
      </c>
      <c r="D1152" s="84">
        <f t="shared" si="42"/>
        <v>15750</v>
      </c>
    </row>
    <row r="1153" spans="1:9" ht="15" customHeight="1">
      <c r="A1153" s="93">
        <v>40710</v>
      </c>
      <c r="B1153" s="84">
        <v>15500</v>
      </c>
      <c r="C1153" s="84">
        <v>16000</v>
      </c>
      <c r="D1153" s="84">
        <f t="shared" ref="D1153:D1158" si="43">AVERAGE(B1153:C1153)</f>
        <v>15750</v>
      </c>
    </row>
    <row r="1154" spans="1:9" ht="15" customHeight="1">
      <c r="A1154" s="93">
        <v>40711</v>
      </c>
      <c r="B1154" s="84">
        <v>15500</v>
      </c>
      <c r="C1154" s="84">
        <v>16000</v>
      </c>
      <c r="D1154" s="84">
        <f t="shared" si="43"/>
        <v>15750</v>
      </c>
    </row>
    <row r="1155" spans="1:9" ht="15" customHeight="1">
      <c r="A1155" s="93">
        <v>40714</v>
      </c>
      <c r="B1155" s="84">
        <v>15500</v>
      </c>
      <c r="C1155" s="84">
        <v>16000</v>
      </c>
      <c r="D1155" s="84">
        <f t="shared" si="43"/>
        <v>15750</v>
      </c>
    </row>
    <row r="1156" spans="1:9" ht="15" customHeight="1">
      <c r="A1156" s="93">
        <v>40715</v>
      </c>
      <c r="B1156" s="84">
        <v>15500</v>
      </c>
      <c r="C1156" s="84">
        <v>16000</v>
      </c>
      <c r="D1156" s="84">
        <f t="shared" si="43"/>
        <v>15750</v>
      </c>
    </row>
    <row r="1157" spans="1:9" ht="15" customHeight="1">
      <c r="A1157" s="93">
        <v>40716</v>
      </c>
      <c r="B1157" s="84">
        <v>15500</v>
      </c>
      <c r="C1157" s="84">
        <v>16000</v>
      </c>
      <c r="D1157" s="84">
        <f t="shared" si="43"/>
        <v>15750</v>
      </c>
    </row>
    <row r="1158" spans="1:9" ht="15" customHeight="1">
      <c r="A1158" s="93">
        <v>40717</v>
      </c>
      <c r="B1158" s="84">
        <v>15500</v>
      </c>
      <c r="C1158" s="84">
        <v>16000</v>
      </c>
      <c r="D1158" s="84">
        <f t="shared" si="43"/>
        <v>15750</v>
      </c>
    </row>
    <row r="1159" spans="1:9" ht="15" customHeight="1">
      <c r="A1159" s="93">
        <v>40718</v>
      </c>
      <c r="B1159" s="84">
        <v>14000</v>
      </c>
      <c r="C1159" s="84">
        <v>15000</v>
      </c>
      <c r="D1159" s="84">
        <f t="shared" ref="D1159:D1164" si="44">AVERAGE(B1159:C1159)</f>
        <v>14500</v>
      </c>
    </row>
    <row r="1160" spans="1:9" ht="15" customHeight="1">
      <c r="A1160" s="93">
        <v>40721</v>
      </c>
      <c r="B1160" s="84">
        <v>14000</v>
      </c>
      <c r="C1160" s="84">
        <v>15000</v>
      </c>
      <c r="D1160" s="84">
        <f t="shared" si="44"/>
        <v>14500</v>
      </c>
    </row>
    <row r="1161" spans="1:9" ht="15" customHeight="1">
      <c r="A1161" s="93">
        <v>40722</v>
      </c>
      <c r="B1161" s="84">
        <v>14000</v>
      </c>
      <c r="C1161" s="84">
        <v>15000</v>
      </c>
      <c r="D1161" s="84">
        <f t="shared" si="44"/>
        <v>14500</v>
      </c>
    </row>
    <row r="1162" spans="1:9" ht="15" customHeight="1">
      <c r="A1162" s="93">
        <v>40723</v>
      </c>
      <c r="B1162" s="84">
        <v>14000</v>
      </c>
      <c r="C1162" s="84">
        <v>15000</v>
      </c>
      <c r="D1162" s="84">
        <f t="shared" si="44"/>
        <v>14500</v>
      </c>
    </row>
    <row r="1163" spans="1:9" ht="15" customHeight="1" thickBot="1">
      <c r="A1163" s="88">
        <v>40724</v>
      </c>
      <c r="B1163" s="89">
        <v>14000</v>
      </c>
      <c r="C1163" s="89">
        <v>15000</v>
      </c>
      <c r="D1163" s="89">
        <f t="shared" si="44"/>
        <v>14500</v>
      </c>
      <c r="E1163" s="240">
        <f>AVERAGE(D1142:D1163)</f>
        <v>15511.363636363636</v>
      </c>
      <c r="F1163" s="240"/>
      <c r="G1163" s="92">
        <f>AVERAGE(D1099:D1163)</f>
        <v>16234.166666666666</v>
      </c>
      <c r="H1163" s="103"/>
      <c r="I1163" s="107"/>
    </row>
    <row r="1164" spans="1:9" ht="15" customHeight="1">
      <c r="A1164" s="93">
        <v>40725</v>
      </c>
      <c r="B1164" s="84">
        <v>13500</v>
      </c>
      <c r="C1164" s="84">
        <v>14500</v>
      </c>
      <c r="D1164" s="84">
        <f t="shared" si="44"/>
        <v>14000</v>
      </c>
    </row>
    <row r="1165" spans="1:9" ht="15" customHeight="1">
      <c r="A1165" s="93">
        <v>40728</v>
      </c>
      <c r="B1165" s="84">
        <v>13500</v>
      </c>
      <c r="C1165" s="84">
        <v>14500</v>
      </c>
      <c r="D1165" s="84">
        <f t="shared" ref="D1165:D1170" si="45">AVERAGE(B1165:C1165)</f>
        <v>14000</v>
      </c>
    </row>
    <row r="1166" spans="1:9" ht="15" customHeight="1">
      <c r="A1166" s="93">
        <v>40729</v>
      </c>
      <c r="B1166" s="84">
        <v>13500</v>
      </c>
      <c r="C1166" s="84">
        <v>14500</v>
      </c>
      <c r="D1166" s="84">
        <f t="shared" si="45"/>
        <v>14000</v>
      </c>
    </row>
    <row r="1167" spans="1:9" ht="15" customHeight="1">
      <c r="A1167" s="93">
        <v>40730</v>
      </c>
      <c r="B1167" s="84">
        <v>13500</v>
      </c>
      <c r="C1167" s="84">
        <v>14500</v>
      </c>
      <c r="D1167" s="84">
        <f t="shared" si="45"/>
        <v>14000</v>
      </c>
    </row>
    <row r="1168" spans="1:9" ht="15" customHeight="1">
      <c r="A1168" s="93">
        <v>40731</v>
      </c>
      <c r="B1168" s="84">
        <v>13500</v>
      </c>
      <c r="C1168" s="84">
        <v>14500</v>
      </c>
      <c r="D1168" s="84">
        <f t="shared" si="45"/>
        <v>14000</v>
      </c>
    </row>
    <row r="1169" spans="1:9" ht="15" customHeight="1">
      <c r="A1169" s="93">
        <v>40732</v>
      </c>
      <c r="B1169" s="84">
        <v>13500</v>
      </c>
      <c r="C1169" s="84">
        <v>14500</v>
      </c>
      <c r="D1169" s="84">
        <f t="shared" si="45"/>
        <v>14000</v>
      </c>
    </row>
    <row r="1170" spans="1:9" ht="15" customHeight="1">
      <c r="A1170" s="93">
        <v>40735</v>
      </c>
      <c r="B1170" s="84">
        <v>13500</v>
      </c>
      <c r="C1170" s="84">
        <v>14500</v>
      </c>
      <c r="D1170" s="84">
        <f t="shared" si="45"/>
        <v>14000</v>
      </c>
    </row>
    <row r="1171" spans="1:9" ht="15" customHeight="1">
      <c r="A1171" s="93">
        <v>40736</v>
      </c>
      <c r="B1171" s="84">
        <v>13500</v>
      </c>
      <c r="C1171" s="84">
        <v>14500</v>
      </c>
      <c r="D1171" s="84">
        <f t="shared" ref="D1171:D1176" si="46">AVERAGE(B1171:C1171)</f>
        <v>14000</v>
      </c>
    </row>
    <row r="1172" spans="1:9" ht="15" customHeight="1">
      <c r="A1172" s="93">
        <v>40737</v>
      </c>
      <c r="B1172" s="84">
        <v>13500</v>
      </c>
      <c r="C1172" s="84">
        <v>14500</v>
      </c>
      <c r="D1172" s="84">
        <f t="shared" si="46"/>
        <v>14000</v>
      </c>
    </row>
    <row r="1173" spans="1:9" ht="15" customHeight="1">
      <c r="A1173" s="93">
        <v>40738</v>
      </c>
      <c r="B1173" s="84">
        <v>13500</v>
      </c>
      <c r="C1173" s="84">
        <v>14500</v>
      </c>
      <c r="D1173" s="84">
        <f t="shared" si="46"/>
        <v>14000</v>
      </c>
    </row>
    <row r="1174" spans="1:9" ht="15" customHeight="1">
      <c r="A1174" s="93">
        <v>40739</v>
      </c>
      <c r="B1174" s="84">
        <v>13500</v>
      </c>
      <c r="C1174" s="84">
        <v>14500</v>
      </c>
      <c r="D1174" s="84">
        <f t="shared" si="46"/>
        <v>14000</v>
      </c>
    </row>
    <row r="1175" spans="1:9" ht="15" customHeight="1">
      <c r="A1175" s="93">
        <v>40742</v>
      </c>
      <c r="B1175" s="84">
        <v>13500</v>
      </c>
      <c r="C1175" s="84">
        <v>14500</v>
      </c>
      <c r="D1175" s="84">
        <f t="shared" si="46"/>
        <v>14000</v>
      </c>
    </row>
    <row r="1176" spans="1:9" ht="15" customHeight="1">
      <c r="A1176" s="93">
        <v>40743</v>
      </c>
      <c r="B1176" s="84">
        <v>13500</v>
      </c>
      <c r="C1176" s="84">
        <v>14500</v>
      </c>
      <c r="D1176" s="84">
        <f t="shared" si="46"/>
        <v>14000</v>
      </c>
    </row>
    <row r="1177" spans="1:9" ht="15" customHeight="1">
      <c r="A1177" s="93">
        <v>40744</v>
      </c>
      <c r="B1177" s="84">
        <v>13500</v>
      </c>
      <c r="C1177" s="84">
        <v>14500</v>
      </c>
      <c r="D1177" s="84">
        <f t="shared" ref="D1177:D1182" si="47">AVERAGE(B1177:C1177)</f>
        <v>14000</v>
      </c>
    </row>
    <row r="1178" spans="1:9" ht="15" customHeight="1">
      <c r="A1178" s="93">
        <v>40745</v>
      </c>
      <c r="B1178" s="84">
        <v>13500</v>
      </c>
      <c r="C1178" s="84">
        <v>14500</v>
      </c>
      <c r="D1178" s="84">
        <f t="shared" si="47"/>
        <v>14000</v>
      </c>
    </row>
    <row r="1179" spans="1:9" ht="15" customHeight="1">
      <c r="A1179" s="93">
        <v>40746</v>
      </c>
      <c r="B1179" s="84">
        <v>13500</v>
      </c>
      <c r="C1179" s="84">
        <v>14500</v>
      </c>
      <c r="D1179" s="84">
        <f t="shared" si="47"/>
        <v>14000</v>
      </c>
    </row>
    <row r="1180" spans="1:9" ht="15" customHeight="1">
      <c r="A1180" s="93">
        <v>40749</v>
      </c>
      <c r="B1180" s="84">
        <v>13500</v>
      </c>
      <c r="C1180" s="84">
        <v>14500</v>
      </c>
      <c r="D1180" s="84">
        <f t="shared" si="47"/>
        <v>14000</v>
      </c>
    </row>
    <row r="1181" spans="1:9" ht="15" customHeight="1">
      <c r="A1181" s="93">
        <v>40750</v>
      </c>
      <c r="B1181" s="84">
        <v>14000</v>
      </c>
      <c r="C1181" s="84">
        <v>14500</v>
      </c>
      <c r="D1181" s="84">
        <f t="shared" si="47"/>
        <v>14250</v>
      </c>
    </row>
    <row r="1182" spans="1:9" ht="15" customHeight="1">
      <c r="A1182" s="93">
        <v>40751</v>
      </c>
      <c r="B1182" s="84">
        <v>14000</v>
      </c>
      <c r="C1182" s="84">
        <v>14500</v>
      </c>
      <c r="D1182" s="84">
        <f t="shared" si="47"/>
        <v>14250</v>
      </c>
    </row>
    <row r="1183" spans="1:9" ht="15" customHeight="1">
      <c r="A1183" s="93">
        <v>40752</v>
      </c>
      <c r="B1183" s="84">
        <v>14000</v>
      </c>
      <c r="C1183" s="84">
        <v>14500</v>
      </c>
      <c r="D1183" s="84">
        <f t="shared" ref="D1183:D1188" si="48">AVERAGE(B1183:C1183)</f>
        <v>14250</v>
      </c>
    </row>
    <row r="1184" spans="1:9" ht="15" customHeight="1" thickBot="1">
      <c r="A1184" s="88">
        <v>40753</v>
      </c>
      <c r="B1184" s="89">
        <v>14500</v>
      </c>
      <c r="C1184" s="89">
        <v>15000</v>
      </c>
      <c r="D1184" s="89">
        <f t="shared" si="48"/>
        <v>14750</v>
      </c>
      <c r="E1184" s="240">
        <f>AVERAGE(D1164:D1184)</f>
        <v>14071.428571428571</v>
      </c>
      <c r="F1184" s="240"/>
      <c r="G1184" s="92"/>
      <c r="H1184" s="103"/>
      <c r="I1184" s="107"/>
    </row>
    <row r="1185" spans="1:4" ht="15" customHeight="1">
      <c r="A1185" s="93">
        <v>40756</v>
      </c>
      <c r="B1185" s="84">
        <v>14500</v>
      </c>
      <c r="C1185" s="84">
        <v>15000</v>
      </c>
      <c r="D1185" s="84">
        <f t="shared" si="48"/>
        <v>14750</v>
      </c>
    </row>
    <row r="1186" spans="1:4" ht="15" customHeight="1">
      <c r="A1186" s="93">
        <v>40757</v>
      </c>
      <c r="B1186" s="84">
        <v>14500</v>
      </c>
      <c r="C1186" s="84">
        <v>15000</v>
      </c>
      <c r="D1186" s="84">
        <f t="shared" si="48"/>
        <v>14750</v>
      </c>
    </row>
    <row r="1187" spans="1:4" ht="15" customHeight="1">
      <c r="A1187" s="93">
        <v>40758</v>
      </c>
      <c r="B1187" s="84">
        <v>14500</v>
      </c>
      <c r="C1187" s="84">
        <v>15000</v>
      </c>
      <c r="D1187" s="84">
        <f t="shared" si="48"/>
        <v>14750</v>
      </c>
    </row>
    <row r="1188" spans="1:4" ht="15" customHeight="1">
      <c r="A1188" s="93">
        <v>40759</v>
      </c>
      <c r="B1188" s="84">
        <v>14500</v>
      </c>
      <c r="C1188" s="84">
        <v>15000</v>
      </c>
      <c r="D1188" s="84">
        <f t="shared" si="48"/>
        <v>14750</v>
      </c>
    </row>
    <row r="1189" spans="1:4" ht="15" customHeight="1">
      <c r="A1189" s="93">
        <v>40760</v>
      </c>
      <c r="B1189" s="84">
        <v>14500</v>
      </c>
      <c r="C1189" s="84">
        <v>15000</v>
      </c>
      <c r="D1189" s="84">
        <f t="shared" ref="D1189:D1195" si="49">AVERAGE(B1189:C1189)</f>
        <v>14750</v>
      </c>
    </row>
    <row r="1190" spans="1:4" ht="15" customHeight="1">
      <c r="A1190" s="93">
        <v>40763</v>
      </c>
      <c r="B1190" s="84">
        <v>14500</v>
      </c>
      <c r="C1190" s="84">
        <v>15000</v>
      </c>
      <c r="D1190" s="84">
        <f t="shared" si="49"/>
        <v>14750</v>
      </c>
    </row>
    <row r="1191" spans="1:4" ht="15" customHeight="1">
      <c r="A1191" s="93">
        <v>40764</v>
      </c>
      <c r="B1191" s="84">
        <v>14500</v>
      </c>
      <c r="C1191" s="84">
        <v>15000</v>
      </c>
      <c r="D1191" s="84">
        <f t="shared" si="49"/>
        <v>14750</v>
      </c>
    </row>
    <row r="1192" spans="1:4" ht="15" customHeight="1">
      <c r="A1192" s="93">
        <v>40765</v>
      </c>
      <c r="B1192" s="84">
        <v>14500</v>
      </c>
      <c r="C1192" s="84">
        <v>15000</v>
      </c>
      <c r="D1192" s="84">
        <f t="shared" si="49"/>
        <v>14750</v>
      </c>
    </row>
    <row r="1193" spans="1:4" ht="15" customHeight="1">
      <c r="A1193" s="93">
        <v>40766</v>
      </c>
      <c r="B1193" s="84">
        <v>14500</v>
      </c>
      <c r="C1193" s="84">
        <v>15000</v>
      </c>
      <c r="D1193" s="84">
        <f t="shared" si="49"/>
        <v>14750</v>
      </c>
    </row>
    <row r="1194" spans="1:4" ht="15" customHeight="1">
      <c r="A1194" s="93">
        <v>40767</v>
      </c>
      <c r="B1194" s="84">
        <v>14500</v>
      </c>
      <c r="C1194" s="84">
        <v>15000</v>
      </c>
      <c r="D1194" s="84">
        <f t="shared" si="49"/>
        <v>14750</v>
      </c>
    </row>
    <row r="1195" spans="1:4" ht="15" customHeight="1">
      <c r="A1195" s="93">
        <v>40770</v>
      </c>
      <c r="B1195" s="84">
        <v>14500</v>
      </c>
      <c r="C1195" s="84">
        <v>15000</v>
      </c>
      <c r="D1195" s="84">
        <f t="shared" si="49"/>
        <v>14750</v>
      </c>
    </row>
    <row r="1196" spans="1:4" ht="15" customHeight="1">
      <c r="A1196" s="93">
        <v>40771</v>
      </c>
      <c r="B1196" s="84">
        <v>14500</v>
      </c>
      <c r="C1196" s="84">
        <v>15000</v>
      </c>
      <c r="D1196" s="84">
        <f t="shared" ref="D1196:D1201" si="50">AVERAGE(B1196:C1196)</f>
        <v>14750</v>
      </c>
    </row>
    <row r="1197" spans="1:4" ht="15" customHeight="1">
      <c r="A1197" s="93">
        <v>40772</v>
      </c>
      <c r="B1197" s="84">
        <v>14500</v>
      </c>
      <c r="C1197" s="84">
        <v>15000</v>
      </c>
      <c r="D1197" s="84">
        <f t="shared" si="50"/>
        <v>14750</v>
      </c>
    </row>
    <row r="1198" spans="1:4" ht="15" customHeight="1">
      <c r="A1198" s="93">
        <v>40773</v>
      </c>
      <c r="B1198" s="84">
        <v>14500</v>
      </c>
      <c r="C1198" s="84">
        <v>15000</v>
      </c>
      <c r="D1198" s="84">
        <f t="shared" si="50"/>
        <v>14750</v>
      </c>
    </row>
    <row r="1199" spans="1:4" ht="15" customHeight="1">
      <c r="A1199" s="93">
        <v>40774</v>
      </c>
      <c r="B1199" s="84">
        <v>14500</v>
      </c>
      <c r="C1199" s="84">
        <v>15000</v>
      </c>
      <c r="D1199" s="84">
        <f t="shared" si="50"/>
        <v>14750</v>
      </c>
    </row>
    <row r="1200" spans="1:4" ht="15" customHeight="1">
      <c r="A1200" s="93">
        <v>40777</v>
      </c>
      <c r="B1200" s="84">
        <v>14500</v>
      </c>
      <c r="C1200" s="84">
        <v>15000</v>
      </c>
      <c r="D1200" s="84">
        <f t="shared" si="50"/>
        <v>14750</v>
      </c>
    </row>
    <row r="1201" spans="1:9" ht="15" customHeight="1">
      <c r="A1201" s="93">
        <v>40778</v>
      </c>
      <c r="B1201" s="84">
        <v>14500</v>
      </c>
      <c r="C1201" s="84">
        <v>15000</v>
      </c>
      <c r="D1201" s="84">
        <f t="shared" si="50"/>
        <v>14750</v>
      </c>
    </row>
    <row r="1202" spans="1:9" ht="15" customHeight="1">
      <c r="A1202" s="93">
        <v>40779</v>
      </c>
      <c r="B1202" s="84">
        <v>14500</v>
      </c>
      <c r="C1202" s="84">
        <v>15000</v>
      </c>
      <c r="D1202" s="84">
        <f>AVERAGE(B1202:C1202)</f>
        <v>14750</v>
      </c>
    </row>
    <row r="1203" spans="1:9" ht="15" customHeight="1">
      <c r="A1203" s="93">
        <v>40780</v>
      </c>
      <c r="B1203" s="84">
        <v>14500</v>
      </c>
      <c r="C1203" s="84">
        <v>15000</v>
      </c>
      <c r="D1203" s="84">
        <f>AVERAGE(B1203:C1203)</f>
        <v>14750</v>
      </c>
    </row>
    <row r="1204" spans="1:9" ht="15" customHeight="1">
      <c r="A1204" s="93">
        <v>40781</v>
      </c>
      <c r="B1204" s="84">
        <v>14500</v>
      </c>
      <c r="C1204" s="84">
        <v>15000</v>
      </c>
      <c r="D1204" s="84">
        <f>AVERAGE(B1204:C1204)</f>
        <v>14750</v>
      </c>
    </row>
    <row r="1205" spans="1:9" ht="15" customHeight="1">
      <c r="A1205" s="93">
        <v>40784</v>
      </c>
      <c r="B1205" s="1053" t="s">
        <v>68</v>
      </c>
      <c r="C1205" s="1053"/>
      <c r="D1205" s="1053"/>
      <c r="E1205" s="1053"/>
      <c r="F1205" s="1053"/>
      <c r="G1205" s="1053"/>
      <c r="H1205" s="1053"/>
      <c r="I1205" s="1053"/>
    </row>
    <row r="1206" spans="1:9" ht="15" customHeight="1">
      <c r="A1206" s="93">
        <v>40785</v>
      </c>
      <c r="B1206" s="94">
        <v>14500</v>
      </c>
      <c r="C1206" s="94">
        <v>15000</v>
      </c>
      <c r="D1206" s="94">
        <f t="shared" ref="D1206:D1211" si="51">AVERAGE(B1206:C1206)</f>
        <v>14750</v>
      </c>
      <c r="E1206" s="96"/>
      <c r="F1206" s="96"/>
      <c r="G1206" s="179"/>
      <c r="H1206" s="180"/>
      <c r="I1206" s="181"/>
    </row>
    <row r="1207" spans="1:9" ht="15" customHeight="1" thickBot="1">
      <c r="A1207" s="88">
        <v>40786</v>
      </c>
      <c r="B1207" s="89">
        <v>14500</v>
      </c>
      <c r="C1207" s="89">
        <v>15000</v>
      </c>
      <c r="D1207" s="89">
        <f t="shared" si="51"/>
        <v>14750</v>
      </c>
      <c r="E1207" s="240">
        <f>AVERAGE(D1185:D1207)</f>
        <v>14750</v>
      </c>
      <c r="F1207" s="240"/>
      <c r="G1207" s="92"/>
      <c r="H1207" s="103"/>
      <c r="I1207" s="107"/>
    </row>
    <row r="1208" spans="1:9" ht="15" customHeight="1">
      <c r="A1208" s="93">
        <v>40787</v>
      </c>
      <c r="B1208" s="84">
        <v>14500</v>
      </c>
      <c r="C1208" s="84">
        <v>15000</v>
      </c>
      <c r="D1208" s="84">
        <f t="shared" si="51"/>
        <v>14750</v>
      </c>
    </row>
    <row r="1209" spans="1:9" ht="15" customHeight="1">
      <c r="A1209" s="93">
        <v>40788</v>
      </c>
      <c r="B1209" s="84">
        <v>14500</v>
      </c>
      <c r="C1209" s="84">
        <v>15000</v>
      </c>
      <c r="D1209" s="84">
        <f t="shared" si="51"/>
        <v>14750</v>
      </c>
    </row>
    <row r="1210" spans="1:9" ht="15" customHeight="1">
      <c r="A1210" s="93">
        <v>40791</v>
      </c>
      <c r="B1210" s="84">
        <v>14500</v>
      </c>
      <c r="C1210" s="84">
        <v>15000</v>
      </c>
      <c r="D1210" s="84">
        <f t="shared" si="51"/>
        <v>14750</v>
      </c>
    </row>
    <row r="1211" spans="1:9" ht="15" customHeight="1">
      <c r="A1211" s="93">
        <v>40792</v>
      </c>
      <c r="B1211" s="84">
        <v>14500</v>
      </c>
      <c r="C1211" s="84">
        <v>15000</v>
      </c>
      <c r="D1211" s="84">
        <f t="shared" si="51"/>
        <v>14750</v>
      </c>
    </row>
    <row r="1212" spans="1:9" ht="15" customHeight="1">
      <c r="A1212" s="93">
        <v>40793</v>
      </c>
      <c r="B1212" s="84">
        <v>14500</v>
      </c>
      <c r="C1212" s="84">
        <v>15000</v>
      </c>
      <c r="D1212" s="84">
        <f t="shared" ref="D1212:D1217" si="52">AVERAGE(B1212:C1212)</f>
        <v>14750</v>
      </c>
    </row>
    <row r="1213" spans="1:9" ht="15" customHeight="1">
      <c r="A1213" s="93">
        <v>40794</v>
      </c>
      <c r="B1213" s="84">
        <v>14500</v>
      </c>
      <c r="C1213" s="84">
        <v>15000</v>
      </c>
      <c r="D1213" s="84">
        <f t="shared" si="52"/>
        <v>14750</v>
      </c>
    </row>
    <row r="1214" spans="1:9" ht="15" customHeight="1">
      <c r="A1214" s="93">
        <v>40795</v>
      </c>
      <c r="B1214" s="84">
        <v>15300</v>
      </c>
      <c r="C1214" s="84">
        <v>15800</v>
      </c>
      <c r="D1214" s="84">
        <f t="shared" si="52"/>
        <v>15550</v>
      </c>
    </row>
    <row r="1215" spans="1:9" ht="15" customHeight="1">
      <c r="A1215" s="93">
        <v>40798</v>
      </c>
      <c r="B1215" s="84">
        <v>15300</v>
      </c>
      <c r="C1215" s="84">
        <v>15800</v>
      </c>
      <c r="D1215" s="84">
        <f t="shared" si="52"/>
        <v>15550</v>
      </c>
    </row>
    <row r="1216" spans="1:9" ht="15" customHeight="1">
      <c r="A1216" s="93">
        <v>40799</v>
      </c>
      <c r="B1216" s="84">
        <v>15300</v>
      </c>
      <c r="C1216" s="84">
        <v>15800</v>
      </c>
      <c r="D1216" s="84">
        <f t="shared" si="52"/>
        <v>15550</v>
      </c>
    </row>
    <row r="1217" spans="1:9" ht="15" customHeight="1">
      <c r="A1217" s="93">
        <v>40800</v>
      </c>
      <c r="B1217" s="84">
        <v>15300</v>
      </c>
      <c r="C1217" s="84">
        <v>15800</v>
      </c>
      <c r="D1217" s="84">
        <f t="shared" si="52"/>
        <v>15550</v>
      </c>
    </row>
    <row r="1218" spans="1:9" ht="15" customHeight="1">
      <c r="A1218" s="93">
        <v>40801</v>
      </c>
      <c r="B1218" s="84">
        <v>15300</v>
      </c>
      <c r="C1218" s="84">
        <v>15800</v>
      </c>
      <c r="D1218" s="84">
        <f t="shared" ref="D1218:D1223" si="53">AVERAGE(B1218:C1218)</f>
        <v>15550</v>
      </c>
    </row>
    <row r="1219" spans="1:9" ht="15" customHeight="1">
      <c r="A1219" s="93">
        <v>40802</v>
      </c>
      <c r="B1219" s="84">
        <v>15300</v>
      </c>
      <c r="C1219" s="84">
        <v>15800</v>
      </c>
      <c r="D1219" s="84">
        <f t="shared" si="53"/>
        <v>15550</v>
      </c>
    </row>
    <row r="1220" spans="1:9" ht="15" customHeight="1">
      <c r="A1220" s="93">
        <v>40805</v>
      </c>
      <c r="B1220" s="84">
        <v>15300</v>
      </c>
      <c r="C1220" s="84">
        <v>15800</v>
      </c>
      <c r="D1220" s="84">
        <f t="shared" si="53"/>
        <v>15550</v>
      </c>
    </row>
    <row r="1221" spans="1:9" ht="15" customHeight="1">
      <c r="A1221" s="93">
        <v>40806</v>
      </c>
      <c r="B1221" s="84">
        <v>15300</v>
      </c>
      <c r="C1221" s="84">
        <v>15800</v>
      </c>
      <c r="D1221" s="84">
        <f t="shared" si="53"/>
        <v>15550</v>
      </c>
    </row>
    <row r="1222" spans="1:9" ht="15" customHeight="1">
      <c r="A1222" s="93">
        <v>40807</v>
      </c>
      <c r="B1222" s="84">
        <v>15300</v>
      </c>
      <c r="C1222" s="84">
        <v>15800</v>
      </c>
      <c r="D1222" s="84">
        <f t="shared" si="53"/>
        <v>15550</v>
      </c>
    </row>
    <row r="1223" spans="1:9" ht="15" customHeight="1">
      <c r="A1223" s="93">
        <v>40808</v>
      </c>
      <c r="B1223" s="84">
        <v>15300</v>
      </c>
      <c r="C1223" s="84">
        <v>15800</v>
      </c>
      <c r="D1223" s="84">
        <f t="shared" si="53"/>
        <v>15550</v>
      </c>
    </row>
    <row r="1224" spans="1:9" ht="15" customHeight="1">
      <c r="A1224" s="93">
        <v>40809</v>
      </c>
      <c r="B1224" s="84">
        <v>15300</v>
      </c>
      <c r="C1224" s="84">
        <v>15800</v>
      </c>
      <c r="D1224" s="84">
        <f t="shared" ref="D1224:D1230" si="54">AVERAGE(B1224:C1224)</f>
        <v>15550</v>
      </c>
    </row>
    <row r="1225" spans="1:9" ht="15" customHeight="1">
      <c r="A1225" s="93">
        <v>40812</v>
      </c>
      <c r="B1225" s="84">
        <v>15300</v>
      </c>
      <c r="C1225" s="84">
        <v>15800</v>
      </c>
      <c r="D1225" s="84">
        <f t="shared" si="54"/>
        <v>15550</v>
      </c>
    </row>
    <row r="1226" spans="1:9" ht="15" customHeight="1">
      <c r="A1226" s="93">
        <v>40813</v>
      </c>
      <c r="B1226" s="84">
        <v>15300</v>
      </c>
      <c r="C1226" s="84">
        <v>15800</v>
      </c>
      <c r="D1226" s="84">
        <f t="shared" si="54"/>
        <v>15550</v>
      </c>
    </row>
    <row r="1227" spans="1:9" ht="15" customHeight="1">
      <c r="A1227" s="93">
        <v>40814</v>
      </c>
      <c r="B1227" s="84">
        <v>15300</v>
      </c>
      <c r="C1227" s="84">
        <v>15800</v>
      </c>
      <c r="D1227" s="84">
        <f t="shared" si="54"/>
        <v>15550</v>
      </c>
    </row>
    <row r="1228" spans="1:9" ht="15" customHeight="1">
      <c r="A1228" s="93">
        <v>40815</v>
      </c>
      <c r="B1228" s="84">
        <v>15300</v>
      </c>
      <c r="C1228" s="84">
        <v>15800</v>
      </c>
      <c r="D1228" s="84">
        <f t="shared" si="54"/>
        <v>15550</v>
      </c>
    </row>
    <row r="1229" spans="1:9" ht="15" customHeight="1" thickBot="1">
      <c r="A1229" s="88">
        <v>40816</v>
      </c>
      <c r="B1229" s="89">
        <v>15300</v>
      </c>
      <c r="C1229" s="89">
        <v>15800</v>
      </c>
      <c r="D1229" s="89">
        <f t="shared" si="54"/>
        <v>15550</v>
      </c>
      <c r="E1229" s="240">
        <f>AVERAGE(D1208:D1229)</f>
        <v>15331.818181818182</v>
      </c>
      <c r="F1229" s="240"/>
      <c r="G1229" s="92">
        <f>AVERAGE(D1164:D1229)</f>
        <v>14727.692307692309</v>
      </c>
      <c r="H1229" s="103"/>
      <c r="I1229" s="107"/>
    </row>
    <row r="1230" spans="1:9" ht="15" customHeight="1">
      <c r="A1230" s="93">
        <v>40819</v>
      </c>
      <c r="B1230" s="84">
        <v>15300</v>
      </c>
      <c r="C1230" s="84">
        <v>15800</v>
      </c>
      <c r="D1230" s="84">
        <f t="shared" si="54"/>
        <v>15550</v>
      </c>
    </row>
    <row r="1231" spans="1:9" ht="15" customHeight="1">
      <c r="A1231" s="93">
        <v>40820</v>
      </c>
      <c r="B1231" s="84">
        <v>15300</v>
      </c>
      <c r="C1231" s="84">
        <v>15800</v>
      </c>
      <c r="D1231" s="84">
        <f t="shared" ref="D1231:D1236" si="55">AVERAGE(B1231:C1231)</f>
        <v>15550</v>
      </c>
    </row>
    <row r="1232" spans="1:9" ht="15" customHeight="1">
      <c r="A1232" s="93">
        <v>40821</v>
      </c>
      <c r="B1232" s="84">
        <v>15300</v>
      </c>
      <c r="C1232" s="84">
        <v>15800</v>
      </c>
      <c r="D1232" s="84">
        <f t="shared" si="55"/>
        <v>15550</v>
      </c>
    </row>
    <row r="1233" spans="1:4" ht="15" customHeight="1">
      <c r="A1233" s="93">
        <v>40822</v>
      </c>
      <c r="B1233" s="84">
        <v>15300</v>
      </c>
      <c r="C1233" s="84">
        <v>15800</v>
      </c>
      <c r="D1233" s="84">
        <f t="shared" si="55"/>
        <v>15550</v>
      </c>
    </row>
    <row r="1234" spans="1:4" ht="15" customHeight="1">
      <c r="A1234" s="93">
        <v>40823</v>
      </c>
      <c r="B1234" s="84">
        <v>15000</v>
      </c>
      <c r="C1234" s="84">
        <v>15600</v>
      </c>
      <c r="D1234" s="84">
        <f t="shared" si="55"/>
        <v>15300</v>
      </c>
    </row>
    <row r="1235" spans="1:4" ht="15" customHeight="1">
      <c r="A1235" s="93">
        <v>40826</v>
      </c>
      <c r="B1235" s="84">
        <v>15000</v>
      </c>
      <c r="C1235" s="84">
        <v>15600</v>
      </c>
      <c r="D1235" s="84">
        <f t="shared" si="55"/>
        <v>15300</v>
      </c>
    </row>
    <row r="1236" spans="1:4" ht="15" customHeight="1">
      <c r="A1236" s="93">
        <v>40827</v>
      </c>
      <c r="B1236" s="84">
        <v>15000</v>
      </c>
      <c r="C1236" s="84">
        <v>15600</v>
      </c>
      <c r="D1236" s="84">
        <f t="shared" si="55"/>
        <v>15300</v>
      </c>
    </row>
    <row r="1237" spans="1:4" ht="15" customHeight="1">
      <c r="A1237" s="93">
        <v>40828</v>
      </c>
      <c r="B1237" s="84">
        <v>15000</v>
      </c>
      <c r="C1237" s="84">
        <v>15600</v>
      </c>
      <c r="D1237" s="84">
        <f t="shared" ref="D1237:D1242" si="56">AVERAGE(B1237:C1237)</f>
        <v>15300</v>
      </c>
    </row>
    <row r="1238" spans="1:4" ht="15" customHeight="1">
      <c r="A1238" s="93">
        <v>40829</v>
      </c>
      <c r="B1238" s="84">
        <v>15000</v>
      </c>
      <c r="C1238" s="84">
        <v>15600</v>
      </c>
      <c r="D1238" s="84">
        <f t="shared" si="56"/>
        <v>15300</v>
      </c>
    </row>
    <row r="1239" spans="1:4" ht="15" customHeight="1">
      <c r="A1239" s="93">
        <v>40830</v>
      </c>
      <c r="B1239" s="84">
        <v>14600</v>
      </c>
      <c r="C1239" s="84">
        <v>15200</v>
      </c>
      <c r="D1239" s="84">
        <f t="shared" si="56"/>
        <v>14900</v>
      </c>
    </row>
    <row r="1240" spans="1:4" ht="15" customHeight="1">
      <c r="A1240" s="93">
        <v>40833</v>
      </c>
      <c r="B1240" s="84">
        <v>14600</v>
      </c>
      <c r="C1240" s="84">
        <v>15200</v>
      </c>
      <c r="D1240" s="84">
        <f t="shared" si="56"/>
        <v>14900</v>
      </c>
    </row>
    <row r="1241" spans="1:4" ht="15" customHeight="1">
      <c r="A1241" s="93">
        <v>40834</v>
      </c>
      <c r="B1241" s="84">
        <v>14600</v>
      </c>
      <c r="C1241" s="84">
        <v>15200</v>
      </c>
      <c r="D1241" s="84">
        <f t="shared" si="56"/>
        <v>14900</v>
      </c>
    </row>
    <row r="1242" spans="1:4" ht="15" customHeight="1">
      <c r="A1242" s="93">
        <v>40835</v>
      </c>
      <c r="B1242" s="84">
        <v>14600</v>
      </c>
      <c r="C1242" s="84">
        <v>15200</v>
      </c>
      <c r="D1242" s="84">
        <f t="shared" si="56"/>
        <v>14900</v>
      </c>
    </row>
    <row r="1243" spans="1:4" ht="15" customHeight="1">
      <c r="A1243" s="93">
        <v>40836</v>
      </c>
      <c r="B1243" s="84">
        <v>14600</v>
      </c>
      <c r="C1243" s="84">
        <v>15200</v>
      </c>
      <c r="D1243" s="84">
        <f t="shared" ref="D1243:D1248" si="57">AVERAGE(B1243:C1243)</f>
        <v>14900</v>
      </c>
    </row>
    <row r="1244" spans="1:4" ht="15" customHeight="1">
      <c r="A1244" s="93">
        <v>40837</v>
      </c>
      <c r="B1244" s="84">
        <v>14600</v>
      </c>
      <c r="C1244" s="84">
        <v>15200</v>
      </c>
      <c r="D1244" s="84">
        <f t="shared" si="57"/>
        <v>14900</v>
      </c>
    </row>
    <row r="1245" spans="1:4" ht="15" customHeight="1">
      <c r="A1245" s="93">
        <v>40840</v>
      </c>
      <c r="B1245" s="84">
        <v>14600</v>
      </c>
      <c r="C1245" s="84">
        <v>15200</v>
      </c>
      <c r="D1245" s="84">
        <f t="shared" si="57"/>
        <v>14900</v>
      </c>
    </row>
    <row r="1246" spans="1:4" ht="15" customHeight="1">
      <c r="A1246" s="93">
        <v>40841</v>
      </c>
      <c r="B1246" s="84">
        <v>14600</v>
      </c>
      <c r="C1246" s="84">
        <v>15200</v>
      </c>
      <c r="D1246" s="84">
        <f t="shared" si="57"/>
        <v>14900</v>
      </c>
    </row>
    <row r="1247" spans="1:4" ht="15" customHeight="1">
      <c r="A1247" s="93">
        <v>40842</v>
      </c>
      <c r="B1247" s="84">
        <v>14600</v>
      </c>
      <c r="C1247" s="84">
        <v>15200</v>
      </c>
      <c r="D1247" s="84">
        <f t="shared" si="57"/>
        <v>14900</v>
      </c>
    </row>
    <row r="1248" spans="1:4" ht="15" customHeight="1">
      <c r="A1248" s="93">
        <v>40843</v>
      </c>
      <c r="B1248" s="84">
        <v>14600</v>
      </c>
      <c r="C1248" s="84">
        <v>15200</v>
      </c>
      <c r="D1248" s="84">
        <f t="shared" si="57"/>
        <v>14900</v>
      </c>
    </row>
    <row r="1249" spans="1:9" ht="15" customHeight="1">
      <c r="A1249" s="93">
        <v>40844</v>
      </c>
      <c r="B1249" s="84">
        <v>14600</v>
      </c>
      <c r="C1249" s="84">
        <v>15200</v>
      </c>
      <c r="D1249" s="84">
        <f t="shared" ref="D1249:D1255" si="58">AVERAGE(B1249:C1249)</f>
        <v>14900</v>
      </c>
    </row>
    <row r="1250" spans="1:9" ht="15" customHeight="1" thickBot="1">
      <c r="A1250" s="88">
        <v>40847</v>
      </c>
      <c r="B1250" s="89">
        <v>14600</v>
      </c>
      <c r="C1250" s="89">
        <v>15200</v>
      </c>
      <c r="D1250" s="89">
        <f t="shared" si="58"/>
        <v>14900</v>
      </c>
      <c r="E1250" s="240">
        <f>AVERAGE(D1230:D1250)</f>
        <v>15119.047619047618</v>
      </c>
      <c r="F1250" s="240"/>
      <c r="G1250" s="92"/>
      <c r="H1250" s="103"/>
      <c r="I1250" s="107"/>
    </row>
    <row r="1251" spans="1:9" ht="15" customHeight="1">
      <c r="A1251" s="93">
        <v>40848</v>
      </c>
      <c r="B1251" s="84">
        <v>14600</v>
      </c>
      <c r="C1251" s="84">
        <v>15200</v>
      </c>
      <c r="D1251" s="84">
        <f t="shared" si="58"/>
        <v>14900</v>
      </c>
    </row>
    <row r="1252" spans="1:9" ht="15" customHeight="1">
      <c r="A1252" s="93">
        <v>40849</v>
      </c>
      <c r="B1252" s="84">
        <v>14600</v>
      </c>
      <c r="C1252" s="84">
        <v>15200</v>
      </c>
      <c r="D1252" s="84">
        <f t="shared" si="58"/>
        <v>14900</v>
      </c>
    </row>
    <row r="1253" spans="1:9" ht="15" customHeight="1">
      <c r="A1253" s="93">
        <v>40850</v>
      </c>
      <c r="B1253" s="84">
        <v>14600</v>
      </c>
      <c r="C1253" s="84">
        <v>15200</v>
      </c>
      <c r="D1253" s="84">
        <f t="shared" si="58"/>
        <v>14900</v>
      </c>
    </row>
    <row r="1254" spans="1:9" ht="15" customHeight="1">
      <c r="A1254" s="93">
        <v>40851</v>
      </c>
      <c r="B1254" s="84">
        <v>14600</v>
      </c>
      <c r="C1254" s="84">
        <v>15200</v>
      </c>
      <c r="D1254" s="84">
        <f t="shared" si="58"/>
        <v>14900</v>
      </c>
    </row>
    <row r="1255" spans="1:9" ht="15" customHeight="1">
      <c r="A1255" s="93">
        <v>40854</v>
      </c>
      <c r="B1255" s="84">
        <v>13500</v>
      </c>
      <c r="C1255" s="84">
        <v>14100</v>
      </c>
      <c r="D1255" s="84">
        <f t="shared" si="58"/>
        <v>13800</v>
      </c>
    </row>
    <row r="1256" spans="1:9" ht="15" customHeight="1">
      <c r="A1256" s="93">
        <v>40855</v>
      </c>
      <c r="B1256" s="84">
        <v>13500</v>
      </c>
      <c r="C1256" s="84">
        <v>14100</v>
      </c>
      <c r="D1256" s="84">
        <f t="shared" ref="D1256:D1261" si="59">AVERAGE(B1256:C1256)</f>
        <v>13800</v>
      </c>
    </row>
    <row r="1257" spans="1:9" ht="15" customHeight="1">
      <c r="A1257" s="93">
        <v>40856</v>
      </c>
      <c r="B1257" s="84">
        <v>13500</v>
      </c>
      <c r="C1257" s="84">
        <v>14100</v>
      </c>
      <c r="D1257" s="84">
        <f t="shared" si="59"/>
        <v>13800</v>
      </c>
    </row>
    <row r="1258" spans="1:9" ht="15" customHeight="1">
      <c r="A1258" s="93">
        <v>40857</v>
      </c>
      <c r="B1258" s="84">
        <v>13500</v>
      </c>
      <c r="C1258" s="84">
        <v>14100</v>
      </c>
      <c r="D1258" s="84">
        <f t="shared" si="59"/>
        <v>13800</v>
      </c>
    </row>
    <row r="1259" spans="1:9" ht="15" customHeight="1">
      <c r="A1259" s="93">
        <v>40858</v>
      </c>
      <c r="B1259" s="84">
        <v>13500</v>
      </c>
      <c r="C1259" s="84">
        <v>14100</v>
      </c>
      <c r="D1259" s="84">
        <f t="shared" si="59"/>
        <v>13800</v>
      </c>
    </row>
    <row r="1260" spans="1:9" ht="15" customHeight="1">
      <c r="A1260" s="93">
        <v>40861</v>
      </c>
      <c r="B1260" s="84">
        <v>13500</v>
      </c>
      <c r="C1260" s="84">
        <v>14100</v>
      </c>
      <c r="D1260" s="84">
        <f t="shared" si="59"/>
        <v>13800</v>
      </c>
    </row>
    <row r="1261" spans="1:9" ht="15" customHeight="1">
      <c r="A1261" s="93">
        <v>40862</v>
      </c>
      <c r="B1261" s="84">
        <v>13500</v>
      </c>
      <c r="C1261" s="84">
        <v>14100</v>
      </c>
      <c r="D1261" s="84">
        <f t="shared" si="59"/>
        <v>13800</v>
      </c>
    </row>
    <row r="1262" spans="1:9" ht="15" customHeight="1">
      <c r="A1262" s="93">
        <v>40863</v>
      </c>
      <c r="B1262" s="84">
        <v>13500</v>
      </c>
      <c r="C1262" s="84">
        <v>14100</v>
      </c>
      <c r="D1262" s="84">
        <f t="shared" ref="D1262:D1267" si="60">AVERAGE(B1262:C1262)</f>
        <v>13800</v>
      </c>
    </row>
    <row r="1263" spans="1:9" ht="15" customHeight="1">
      <c r="A1263" s="93">
        <v>40864</v>
      </c>
      <c r="B1263" s="84">
        <v>13500</v>
      </c>
      <c r="C1263" s="84">
        <v>14100</v>
      </c>
      <c r="D1263" s="84">
        <f t="shared" si="60"/>
        <v>13800</v>
      </c>
    </row>
    <row r="1264" spans="1:9" ht="15" customHeight="1">
      <c r="A1264" s="93">
        <v>40865</v>
      </c>
      <c r="B1264" s="84">
        <v>13500</v>
      </c>
      <c r="C1264" s="84">
        <v>14100</v>
      </c>
      <c r="D1264" s="84">
        <f t="shared" si="60"/>
        <v>13800</v>
      </c>
    </row>
    <row r="1265" spans="1:9" ht="15" customHeight="1">
      <c r="A1265" s="93">
        <v>40868</v>
      </c>
      <c r="B1265" s="84">
        <v>13500</v>
      </c>
      <c r="C1265" s="84">
        <v>14100</v>
      </c>
      <c r="D1265" s="84">
        <f t="shared" si="60"/>
        <v>13800</v>
      </c>
    </row>
    <row r="1266" spans="1:9" ht="15" customHeight="1">
      <c r="A1266" s="93">
        <v>40869</v>
      </c>
      <c r="B1266" s="84">
        <v>13500</v>
      </c>
      <c r="C1266" s="84">
        <v>14100</v>
      </c>
      <c r="D1266" s="84">
        <f t="shared" si="60"/>
        <v>13800</v>
      </c>
    </row>
    <row r="1267" spans="1:9" ht="15" customHeight="1">
      <c r="A1267" s="93">
        <v>40870</v>
      </c>
      <c r="B1267" s="84">
        <v>13500</v>
      </c>
      <c r="C1267" s="84">
        <v>14100</v>
      </c>
      <c r="D1267" s="84">
        <f t="shared" si="60"/>
        <v>13800</v>
      </c>
    </row>
    <row r="1268" spans="1:9" ht="15" customHeight="1">
      <c r="A1268" s="93">
        <v>40871</v>
      </c>
      <c r="B1268" s="84">
        <v>13500</v>
      </c>
      <c r="C1268" s="84">
        <v>14100</v>
      </c>
      <c r="D1268" s="84">
        <f t="shared" ref="D1268:D1273" si="61">AVERAGE(B1268:C1268)</f>
        <v>13800</v>
      </c>
    </row>
    <row r="1269" spans="1:9" ht="15" customHeight="1">
      <c r="A1269" s="93">
        <v>40872</v>
      </c>
      <c r="B1269" s="84">
        <v>13500</v>
      </c>
      <c r="C1269" s="84">
        <v>14100</v>
      </c>
      <c r="D1269" s="84">
        <f t="shared" si="61"/>
        <v>13800</v>
      </c>
    </row>
    <row r="1270" spans="1:9" ht="15" customHeight="1">
      <c r="A1270" s="93">
        <v>40875</v>
      </c>
      <c r="B1270" s="84">
        <v>13500</v>
      </c>
      <c r="C1270" s="84">
        <v>14100</v>
      </c>
      <c r="D1270" s="84">
        <f t="shared" si="61"/>
        <v>13800</v>
      </c>
    </row>
    <row r="1271" spans="1:9" ht="15" customHeight="1">
      <c r="A1271" s="93">
        <v>40876</v>
      </c>
      <c r="B1271" s="84">
        <v>13500</v>
      </c>
      <c r="C1271" s="84">
        <v>14100</v>
      </c>
      <c r="D1271" s="84">
        <f t="shared" si="61"/>
        <v>13800</v>
      </c>
    </row>
    <row r="1272" spans="1:9" ht="15" customHeight="1" thickBot="1">
      <c r="A1272" s="88">
        <v>40877</v>
      </c>
      <c r="B1272" s="89">
        <v>13500</v>
      </c>
      <c r="C1272" s="89">
        <v>14100</v>
      </c>
      <c r="D1272" s="89">
        <f t="shared" si="61"/>
        <v>13800</v>
      </c>
      <c r="E1272" s="240">
        <f>AVERAGE(D1251:D1272)</f>
        <v>14000</v>
      </c>
      <c r="F1272" s="240"/>
      <c r="G1272" s="92"/>
      <c r="H1272" s="103"/>
      <c r="I1272" s="107"/>
    </row>
    <row r="1273" spans="1:9" ht="15" customHeight="1">
      <c r="A1273" s="157">
        <v>40878</v>
      </c>
      <c r="B1273" s="158">
        <v>13500</v>
      </c>
      <c r="C1273" s="158">
        <v>14100</v>
      </c>
      <c r="D1273" s="158">
        <f t="shared" si="61"/>
        <v>13800</v>
      </c>
    </row>
    <row r="1274" spans="1:9" ht="15" customHeight="1">
      <c r="A1274" s="93">
        <v>40879</v>
      </c>
      <c r="B1274" s="94">
        <v>13500</v>
      </c>
      <c r="C1274" s="94">
        <v>14100</v>
      </c>
      <c r="D1274" s="94">
        <f t="shared" ref="D1274:D1279" si="62">AVERAGE(B1274:C1274)</f>
        <v>13800</v>
      </c>
    </row>
    <row r="1275" spans="1:9" ht="15" customHeight="1">
      <c r="A1275" s="93">
        <v>40882</v>
      </c>
      <c r="B1275" s="94">
        <v>13500</v>
      </c>
      <c r="C1275" s="94">
        <v>14100</v>
      </c>
      <c r="D1275" s="94">
        <f t="shared" si="62"/>
        <v>13800</v>
      </c>
    </row>
    <row r="1276" spans="1:9" ht="15" customHeight="1">
      <c r="A1276" s="93">
        <v>40883</v>
      </c>
      <c r="B1276" s="94">
        <v>13500</v>
      </c>
      <c r="C1276" s="94">
        <v>14100</v>
      </c>
      <c r="D1276" s="94">
        <f t="shared" si="62"/>
        <v>13800</v>
      </c>
    </row>
    <row r="1277" spans="1:9" ht="15" customHeight="1">
      <c r="A1277" s="93">
        <v>40884</v>
      </c>
      <c r="B1277" s="94">
        <v>13500</v>
      </c>
      <c r="C1277" s="94">
        <v>14100</v>
      </c>
      <c r="D1277" s="94">
        <f t="shared" si="62"/>
        <v>13800</v>
      </c>
    </row>
    <row r="1278" spans="1:9" ht="15" customHeight="1">
      <c r="A1278" s="93">
        <v>40885</v>
      </c>
      <c r="B1278" s="94">
        <v>13500</v>
      </c>
      <c r="C1278" s="94">
        <v>14100</v>
      </c>
      <c r="D1278" s="94">
        <f t="shared" si="62"/>
        <v>13800</v>
      </c>
    </row>
    <row r="1279" spans="1:9" ht="15" customHeight="1">
      <c r="A1279" s="93">
        <v>40886</v>
      </c>
      <c r="B1279" s="94">
        <v>12800</v>
      </c>
      <c r="C1279" s="94">
        <v>13200</v>
      </c>
      <c r="D1279" s="94">
        <f t="shared" si="62"/>
        <v>13000</v>
      </c>
    </row>
    <row r="1280" spans="1:9" ht="15" customHeight="1">
      <c r="A1280" s="93">
        <v>40889</v>
      </c>
      <c r="B1280" s="94">
        <v>12800</v>
      </c>
      <c r="C1280" s="94">
        <v>13200</v>
      </c>
      <c r="D1280" s="94">
        <f t="shared" ref="D1280:D1285" si="63">AVERAGE(B1280:C1280)</f>
        <v>13000</v>
      </c>
    </row>
    <row r="1281" spans="1:9" ht="15" customHeight="1">
      <c r="A1281" s="93">
        <v>40890</v>
      </c>
      <c r="B1281" s="94">
        <v>12800</v>
      </c>
      <c r="C1281" s="94">
        <v>13200</v>
      </c>
      <c r="D1281" s="94">
        <f t="shared" si="63"/>
        <v>13000</v>
      </c>
    </row>
    <row r="1282" spans="1:9" ht="15" customHeight="1">
      <c r="A1282" s="93">
        <v>40891</v>
      </c>
      <c r="B1282" s="94">
        <v>12800</v>
      </c>
      <c r="C1282" s="94">
        <v>13200</v>
      </c>
      <c r="D1282" s="94">
        <f t="shared" si="63"/>
        <v>13000</v>
      </c>
    </row>
    <row r="1283" spans="1:9" ht="15" customHeight="1">
      <c r="A1283" s="93">
        <v>40892</v>
      </c>
      <c r="B1283" s="94">
        <v>12800</v>
      </c>
      <c r="C1283" s="94">
        <v>13200</v>
      </c>
      <c r="D1283" s="94">
        <f t="shared" si="63"/>
        <v>13000</v>
      </c>
    </row>
    <row r="1284" spans="1:9" ht="15" customHeight="1">
      <c r="A1284" s="93">
        <v>40893</v>
      </c>
      <c r="B1284" s="94">
        <v>12800</v>
      </c>
      <c r="C1284" s="94">
        <v>13200</v>
      </c>
      <c r="D1284" s="94">
        <f t="shared" si="63"/>
        <v>13000</v>
      </c>
    </row>
    <row r="1285" spans="1:9" ht="15" customHeight="1">
      <c r="A1285" s="93">
        <v>40896</v>
      </c>
      <c r="B1285" s="94">
        <v>12800</v>
      </c>
      <c r="C1285" s="94">
        <v>13200</v>
      </c>
      <c r="D1285" s="94">
        <f t="shared" si="63"/>
        <v>13000</v>
      </c>
    </row>
    <row r="1286" spans="1:9" ht="15" customHeight="1">
      <c r="A1286" s="93">
        <v>40897</v>
      </c>
      <c r="B1286" s="94">
        <v>12800</v>
      </c>
      <c r="C1286" s="94">
        <v>13200</v>
      </c>
      <c r="D1286" s="94">
        <f>AVERAGE(B1286:C1286)</f>
        <v>13000</v>
      </c>
    </row>
    <row r="1287" spans="1:9" ht="15" customHeight="1">
      <c r="A1287" s="93">
        <v>40898</v>
      </c>
      <c r="B1287" s="94">
        <v>12800</v>
      </c>
      <c r="C1287" s="94">
        <v>13200</v>
      </c>
      <c r="D1287" s="94">
        <f>AVERAGE(B1287:C1287)</f>
        <v>13000</v>
      </c>
    </row>
    <row r="1288" spans="1:9" ht="15" customHeight="1">
      <c r="A1288" s="93">
        <v>40899</v>
      </c>
      <c r="B1288" s="94">
        <v>12800</v>
      </c>
      <c r="C1288" s="94">
        <v>13200</v>
      </c>
      <c r="D1288" s="94">
        <f>AVERAGE(B1288:C1288)</f>
        <v>13000</v>
      </c>
    </row>
    <row r="1289" spans="1:9" ht="15" customHeight="1">
      <c r="A1289" s="93">
        <v>40900</v>
      </c>
      <c r="B1289" s="94">
        <v>12800</v>
      </c>
      <c r="C1289" s="94">
        <v>13200</v>
      </c>
      <c r="D1289" s="94">
        <f>AVERAGE(B1289:C1289)</f>
        <v>13000</v>
      </c>
    </row>
    <row r="1290" spans="1:9" ht="15" customHeight="1">
      <c r="A1290" s="93">
        <v>40903</v>
      </c>
      <c r="B1290" s="1053" t="s">
        <v>68</v>
      </c>
      <c r="C1290" s="1053"/>
      <c r="D1290" s="1053"/>
      <c r="E1290" s="1053"/>
      <c r="F1290" s="1053"/>
      <c r="G1290" s="1053"/>
      <c r="H1290" s="1053"/>
      <c r="I1290" s="1053"/>
    </row>
    <row r="1291" spans="1:9" ht="15" customHeight="1">
      <c r="A1291" s="93">
        <v>40904</v>
      </c>
      <c r="B1291" s="1053"/>
      <c r="C1291" s="1053"/>
      <c r="D1291" s="1053"/>
      <c r="E1291" s="1053"/>
      <c r="F1291" s="1053"/>
      <c r="G1291" s="1053"/>
      <c r="H1291" s="1053"/>
      <c r="I1291" s="1053"/>
    </row>
    <row r="1292" spans="1:9" ht="15" customHeight="1">
      <c r="A1292" s="93">
        <v>40905</v>
      </c>
      <c r="B1292" s="94">
        <v>12800</v>
      </c>
      <c r="C1292" s="94">
        <v>13200</v>
      </c>
      <c r="D1292" s="94">
        <f>AVERAGE(B1292:C1292)</f>
        <v>13000</v>
      </c>
    </row>
    <row r="1293" spans="1:9" ht="15" customHeight="1">
      <c r="A1293" s="93">
        <v>40906</v>
      </c>
      <c r="B1293" s="94">
        <v>12800</v>
      </c>
      <c r="C1293" s="94">
        <v>13200</v>
      </c>
      <c r="D1293" s="94">
        <f>AVERAGE(B1293:C1293)</f>
        <v>13000</v>
      </c>
      <c r="E1293" s="96"/>
      <c r="F1293" s="96"/>
      <c r="G1293" s="179"/>
      <c r="H1293" s="180"/>
      <c r="I1293" s="181"/>
    </row>
    <row r="1294" spans="1:9" ht="15" customHeight="1" thickBot="1">
      <c r="A1294" s="88">
        <v>40907</v>
      </c>
      <c r="B1294" s="89">
        <v>12800</v>
      </c>
      <c r="C1294" s="89">
        <v>13200</v>
      </c>
      <c r="D1294" s="89">
        <f>AVERAGE(B1294:C1294)</f>
        <v>13000</v>
      </c>
      <c r="E1294" s="240">
        <f>AVERAGE(D1273:D1294)</f>
        <v>13240</v>
      </c>
      <c r="F1294" s="240"/>
      <c r="G1294" s="92">
        <f>AVERAGE(D1230:D1294)</f>
        <v>14131.746031746032</v>
      </c>
      <c r="H1294" s="103"/>
      <c r="I1294" s="107"/>
    </row>
    <row r="1295" spans="1:9" ht="15" customHeight="1">
      <c r="A1295" s="93">
        <v>40910</v>
      </c>
      <c r="B1295" s="1053" t="s">
        <v>68</v>
      </c>
      <c r="C1295" s="1053"/>
      <c r="D1295" s="1053"/>
      <c r="E1295" s="1053"/>
      <c r="F1295" s="1053"/>
      <c r="G1295" s="1053"/>
      <c r="H1295" s="1053"/>
      <c r="I1295" s="1053"/>
    </row>
    <row r="1296" spans="1:9" ht="15" customHeight="1">
      <c r="A1296" s="93">
        <v>40911</v>
      </c>
      <c r="B1296" s="94">
        <v>12800</v>
      </c>
      <c r="C1296" s="94">
        <v>13200</v>
      </c>
      <c r="D1296" s="94">
        <f t="shared" ref="D1296:D1301" si="64">AVERAGE(B1296:C1296)</f>
        <v>13000</v>
      </c>
    </row>
    <row r="1297" spans="1:4" ht="15" customHeight="1">
      <c r="A1297" s="93">
        <v>40912</v>
      </c>
      <c r="B1297" s="94">
        <v>12800</v>
      </c>
      <c r="C1297" s="94">
        <v>13200</v>
      </c>
      <c r="D1297" s="94">
        <f t="shared" si="64"/>
        <v>13000</v>
      </c>
    </row>
    <row r="1298" spans="1:4" ht="15" customHeight="1">
      <c r="A1298" s="93">
        <v>40913</v>
      </c>
      <c r="B1298" s="94">
        <v>12800</v>
      </c>
      <c r="C1298" s="94">
        <v>13200</v>
      </c>
      <c r="D1298" s="94">
        <f t="shared" si="64"/>
        <v>13000</v>
      </c>
    </row>
    <row r="1299" spans="1:4" ht="15" customHeight="1">
      <c r="A1299" s="93">
        <v>40914</v>
      </c>
      <c r="B1299" s="94">
        <v>11800</v>
      </c>
      <c r="C1299" s="94">
        <v>12300</v>
      </c>
      <c r="D1299" s="94">
        <f t="shared" si="64"/>
        <v>12050</v>
      </c>
    </row>
    <row r="1300" spans="1:4" ht="15" customHeight="1">
      <c r="A1300" s="93">
        <v>40917</v>
      </c>
      <c r="B1300" s="94">
        <v>11800</v>
      </c>
      <c r="C1300" s="94">
        <v>12300</v>
      </c>
      <c r="D1300" s="94">
        <f t="shared" si="64"/>
        <v>12050</v>
      </c>
    </row>
    <row r="1301" spans="1:4" ht="15" customHeight="1">
      <c r="A1301" s="93">
        <v>40918</v>
      </c>
      <c r="B1301" s="94">
        <v>11800</v>
      </c>
      <c r="C1301" s="94">
        <v>12300</v>
      </c>
      <c r="D1301" s="94">
        <f t="shared" si="64"/>
        <v>12050</v>
      </c>
    </row>
    <row r="1302" spans="1:4" ht="15" customHeight="1">
      <c r="A1302" s="93">
        <v>40919</v>
      </c>
      <c r="B1302" s="94">
        <v>11800</v>
      </c>
      <c r="C1302" s="94">
        <v>12300</v>
      </c>
      <c r="D1302" s="94">
        <f t="shared" ref="D1302:D1307" si="65">AVERAGE(B1302:C1302)</f>
        <v>12050</v>
      </c>
    </row>
    <row r="1303" spans="1:4" ht="15" customHeight="1">
      <c r="A1303" s="93">
        <v>40920</v>
      </c>
      <c r="B1303" s="94">
        <v>11800</v>
      </c>
      <c r="C1303" s="94">
        <v>12300</v>
      </c>
      <c r="D1303" s="94">
        <f t="shared" si="65"/>
        <v>12050</v>
      </c>
    </row>
    <row r="1304" spans="1:4" ht="15" customHeight="1">
      <c r="A1304" s="93">
        <v>40921</v>
      </c>
      <c r="B1304" s="94">
        <v>11800</v>
      </c>
      <c r="C1304" s="94">
        <v>12300</v>
      </c>
      <c r="D1304" s="94">
        <f t="shared" si="65"/>
        <v>12050</v>
      </c>
    </row>
    <row r="1305" spans="1:4" ht="15" customHeight="1">
      <c r="A1305" s="93">
        <v>40924</v>
      </c>
      <c r="B1305" s="94">
        <v>11800</v>
      </c>
      <c r="C1305" s="94">
        <v>12300</v>
      </c>
      <c r="D1305" s="94">
        <f t="shared" si="65"/>
        <v>12050</v>
      </c>
    </row>
    <row r="1306" spans="1:4" ht="15" customHeight="1">
      <c r="A1306" s="93">
        <v>40925</v>
      </c>
      <c r="B1306" s="94">
        <v>11800</v>
      </c>
      <c r="C1306" s="94">
        <v>12300</v>
      </c>
      <c r="D1306" s="94">
        <f t="shared" si="65"/>
        <v>12050</v>
      </c>
    </row>
    <row r="1307" spans="1:4" ht="15" customHeight="1">
      <c r="A1307" s="93">
        <v>40926</v>
      </c>
      <c r="B1307" s="94">
        <v>11800</v>
      </c>
      <c r="C1307" s="94">
        <v>12300</v>
      </c>
      <c r="D1307" s="94">
        <f t="shared" si="65"/>
        <v>12050</v>
      </c>
    </row>
    <row r="1308" spans="1:4" ht="15" customHeight="1">
      <c r="A1308" s="93">
        <v>40927</v>
      </c>
      <c r="B1308" s="94">
        <v>11800</v>
      </c>
      <c r="C1308" s="94">
        <v>12300</v>
      </c>
      <c r="D1308" s="94">
        <f t="shared" ref="D1308:D1317" si="66">AVERAGE(B1308:C1308)</f>
        <v>12050</v>
      </c>
    </row>
    <row r="1309" spans="1:4" ht="15" customHeight="1">
      <c r="A1309" s="93">
        <v>40928</v>
      </c>
      <c r="B1309" s="94">
        <v>11800</v>
      </c>
      <c r="C1309" s="94">
        <v>12300</v>
      </c>
      <c r="D1309" s="94">
        <f t="shared" si="66"/>
        <v>12050</v>
      </c>
    </row>
    <row r="1310" spans="1:4" ht="15" customHeight="1">
      <c r="A1310" s="93">
        <v>40931</v>
      </c>
      <c r="B1310" s="94">
        <v>11800</v>
      </c>
      <c r="C1310" s="94">
        <v>12300</v>
      </c>
      <c r="D1310" s="94">
        <f t="shared" si="66"/>
        <v>12050</v>
      </c>
    </row>
    <row r="1311" spans="1:4" ht="15" customHeight="1">
      <c r="A1311" s="93">
        <v>40932</v>
      </c>
      <c r="B1311" s="94">
        <v>11800</v>
      </c>
      <c r="C1311" s="94">
        <v>12300</v>
      </c>
      <c r="D1311" s="94">
        <f t="shared" si="66"/>
        <v>12050</v>
      </c>
    </row>
    <row r="1312" spans="1:4" ht="15" customHeight="1">
      <c r="A1312" s="93">
        <v>40933</v>
      </c>
      <c r="B1312" s="94">
        <v>11800</v>
      </c>
      <c r="C1312" s="94">
        <v>12300</v>
      </c>
      <c r="D1312" s="94">
        <f t="shared" si="66"/>
        <v>12050</v>
      </c>
    </row>
    <row r="1313" spans="1:9" ht="15" customHeight="1">
      <c r="A1313" s="93">
        <v>40934</v>
      </c>
      <c r="B1313" s="94">
        <v>11800</v>
      </c>
      <c r="C1313" s="94">
        <v>12300</v>
      </c>
      <c r="D1313" s="94">
        <f t="shared" si="66"/>
        <v>12050</v>
      </c>
    </row>
    <row r="1314" spans="1:9" ht="15" customHeight="1">
      <c r="A1314" s="93">
        <v>40935</v>
      </c>
      <c r="B1314" s="94">
        <v>11800</v>
      </c>
      <c r="C1314" s="94">
        <v>12300</v>
      </c>
      <c r="D1314" s="94">
        <f t="shared" si="66"/>
        <v>12050</v>
      </c>
    </row>
    <row r="1315" spans="1:9" ht="15" customHeight="1">
      <c r="A1315" s="93">
        <v>40938</v>
      </c>
      <c r="B1315" s="94">
        <v>11800</v>
      </c>
      <c r="C1315" s="94">
        <v>12300</v>
      </c>
      <c r="D1315" s="94">
        <f t="shared" si="66"/>
        <v>12050</v>
      </c>
    </row>
    <row r="1316" spans="1:9" ht="15" customHeight="1" thickBot="1">
      <c r="A1316" s="88">
        <v>40939</v>
      </c>
      <c r="B1316" s="89">
        <v>11800</v>
      </c>
      <c r="C1316" s="89">
        <v>12300</v>
      </c>
      <c r="D1316" s="89">
        <f t="shared" si="66"/>
        <v>12050</v>
      </c>
      <c r="E1316" s="240">
        <f>AVERAGE(D1296:D1316)</f>
        <v>12185.714285714286</v>
      </c>
      <c r="F1316" s="240"/>
      <c r="G1316" s="92"/>
      <c r="H1316" s="103"/>
      <c r="I1316" s="107"/>
    </row>
    <row r="1317" spans="1:9" ht="15" customHeight="1">
      <c r="A1317" s="157">
        <v>40940</v>
      </c>
      <c r="B1317" s="158">
        <v>11800</v>
      </c>
      <c r="C1317" s="158">
        <v>12300</v>
      </c>
      <c r="D1317" s="158">
        <f t="shared" si="66"/>
        <v>12050</v>
      </c>
      <c r="E1317" s="163"/>
      <c r="F1317" s="163"/>
      <c r="G1317" s="227"/>
      <c r="H1317" s="228"/>
      <c r="I1317" s="229"/>
    </row>
    <row r="1318" spans="1:9" ht="15" customHeight="1">
      <c r="A1318" s="93">
        <v>40941</v>
      </c>
      <c r="B1318" s="94">
        <v>12000</v>
      </c>
      <c r="C1318" s="94">
        <v>12500</v>
      </c>
      <c r="D1318" s="94">
        <f t="shared" ref="D1318:D1323" si="67">AVERAGE(B1318:C1318)</f>
        <v>12250</v>
      </c>
    </row>
    <row r="1319" spans="1:9" ht="15" customHeight="1">
      <c r="A1319" s="93">
        <v>40942</v>
      </c>
      <c r="B1319" s="94">
        <v>12000</v>
      </c>
      <c r="C1319" s="94">
        <v>12500</v>
      </c>
      <c r="D1319" s="94">
        <f t="shared" si="67"/>
        <v>12250</v>
      </c>
    </row>
    <row r="1320" spans="1:9" ht="15" customHeight="1">
      <c r="A1320" s="93">
        <v>40945</v>
      </c>
      <c r="B1320" s="94">
        <v>12000</v>
      </c>
      <c r="C1320" s="94">
        <v>12500</v>
      </c>
      <c r="D1320" s="94">
        <f t="shared" si="67"/>
        <v>12250</v>
      </c>
    </row>
    <row r="1321" spans="1:9" ht="15" customHeight="1">
      <c r="A1321" s="93">
        <v>40946</v>
      </c>
      <c r="B1321" s="94">
        <v>12000</v>
      </c>
      <c r="C1321" s="94">
        <v>12500</v>
      </c>
      <c r="D1321" s="94">
        <f t="shared" si="67"/>
        <v>12250</v>
      </c>
    </row>
    <row r="1322" spans="1:9" ht="15" customHeight="1">
      <c r="A1322" s="93">
        <v>40947</v>
      </c>
      <c r="B1322" s="94">
        <v>12000</v>
      </c>
      <c r="C1322" s="94">
        <v>12500</v>
      </c>
      <c r="D1322" s="94">
        <f t="shared" si="67"/>
        <v>12250</v>
      </c>
    </row>
    <row r="1323" spans="1:9" ht="15" customHeight="1">
      <c r="A1323" s="93">
        <v>40948</v>
      </c>
      <c r="B1323" s="94">
        <v>12000</v>
      </c>
      <c r="C1323" s="94">
        <v>12500</v>
      </c>
      <c r="D1323" s="94">
        <f t="shared" si="67"/>
        <v>12250</v>
      </c>
    </row>
    <row r="1324" spans="1:9" ht="15" customHeight="1">
      <c r="A1324" s="93">
        <v>40949</v>
      </c>
      <c r="B1324" s="94">
        <v>12000</v>
      </c>
      <c r="C1324" s="94">
        <v>12500</v>
      </c>
      <c r="D1324" s="94">
        <f t="shared" ref="D1324:D1329" si="68">AVERAGE(B1324:C1324)</f>
        <v>12250</v>
      </c>
    </row>
    <row r="1325" spans="1:9" ht="15" customHeight="1">
      <c r="A1325" s="93">
        <v>40952</v>
      </c>
      <c r="B1325" s="94">
        <v>12000</v>
      </c>
      <c r="C1325" s="94">
        <v>12500</v>
      </c>
      <c r="D1325" s="94">
        <f t="shared" si="68"/>
        <v>12250</v>
      </c>
    </row>
    <row r="1326" spans="1:9" ht="15" customHeight="1">
      <c r="A1326" s="93">
        <v>40953</v>
      </c>
      <c r="B1326" s="94">
        <v>12000</v>
      </c>
      <c r="C1326" s="94">
        <v>12500</v>
      </c>
      <c r="D1326" s="94">
        <f t="shared" si="68"/>
        <v>12250</v>
      </c>
    </row>
    <row r="1327" spans="1:9" ht="15" customHeight="1">
      <c r="A1327" s="93">
        <v>40954</v>
      </c>
      <c r="B1327" s="94">
        <v>12000</v>
      </c>
      <c r="C1327" s="94">
        <v>12500</v>
      </c>
      <c r="D1327" s="94">
        <f t="shared" si="68"/>
        <v>12250</v>
      </c>
    </row>
    <row r="1328" spans="1:9" ht="15" customHeight="1">
      <c r="A1328" s="93">
        <v>40955</v>
      </c>
      <c r="B1328" s="94">
        <v>12000</v>
      </c>
      <c r="C1328" s="94">
        <v>12500</v>
      </c>
      <c r="D1328" s="94">
        <f t="shared" si="68"/>
        <v>12250</v>
      </c>
    </row>
    <row r="1329" spans="1:9" ht="15" customHeight="1">
      <c r="A1329" s="93">
        <v>40956</v>
      </c>
      <c r="B1329" s="94">
        <v>12000</v>
      </c>
      <c r="C1329" s="94">
        <v>12500</v>
      </c>
      <c r="D1329" s="94">
        <f t="shared" si="68"/>
        <v>12250</v>
      </c>
    </row>
    <row r="1330" spans="1:9" ht="15" customHeight="1">
      <c r="A1330" s="93">
        <v>40959</v>
      </c>
      <c r="B1330" s="94">
        <v>12000</v>
      </c>
      <c r="C1330" s="94">
        <v>12500</v>
      </c>
      <c r="D1330" s="94">
        <f t="shared" ref="D1330:D1335" si="69">AVERAGE(B1330:C1330)</f>
        <v>12250</v>
      </c>
    </row>
    <row r="1331" spans="1:9" ht="15" customHeight="1">
      <c r="A1331" s="93">
        <v>40960</v>
      </c>
      <c r="B1331" s="94">
        <v>12000</v>
      </c>
      <c r="C1331" s="94">
        <v>12500</v>
      </c>
      <c r="D1331" s="94">
        <f t="shared" si="69"/>
        <v>12250</v>
      </c>
    </row>
    <row r="1332" spans="1:9" ht="15" customHeight="1">
      <c r="A1332" s="93">
        <v>40961</v>
      </c>
      <c r="B1332" s="94">
        <v>12000</v>
      </c>
      <c r="C1332" s="94">
        <v>12500</v>
      </c>
      <c r="D1332" s="94">
        <f t="shared" si="69"/>
        <v>12250</v>
      </c>
    </row>
    <row r="1333" spans="1:9" ht="15" customHeight="1">
      <c r="A1333" s="93">
        <v>40962</v>
      </c>
      <c r="B1333" s="94">
        <v>12000</v>
      </c>
      <c r="C1333" s="94">
        <v>12500</v>
      </c>
      <c r="D1333" s="94">
        <f t="shared" si="69"/>
        <v>12250</v>
      </c>
    </row>
    <row r="1334" spans="1:9" ht="15" customHeight="1">
      <c r="A1334" s="93">
        <v>40963</v>
      </c>
      <c r="B1334" s="94">
        <v>12200</v>
      </c>
      <c r="C1334" s="94">
        <v>12700</v>
      </c>
      <c r="D1334" s="94">
        <f t="shared" si="69"/>
        <v>12450</v>
      </c>
    </row>
    <row r="1335" spans="1:9" ht="15" customHeight="1">
      <c r="A1335" s="93">
        <v>40966</v>
      </c>
      <c r="B1335" s="94">
        <v>12200</v>
      </c>
      <c r="C1335" s="94">
        <v>12700</v>
      </c>
      <c r="D1335" s="94">
        <f t="shared" si="69"/>
        <v>12450</v>
      </c>
    </row>
    <row r="1336" spans="1:9" ht="15" customHeight="1">
      <c r="A1336" s="93">
        <v>40967</v>
      </c>
      <c r="B1336" s="94">
        <v>12200</v>
      </c>
      <c r="C1336" s="94">
        <v>12700</v>
      </c>
      <c r="D1336" s="94">
        <f t="shared" ref="D1336:D1341" si="70">AVERAGE(B1336:C1336)</f>
        <v>12450</v>
      </c>
      <c r="E1336" s="96"/>
      <c r="F1336" s="96"/>
      <c r="G1336" s="179"/>
      <c r="H1336" s="180"/>
      <c r="I1336" s="181"/>
    </row>
    <row r="1337" spans="1:9" s="231" customFormat="1" ht="15" customHeight="1" thickBot="1">
      <c r="A1337" s="88">
        <v>40968</v>
      </c>
      <c r="B1337" s="89">
        <v>12200</v>
      </c>
      <c r="C1337" s="89">
        <v>12700</v>
      </c>
      <c r="D1337" s="89">
        <f t="shared" si="70"/>
        <v>12450</v>
      </c>
      <c r="E1337" s="240">
        <f>AVERAGE(D1317:D1337)</f>
        <v>12278.571428571429</v>
      </c>
      <c r="F1337" s="240"/>
      <c r="G1337" s="92"/>
      <c r="H1337" s="103"/>
      <c r="I1337" s="107"/>
    </row>
    <row r="1338" spans="1:9" ht="15" customHeight="1">
      <c r="A1338" s="93">
        <v>40969</v>
      </c>
      <c r="B1338" s="94">
        <v>12200</v>
      </c>
      <c r="C1338" s="94">
        <v>12700</v>
      </c>
      <c r="D1338" s="94">
        <f t="shared" si="70"/>
        <v>12450</v>
      </c>
    </row>
    <row r="1339" spans="1:9" ht="15" customHeight="1">
      <c r="A1339" s="93">
        <v>40970</v>
      </c>
      <c r="B1339" s="94">
        <v>12200</v>
      </c>
      <c r="C1339" s="94">
        <v>12700</v>
      </c>
      <c r="D1339" s="94">
        <f t="shared" si="70"/>
        <v>12450</v>
      </c>
    </row>
    <row r="1340" spans="1:9" ht="15" customHeight="1">
      <c r="A1340" s="93">
        <v>40973</v>
      </c>
      <c r="B1340" s="94">
        <v>12200</v>
      </c>
      <c r="C1340" s="94">
        <v>12700</v>
      </c>
      <c r="D1340" s="94">
        <f t="shared" si="70"/>
        <v>12450</v>
      </c>
    </row>
    <row r="1341" spans="1:9" ht="15" customHeight="1">
      <c r="A1341" s="93">
        <v>40974</v>
      </c>
      <c r="B1341" s="94">
        <v>12200</v>
      </c>
      <c r="C1341" s="94">
        <v>12700</v>
      </c>
      <c r="D1341" s="94">
        <f t="shared" si="70"/>
        <v>12450</v>
      </c>
    </row>
    <row r="1342" spans="1:9" ht="15" customHeight="1">
      <c r="A1342" s="93">
        <v>40975</v>
      </c>
      <c r="B1342" s="94">
        <v>12200</v>
      </c>
      <c r="C1342" s="94">
        <v>12700</v>
      </c>
      <c r="D1342" s="94">
        <f t="shared" ref="D1342:D1347" si="71">AVERAGE(B1342:C1342)</f>
        <v>12450</v>
      </c>
    </row>
    <row r="1343" spans="1:9" ht="15" customHeight="1">
      <c r="A1343" s="93">
        <v>40976</v>
      </c>
      <c r="B1343" s="94">
        <v>12200</v>
      </c>
      <c r="C1343" s="94">
        <v>12700</v>
      </c>
      <c r="D1343" s="94">
        <f t="shared" si="71"/>
        <v>12450</v>
      </c>
    </row>
    <row r="1344" spans="1:9" ht="15" customHeight="1">
      <c r="A1344" s="93">
        <v>40977</v>
      </c>
      <c r="B1344" s="94">
        <v>12200</v>
      </c>
      <c r="C1344" s="94">
        <v>12700</v>
      </c>
      <c r="D1344" s="94">
        <f t="shared" si="71"/>
        <v>12450</v>
      </c>
    </row>
    <row r="1345" spans="1:9" ht="15" customHeight="1">
      <c r="A1345" s="93">
        <v>40980</v>
      </c>
      <c r="B1345" s="94">
        <v>12200</v>
      </c>
      <c r="C1345" s="94">
        <v>12700</v>
      </c>
      <c r="D1345" s="94">
        <f t="shared" si="71"/>
        <v>12450</v>
      </c>
    </row>
    <row r="1346" spans="1:9" ht="15" customHeight="1">
      <c r="A1346" s="93">
        <v>40981</v>
      </c>
      <c r="B1346" s="94">
        <v>12200</v>
      </c>
      <c r="C1346" s="94">
        <v>12700</v>
      </c>
      <c r="D1346" s="94">
        <f t="shared" si="71"/>
        <v>12450</v>
      </c>
    </row>
    <row r="1347" spans="1:9" ht="15" customHeight="1">
      <c r="A1347" s="93">
        <v>40982</v>
      </c>
      <c r="B1347" s="94">
        <v>12200</v>
      </c>
      <c r="C1347" s="94">
        <v>12700</v>
      </c>
      <c r="D1347" s="94">
        <f t="shared" si="71"/>
        <v>12450</v>
      </c>
    </row>
    <row r="1348" spans="1:9" ht="15" customHeight="1">
      <c r="A1348" s="93">
        <v>40983</v>
      </c>
      <c r="B1348" s="94">
        <v>12200</v>
      </c>
      <c r="C1348" s="94">
        <v>12700</v>
      </c>
      <c r="D1348" s="94">
        <f t="shared" ref="D1348:D1353" si="72">AVERAGE(B1348:C1348)</f>
        <v>12450</v>
      </c>
    </row>
    <row r="1349" spans="1:9" ht="15" customHeight="1">
      <c r="A1349" s="93">
        <v>40984</v>
      </c>
      <c r="B1349" s="94">
        <v>12200</v>
      </c>
      <c r="C1349" s="94">
        <v>12700</v>
      </c>
      <c r="D1349" s="94">
        <f t="shared" si="72"/>
        <v>12450</v>
      </c>
    </row>
    <row r="1350" spans="1:9" ht="15" customHeight="1">
      <c r="A1350" s="93">
        <v>40987</v>
      </c>
      <c r="B1350" s="94">
        <v>12200</v>
      </c>
      <c r="C1350" s="94">
        <v>12700</v>
      </c>
      <c r="D1350" s="94">
        <f t="shared" si="72"/>
        <v>12450</v>
      </c>
    </row>
    <row r="1351" spans="1:9" ht="15" customHeight="1">
      <c r="A1351" s="93">
        <v>40988</v>
      </c>
      <c r="B1351" s="94">
        <v>12200</v>
      </c>
      <c r="C1351" s="94">
        <v>12700</v>
      </c>
      <c r="D1351" s="94">
        <f t="shared" si="72"/>
        <v>12450</v>
      </c>
    </row>
    <row r="1352" spans="1:9" ht="15" customHeight="1">
      <c r="A1352" s="93">
        <v>40989</v>
      </c>
      <c r="B1352" s="94">
        <v>12200</v>
      </c>
      <c r="C1352" s="94">
        <v>12700</v>
      </c>
      <c r="D1352" s="94">
        <f t="shared" si="72"/>
        <v>12450</v>
      </c>
    </row>
    <row r="1353" spans="1:9" ht="15" customHeight="1">
      <c r="A1353" s="93">
        <v>40990</v>
      </c>
      <c r="B1353" s="94">
        <v>12200</v>
      </c>
      <c r="C1353" s="94">
        <v>12700</v>
      </c>
      <c r="D1353" s="94">
        <f t="shared" si="72"/>
        <v>12450</v>
      </c>
    </row>
    <row r="1354" spans="1:9" ht="15" customHeight="1">
      <c r="A1354" s="93">
        <v>40991</v>
      </c>
      <c r="B1354" s="94">
        <v>12200</v>
      </c>
      <c r="C1354" s="94">
        <v>12700</v>
      </c>
      <c r="D1354" s="94">
        <f t="shared" ref="D1354:D1359" si="73">AVERAGE(B1354:C1354)</f>
        <v>12450</v>
      </c>
    </row>
    <row r="1355" spans="1:9" ht="15" customHeight="1">
      <c r="A1355" s="93">
        <v>40994</v>
      </c>
      <c r="B1355" s="94">
        <v>12500</v>
      </c>
      <c r="C1355" s="94">
        <v>13000</v>
      </c>
      <c r="D1355" s="94">
        <f t="shared" si="73"/>
        <v>12750</v>
      </c>
    </row>
    <row r="1356" spans="1:9" ht="15" customHeight="1">
      <c r="A1356" s="93">
        <v>40995</v>
      </c>
      <c r="B1356" s="94">
        <v>12500</v>
      </c>
      <c r="C1356" s="94">
        <v>13000</v>
      </c>
      <c r="D1356" s="94">
        <f t="shared" si="73"/>
        <v>12750</v>
      </c>
    </row>
    <row r="1357" spans="1:9" ht="15" customHeight="1">
      <c r="A1357" s="93">
        <v>40996</v>
      </c>
      <c r="B1357" s="94">
        <v>12500</v>
      </c>
      <c r="C1357" s="94">
        <v>13000</v>
      </c>
      <c r="D1357" s="94">
        <f t="shared" si="73"/>
        <v>12750</v>
      </c>
    </row>
    <row r="1358" spans="1:9" ht="15" customHeight="1">
      <c r="A1358" s="93">
        <v>40997</v>
      </c>
      <c r="B1358" s="94">
        <v>12500</v>
      </c>
      <c r="C1358" s="94">
        <v>13000</v>
      </c>
      <c r="D1358" s="94">
        <f t="shared" si="73"/>
        <v>12750</v>
      </c>
    </row>
    <row r="1359" spans="1:9" ht="15" customHeight="1" thickBot="1">
      <c r="A1359" s="88">
        <v>40998</v>
      </c>
      <c r="B1359" s="89">
        <v>12500</v>
      </c>
      <c r="C1359" s="89">
        <v>13000</v>
      </c>
      <c r="D1359" s="89">
        <f t="shared" si="73"/>
        <v>12750</v>
      </c>
      <c r="E1359" s="240">
        <f>AVERAGE(D1338:D1359)</f>
        <v>12518.181818181818</v>
      </c>
      <c r="F1359" s="240"/>
      <c r="G1359" s="92">
        <f>AVERAGE(D1295:D1359)</f>
        <v>12330.46875</v>
      </c>
      <c r="H1359" s="103"/>
      <c r="I1359" s="107"/>
    </row>
    <row r="1360" spans="1:9" ht="15" customHeight="1">
      <c r="A1360" s="93">
        <v>41001</v>
      </c>
      <c r="B1360" s="94">
        <v>12500</v>
      </c>
      <c r="C1360" s="94">
        <v>13000</v>
      </c>
      <c r="D1360" s="94">
        <f>AVERAGE(B1360:C1360)</f>
        <v>12750</v>
      </c>
    </row>
    <row r="1361" spans="1:9" ht="15" customHeight="1">
      <c r="A1361" s="93">
        <v>41002</v>
      </c>
      <c r="B1361" s="94">
        <v>12500</v>
      </c>
      <c r="C1361" s="94">
        <v>13000</v>
      </c>
      <c r="D1361" s="94">
        <f>AVERAGE(B1361:C1361)</f>
        <v>12750</v>
      </c>
    </row>
    <row r="1362" spans="1:9" ht="15" customHeight="1">
      <c r="A1362" s="93">
        <v>41003</v>
      </c>
      <c r="B1362" s="94">
        <v>12500</v>
      </c>
      <c r="C1362" s="94">
        <v>13000</v>
      </c>
      <c r="D1362" s="94">
        <f>AVERAGE(B1362:C1362)</f>
        <v>12750</v>
      </c>
    </row>
    <row r="1363" spans="1:9" ht="15" customHeight="1">
      <c r="A1363" s="93">
        <v>41004</v>
      </c>
      <c r="B1363" s="94">
        <v>12500</v>
      </c>
      <c r="C1363" s="94">
        <v>13000</v>
      </c>
      <c r="D1363" s="94">
        <f>AVERAGE(B1363:C1363)</f>
        <v>12750</v>
      </c>
    </row>
    <row r="1364" spans="1:9" ht="15" customHeight="1">
      <c r="A1364" s="93">
        <v>41005</v>
      </c>
      <c r="B1364" s="1053" t="s">
        <v>68</v>
      </c>
      <c r="C1364" s="1053"/>
      <c r="D1364" s="1053"/>
      <c r="E1364" s="1053"/>
      <c r="F1364" s="1053"/>
      <c r="G1364" s="1053"/>
      <c r="H1364" s="1053"/>
      <c r="I1364" s="1053"/>
    </row>
    <row r="1365" spans="1:9" ht="15" customHeight="1">
      <c r="A1365" s="93">
        <v>41008</v>
      </c>
      <c r="B1365" s="1053"/>
      <c r="C1365" s="1053"/>
      <c r="D1365" s="1053"/>
      <c r="E1365" s="1053"/>
      <c r="F1365" s="1053"/>
      <c r="G1365" s="1053"/>
      <c r="H1365" s="1053"/>
      <c r="I1365" s="1053"/>
    </row>
    <row r="1366" spans="1:9" ht="15" customHeight="1">
      <c r="A1366" s="93">
        <v>41009</v>
      </c>
      <c r="B1366" s="94">
        <v>12500</v>
      </c>
      <c r="C1366" s="94">
        <v>13000</v>
      </c>
      <c r="D1366" s="94">
        <f t="shared" ref="D1366:D1371" si="74">AVERAGE(B1366:C1366)</f>
        <v>12750</v>
      </c>
    </row>
    <row r="1367" spans="1:9" ht="15" customHeight="1">
      <c r="A1367" s="93">
        <v>41010</v>
      </c>
      <c r="B1367" s="94">
        <v>12500</v>
      </c>
      <c r="C1367" s="94">
        <v>13000</v>
      </c>
      <c r="D1367" s="94">
        <f t="shared" si="74"/>
        <v>12750</v>
      </c>
    </row>
    <row r="1368" spans="1:9" ht="15" customHeight="1">
      <c r="A1368" s="93">
        <v>41011</v>
      </c>
      <c r="B1368" s="94">
        <v>12500</v>
      </c>
      <c r="C1368" s="94">
        <v>13000</v>
      </c>
      <c r="D1368" s="94">
        <f t="shared" si="74"/>
        <v>12750</v>
      </c>
    </row>
    <row r="1369" spans="1:9" ht="15" customHeight="1">
      <c r="A1369" s="93">
        <v>41012</v>
      </c>
      <c r="B1369" s="94">
        <v>12500</v>
      </c>
      <c r="C1369" s="94">
        <v>13000</v>
      </c>
      <c r="D1369" s="94">
        <f t="shared" si="74"/>
        <v>12750</v>
      </c>
    </row>
    <row r="1370" spans="1:9" ht="15" customHeight="1">
      <c r="A1370" s="93">
        <v>41015</v>
      </c>
      <c r="B1370" s="94">
        <v>12500</v>
      </c>
      <c r="C1370" s="94">
        <v>13000</v>
      </c>
      <c r="D1370" s="94">
        <f t="shared" si="74"/>
        <v>12750</v>
      </c>
    </row>
    <row r="1371" spans="1:9" ht="15" customHeight="1">
      <c r="A1371" s="93">
        <v>41016</v>
      </c>
      <c r="B1371" s="94">
        <v>12500</v>
      </c>
      <c r="C1371" s="94">
        <v>13000</v>
      </c>
      <c r="D1371" s="94">
        <f t="shared" si="74"/>
        <v>12750</v>
      </c>
    </row>
    <row r="1372" spans="1:9" ht="15" customHeight="1">
      <c r="A1372" s="93">
        <v>41017</v>
      </c>
      <c r="B1372" s="94">
        <v>12500</v>
      </c>
      <c r="C1372" s="94">
        <v>13000</v>
      </c>
      <c r="D1372" s="94">
        <f t="shared" ref="D1372:D1377" si="75">AVERAGE(B1372:C1372)</f>
        <v>12750</v>
      </c>
    </row>
    <row r="1373" spans="1:9" ht="15" customHeight="1">
      <c r="A1373" s="93">
        <v>41018</v>
      </c>
      <c r="B1373" s="94">
        <v>12500</v>
      </c>
      <c r="C1373" s="94">
        <v>13000</v>
      </c>
      <c r="D1373" s="94">
        <f t="shared" si="75"/>
        <v>12750</v>
      </c>
    </row>
    <row r="1374" spans="1:9" ht="15" customHeight="1">
      <c r="A1374" s="93">
        <v>41019</v>
      </c>
      <c r="B1374" s="94">
        <v>12500</v>
      </c>
      <c r="C1374" s="94">
        <v>13000</v>
      </c>
      <c r="D1374" s="94">
        <f t="shared" si="75"/>
        <v>12750</v>
      </c>
    </row>
    <row r="1375" spans="1:9" ht="15" customHeight="1">
      <c r="A1375" s="93">
        <v>41022</v>
      </c>
      <c r="B1375" s="94">
        <v>12500</v>
      </c>
      <c r="C1375" s="94">
        <v>13000</v>
      </c>
      <c r="D1375" s="94">
        <f t="shared" si="75"/>
        <v>12750</v>
      </c>
    </row>
    <row r="1376" spans="1:9" ht="15" customHeight="1">
      <c r="A1376" s="93">
        <v>41023</v>
      </c>
      <c r="B1376" s="94">
        <v>12500</v>
      </c>
      <c r="C1376" s="94">
        <v>13000</v>
      </c>
      <c r="D1376" s="94">
        <f t="shared" si="75"/>
        <v>12750</v>
      </c>
    </row>
    <row r="1377" spans="1:9" ht="15" customHeight="1">
      <c r="A1377" s="93">
        <v>41024</v>
      </c>
      <c r="B1377" s="94">
        <v>12500</v>
      </c>
      <c r="C1377" s="94">
        <v>13000</v>
      </c>
      <c r="D1377" s="94">
        <f t="shared" si="75"/>
        <v>12750</v>
      </c>
    </row>
    <row r="1378" spans="1:9" ht="15" customHeight="1">
      <c r="A1378" s="93">
        <v>41025</v>
      </c>
      <c r="B1378" s="94">
        <v>12500</v>
      </c>
      <c r="C1378" s="94">
        <v>13000</v>
      </c>
      <c r="D1378" s="94">
        <f t="shared" ref="D1378:D1384" si="76">AVERAGE(B1378:C1378)</f>
        <v>12750</v>
      </c>
    </row>
    <row r="1379" spans="1:9" ht="15" customHeight="1">
      <c r="A1379" s="93">
        <v>41026</v>
      </c>
      <c r="B1379" s="94">
        <v>12500</v>
      </c>
      <c r="C1379" s="94">
        <v>13000</v>
      </c>
      <c r="D1379" s="94">
        <f t="shared" si="76"/>
        <v>12750</v>
      </c>
    </row>
    <row r="1380" spans="1:9" ht="15" customHeight="1" thickBot="1">
      <c r="A1380" s="88">
        <v>41029</v>
      </c>
      <c r="B1380" s="89">
        <v>12500</v>
      </c>
      <c r="C1380" s="89">
        <v>13000</v>
      </c>
      <c r="D1380" s="89">
        <f t="shared" si="76"/>
        <v>12750</v>
      </c>
      <c r="E1380" s="240">
        <f>AVERAGE(D1360:D1380)</f>
        <v>12750</v>
      </c>
      <c r="F1380" s="240"/>
      <c r="G1380" s="92"/>
      <c r="H1380" s="103"/>
      <c r="I1380" s="107"/>
    </row>
    <row r="1381" spans="1:9" ht="15" customHeight="1">
      <c r="A1381" s="93">
        <v>41030</v>
      </c>
      <c r="B1381" s="94">
        <v>12500</v>
      </c>
      <c r="C1381" s="94">
        <v>13000</v>
      </c>
      <c r="D1381" s="94">
        <f t="shared" si="76"/>
        <v>12750</v>
      </c>
    </row>
    <row r="1382" spans="1:9" ht="15" customHeight="1">
      <c r="A1382" s="93">
        <v>41031</v>
      </c>
      <c r="B1382" s="94">
        <v>12500</v>
      </c>
      <c r="C1382" s="94">
        <v>13000</v>
      </c>
      <c r="D1382" s="94">
        <f t="shared" si="76"/>
        <v>12750</v>
      </c>
    </row>
    <row r="1383" spans="1:9" ht="15" customHeight="1">
      <c r="A1383" s="93">
        <v>41032</v>
      </c>
      <c r="B1383" s="94">
        <v>12500</v>
      </c>
      <c r="C1383" s="94">
        <v>13000</v>
      </c>
      <c r="D1383" s="94">
        <f t="shared" si="76"/>
        <v>12750</v>
      </c>
    </row>
    <row r="1384" spans="1:9" ht="15" customHeight="1">
      <c r="A1384" s="93">
        <v>41033</v>
      </c>
      <c r="B1384" s="94">
        <v>12700</v>
      </c>
      <c r="C1384" s="94">
        <v>13200</v>
      </c>
      <c r="D1384" s="94">
        <f t="shared" si="76"/>
        <v>12950</v>
      </c>
    </row>
    <row r="1385" spans="1:9" ht="15" customHeight="1">
      <c r="A1385" s="93">
        <v>41036</v>
      </c>
      <c r="B1385" s="1053" t="s">
        <v>91</v>
      </c>
      <c r="C1385" s="1053"/>
      <c r="D1385" s="1053"/>
      <c r="E1385" s="1053"/>
      <c r="F1385" s="1053"/>
      <c r="G1385" s="1053"/>
      <c r="H1385" s="1053"/>
      <c r="I1385" s="1053"/>
    </row>
    <row r="1386" spans="1:9" ht="15" customHeight="1">
      <c r="A1386" s="93">
        <v>41037</v>
      </c>
      <c r="B1386" s="94">
        <v>12700</v>
      </c>
      <c r="C1386" s="94">
        <v>13200</v>
      </c>
      <c r="D1386" s="94">
        <f t="shared" ref="D1386:D1393" si="77">AVERAGE(B1386:C1386)</f>
        <v>12950</v>
      </c>
    </row>
    <row r="1387" spans="1:9" ht="15" customHeight="1">
      <c r="A1387" s="93">
        <v>41038</v>
      </c>
      <c r="B1387" s="94">
        <v>12700</v>
      </c>
      <c r="C1387" s="94">
        <v>13200</v>
      </c>
      <c r="D1387" s="94">
        <f t="shared" si="77"/>
        <v>12950</v>
      </c>
    </row>
    <row r="1388" spans="1:9" ht="15" customHeight="1">
      <c r="A1388" s="93">
        <v>41039</v>
      </c>
      <c r="B1388" s="94">
        <v>12700</v>
      </c>
      <c r="C1388" s="94">
        <v>13200</v>
      </c>
      <c r="D1388" s="94">
        <f t="shared" si="77"/>
        <v>12950</v>
      </c>
    </row>
    <row r="1389" spans="1:9" ht="15" customHeight="1">
      <c r="A1389" s="93">
        <v>41040</v>
      </c>
      <c r="B1389" s="94">
        <v>12700</v>
      </c>
      <c r="C1389" s="94">
        <v>13200</v>
      </c>
      <c r="D1389" s="94">
        <f t="shared" si="77"/>
        <v>12950</v>
      </c>
    </row>
    <row r="1390" spans="1:9" ht="15" customHeight="1">
      <c r="A1390" s="93">
        <v>41043</v>
      </c>
      <c r="B1390" s="94">
        <v>12700</v>
      </c>
      <c r="C1390" s="94">
        <v>13200</v>
      </c>
      <c r="D1390" s="94">
        <f t="shared" si="77"/>
        <v>12950</v>
      </c>
    </row>
    <row r="1391" spans="1:9" ht="15" customHeight="1">
      <c r="A1391" s="93">
        <v>41044</v>
      </c>
      <c r="B1391" s="94">
        <v>12700</v>
      </c>
      <c r="C1391" s="94">
        <v>13200</v>
      </c>
      <c r="D1391" s="94">
        <f t="shared" si="77"/>
        <v>12950</v>
      </c>
    </row>
    <row r="1392" spans="1:9" ht="15" customHeight="1">
      <c r="A1392" s="93">
        <v>41045</v>
      </c>
      <c r="B1392" s="94">
        <v>12700</v>
      </c>
      <c r="C1392" s="94">
        <v>13200</v>
      </c>
      <c r="D1392" s="94">
        <f t="shared" si="77"/>
        <v>12950</v>
      </c>
    </row>
    <row r="1393" spans="1:9" ht="15" customHeight="1">
      <c r="A1393" s="93">
        <v>41046</v>
      </c>
      <c r="B1393" s="94">
        <v>12700</v>
      </c>
      <c r="C1393" s="94">
        <v>13200</v>
      </c>
      <c r="D1393" s="94">
        <f t="shared" si="77"/>
        <v>12950</v>
      </c>
    </row>
    <row r="1394" spans="1:9" ht="15" customHeight="1">
      <c r="A1394" s="93">
        <v>41047</v>
      </c>
      <c r="B1394" s="94">
        <v>13000</v>
      </c>
      <c r="C1394" s="94">
        <v>14000</v>
      </c>
      <c r="D1394" s="94">
        <f t="shared" ref="D1394:D1399" si="78">AVERAGE(B1394:C1394)</f>
        <v>13500</v>
      </c>
    </row>
    <row r="1395" spans="1:9" ht="15" customHeight="1">
      <c r="A1395" s="93">
        <v>41050</v>
      </c>
      <c r="B1395" s="94">
        <v>13000</v>
      </c>
      <c r="C1395" s="94">
        <v>14000</v>
      </c>
      <c r="D1395" s="94">
        <f t="shared" si="78"/>
        <v>13500</v>
      </c>
    </row>
    <row r="1396" spans="1:9" ht="15" customHeight="1">
      <c r="A1396" s="93">
        <v>41051</v>
      </c>
      <c r="B1396" s="94">
        <v>13000</v>
      </c>
      <c r="C1396" s="94">
        <v>14000</v>
      </c>
      <c r="D1396" s="94">
        <f t="shared" si="78"/>
        <v>13500</v>
      </c>
    </row>
    <row r="1397" spans="1:9" ht="15" customHeight="1">
      <c r="A1397" s="93">
        <v>41052</v>
      </c>
      <c r="B1397" s="94">
        <v>13000</v>
      </c>
      <c r="C1397" s="94">
        <v>14000</v>
      </c>
      <c r="D1397" s="94">
        <f t="shared" si="78"/>
        <v>13500</v>
      </c>
    </row>
    <row r="1398" spans="1:9" ht="15" customHeight="1">
      <c r="A1398" s="93">
        <v>41053</v>
      </c>
      <c r="B1398" s="94">
        <v>13000</v>
      </c>
      <c r="C1398" s="94">
        <v>14000</v>
      </c>
      <c r="D1398" s="94">
        <f t="shared" si="78"/>
        <v>13500</v>
      </c>
    </row>
    <row r="1399" spans="1:9" ht="15" customHeight="1">
      <c r="A1399" s="93">
        <v>41054</v>
      </c>
      <c r="B1399" s="94">
        <v>13000</v>
      </c>
      <c r="C1399" s="94">
        <v>14000</v>
      </c>
      <c r="D1399" s="94">
        <f t="shared" si="78"/>
        <v>13500</v>
      </c>
    </row>
    <row r="1400" spans="1:9" ht="15" customHeight="1">
      <c r="A1400" s="93">
        <v>41057</v>
      </c>
      <c r="B1400" s="94">
        <v>13000</v>
      </c>
      <c r="C1400" s="94">
        <v>14000</v>
      </c>
      <c r="D1400" s="94">
        <f>AVERAGE(B1400:C1400)</f>
        <v>13500</v>
      </c>
    </row>
    <row r="1401" spans="1:9" ht="15" customHeight="1">
      <c r="A1401" s="93">
        <v>41058</v>
      </c>
      <c r="B1401" s="94">
        <v>13000</v>
      </c>
      <c r="C1401" s="94">
        <v>14000</v>
      </c>
      <c r="D1401" s="94">
        <f>AVERAGE(B1401:C1401)</f>
        <v>13500</v>
      </c>
    </row>
    <row r="1402" spans="1:9" ht="15" customHeight="1">
      <c r="A1402" s="93">
        <v>41059</v>
      </c>
      <c r="B1402" s="94">
        <v>13000</v>
      </c>
      <c r="C1402" s="94">
        <v>14000</v>
      </c>
      <c r="D1402" s="94">
        <f>AVERAGE(B1402:C1402)</f>
        <v>13500</v>
      </c>
    </row>
    <row r="1403" spans="1:9" ht="15" customHeight="1" thickBot="1">
      <c r="A1403" s="88">
        <v>41060</v>
      </c>
      <c r="B1403" s="89">
        <v>13000</v>
      </c>
      <c r="C1403" s="89">
        <v>14000</v>
      </c>
      <c r="D1403" s="89">
        <f>AVERAGE(B1403:C1403)</f>
        <v>13500</v>
      </c>
      <c r="E1403" s="240">
        <f>AVERAGE(D1381:D1403)</f>
        <v>13172.727272727272</v>
      </c>
      <c r="F1403" s="240"/>
      <c r="G1403" s="92"/>
      <c r="H1403" s="103"/>
      <c r="I1403" s="107"/>
    </row>
    <row r="1404" spans="1:9" ht="15" customHeight="1">
      <c r="A1404" s="93">
        <v>41061</v>
      </c>
      <c r="B1404" s="94">
        <v>13000</v>
      </c>
      <c r="C1404" s="94">
        <v>14000</v>
      </c>
      <c r="D1404" s="94">
        <f>AVERAGE(B1404:C1404)</f>
        <v>13500</v>
      </c>
    </row>
    <row r="1405" spans="1:9" ht="15" customHeight="1">
      <c r="A1405" s="93">
        <v>41064</v>
      </c>
      <c r="B1405" s="1053" t="s">
        <v>91</v>
      </c>
      <c r="C1405" s="1053"/>
      <c r="D1405" s="1053"/>
      <c r="E1405" s="1053"/>
      <c r="F1405" s="1053"/>
      <c r="G1405" s="1053"/>
      <c r="H1405" s="1053"/>
      <c r="I1405" s="1053"/>
    </row>
    <row r="1406" spans="1:9" ht="15" customHeight="1">
      <c r="A1406" s="93">
        <v>41065</v>
      </c>
      <c r="B1406" s="1053"/>
      <c r="C1406" s="1053"/>
      <c r="D1406" s="1053"/>
      <c r="E1406" s="1053"/>
      <c r="F1406" s="1053"/>
      <c r="G1406" s="1053"/>
      <c r="H1406" s="1053"/>
      <c r="I1406" s="1053"/>
    </row>
    <row r="1407" spans="1:9" ht="15" customHeight="1">
      <c r="A1407" s="93">
        <v>41066</v>
      </c>
      <c r="B1407" s="94">
        <v>13000</v>
      </c>
      <c r="C1407" s="94">
        <v>14000</v>
      </c>
      <c r="D1407" s="94">
        <f t="shared" ref="D1407:D1412" si="79">AVERAGE(B1407:C1407)</f>
        <v>13500</v>
      </c>
    </row>
    <row r="1408" spans="1:9" ht="15" customHeight="1">
      <c r="A1408" s="93">
        <v>41067</v>
      </c>
      <c r="B1408" s="94">
        <v>13000</v>
      </c>
      <c r="C1408" s="94">
        <v>14000</v>
      </c>
      <c r="D1408" s="94">
        <f t="shared" si="79"/>
        <v>13500</v>
      </c>
    </row>
    <row r="1409" spans="1:9" ht="15" customHeight="1">
      <c r="A1409" s="93">
        <v>41068</v>
      </c>
      <c r="B1409" s="94">
        <v>13000</v>
      </c>
      <c r="C1409" s="94">
        <v>14000</v>
      </c>
      <c r="D1409" s="94">
        <f t="shared" si="79"/>
        <v>13500</v>
      </c>
    </row>
    <row r="1410" spans="1:9" ht="15" customHeight="1">
      <c r="A1410" s="93">
        <v>41071</v>
      </c>
      <c r="B1410" s="94">
        <v>13000</v>
      </c>
      <c r="C1410" s="94">
        <v>14000</v>
      </c>
      <c r="D1410" s="94">
        <f t="shared" si="79"/>
        <v>13500</v>
      </c>
    </row>
    <row r="1411" spans="1:9" ht="15" customHeight="1">
      <c r="A1411" s="93">
        <v>41072</v>
      </c>
      <c r="B1411" s="94">
        <v>13000</v>
      </c>
      <c r="C1411" s="94">
        <v>14000</v>
      </c>
      <c r="D1411" s="94">
        <f t="shared" si="79"/>
        <v>13500</v>
      </c>
    </row>
    <row r="1412" spans="1:9" ht="15" customHeight="1">
      <c r="A1412" s="93">
        <v>41073</v>
      </c>
      <c r="B1412" s="94">
        <v>13000</v>
      </c>
      <c r="C1412" s="94">
        <v>14000</v>
      </c>
      <c r="D1412" s="94">
        <f t="shared" si="79"/>
        <v>13500</v>
      </c>
    </row>
    <row r="1413" spans="1:9" ht="15" customHeight="1">
      <c r="A1413" s="93">
        <v>41074</v>
      </c>
      <c r="B1413" s="94">
        <v>13000</v>
      </c>
      <c r="C1413" s="94">
        <v>14000</v>
      </c>
      <c r="D1413" s="94">
        <f t="shared" ref="D1413:D1418" si="80">AVERAGE(B1413:C1413)</f>
        <v>13500</v>
      </c>
    </row>
    <row r="1414" spans="1:9" ht="15" customHeight="1">
      <c r="A1414" s="93">
        <v>41075</v>
      </c>
      <c r="B1414" s="94">
        <v>13000</v>
      </c>
      <c r="C1414" s="94">
        <v>14000</v>
      </c>
      <c r="D1414" s="94">
        <f t="shared" si="80"/>
        <v>13500</v>
      </c>
    </row>
    <row r="1415" spans="1:9" ht="15" customHeight="1">
      <c r="A1415" s="93">
        <v>41078</v>
      </c>
      <c r="B1415" s="94">
        <v>13000</v>
      </c>
      <c r="C1415" s="94">
        <v>14000</v>
      </c>
      <c r="D1415" s="94">
        <f t="shared" si="80"/>
        <v>13500</v>
      </c>
    </row>
    <row r="1416" spans="1:9" ht="15" customHeight="1">
      <c r="A1416" s="93">
        <v>41079</v>
      </c>
      <c r="B1416" s="94">
        <v>13000</v>
      </c>
      <c r="C1416" s="94">
        <v>14000</v>
      </c>
      <c r="D1416" s="94">
        <f t="shared" si="80"/>
        <v>13500</v>
      </c>
    </row>
    <row r="1417" spans="1:9" ht="15" customHeight="1">
      <c r="A1417" s="93">
        <v>41080</v>
      </c>
      <c r="B1417" s="94">
        <v>13000</v>
      </c>
      <c r="C1417" s="94">
        <v>14000</v>
      </c>
      <c r="D1417" s="94">
        <f t="shared" si="80"/>
        <v>13500</v>
      </c>
    </row>
    <row r="1418" spans="1:9" ht="15" customHeight="1">
      <c r="A1418" s="93">
        <v>41081</v>
      </c>
      <c r="B1418" s="94">
        <v>13000</v>
      </c>
      <c r="C1418" s="94">
        <v>14000</v>
      </c>
      <c r="D1418" s="94">
        <f t="shared" si="80"/>
        <v>13500</v>
      </c>
    </row>
    <row r="1419" spans="1:9" ht="15" customHeight="1">
      <c r="A1419" s="93">
        <v>41082</v>
      </c>
      <c r="B1419" s="94">
        <v>12900</v>
      </c>
      <c r="C1419" s="94">
        <v>13800</v>
      </c>
      <c r="D1419" s="94">
        <f t="shared" ref="D1419:D1424" si="81">AVERAGE(B1419:C1419)</f>
        <v>13350</v>
      </c>
    </row>
    <row r="1420" spans="1:9" ht="15" customHeight="1">
      <c r="A1420" s="93">
        <v>41085</v>
      </c>
      <c r="B1420" s="94">
        <v>12900</v>
      </c>
      <c r="C1420" s="94">
        <v>13800</v>
      </c>
      <c r="D1420" s="94">
        <f t="shared" si="81"/>
        <v>13350</v>
      </c>
    </row>
    <row r="1421" spans="1:9" ht="15" customHeight="1">
      <c r="A1421" s="93">
        <v>41086</v>
      </c>
      <c r="B1421" s="94">
        <v>12900</v>
      </c>
      <c r="C1421" s="94">
        <v>13800</v>
      </c>
      <c r="D1421" s="94">
        <f t="shared" si="81"/>
        <v>13350</v>
      </c>
    </row>
    <row r="1422" spans="1:9" ht="15" customHeight="1">
      <c r="A1422" s="93">
        <v>41087</v>
      </c>
      <c r="B1422" s="94">
        <v>12900</v>
      </c>
      <c r="C1422" s="94">
        <v>13800</v>
      </c>
      <c r="D1422" s="94">
        <f t="shared" si="81"/>
        <v>13350</v>
      </c>
    </row>
    <row r="1423" spans="1:9" ht="15" customHeight="1">
      <c r="A1423" s="93">
        <v>41088</v>
      </c>
      <c r="B1423" s="94">
        <v>12900</v>
      </c>
      <c r="C1423" s="94">
        <v>13800</v>
      </c>
      <c r="D1423" s="94">
        <f t="shared" si="81"/>
        <v>13350</v>
      </c>
    </row>
    <row r="1424" spans="1:9" ht="15" customHeight="1" thickBot="1">
      <c r="A1424" s="88">
        <v>41089</v>
      </c>
      <c r="B1424" s="89">
        <v>12900</v>
      </c>
      <c r="C1424" s="89">
        <v>13800</v>
      </c>
      <c r="D1424" s="89">
        <f t="shared" si="81"/>
        <v>13350</v>
      </c>
      <c r="E1424" s="240">
        <f>AVERAGE(D1404:D1424)</f>
        <v>13452.631578947368</v>
      </c>
      <c r="F1424" s="240"/>
      <c r="G1424" s="92">
        <f>AVERAGE(D1360:D1424)</f>
        <v>13127.5</v>
      </c>
      <c r="H1424" s="103"/>
      <c r="I1424" s="107"/>
    </row>
    <row r="1425" spans="1:4" ht="15" customHeight="1">
      <c r="A1425" s="93">
        <v>41092</v>
      </c>
      <c r="B1425" s="94">
        <v>12900</v>
      </c>
      <c r="C1425" s="94">
        <v>13800</v>
      </c>
      <c r="D1425" s="94">
        <f t="shared" ref="D1425:D1430" si="82">AVERAGE(B1425:C1425)</f>
        <v>13350</v>
      </c>
    </row>
    <row r="1426" spans="1:4" ht="15" customHeight="1">
      <c r="A1426" s="93">
        <v>41093</v>
      </c>
      <c r="B1426" s="94">
        <v>12700</v>
      </c>
      <c r="C1426" s="94">
        <v>13500</v>
      </c>
      <c r="D1426" s="94">
        <f t="shared" si="82"/>
        <v>13100</v>
      </c>
    </row>
    <row r="1427" spans="1:4" ht="15" customHeight="1">
      <c r="A1427" s="93">
        <v>41094</v>
      </c>
      <c r="B1427" s="94">
        <v>12700</v>
      </c>
      <c r="C1427" s="94">
        <v>13500</v>
      </c>
      <c r="D1427" s="94">
        <f t="shared" si="82"/>
        <v>13100</v>
      </c>
    </row>
    <row r="1428" spans="1:4" ht="15" customHeight="1">
      <c r="A1428" s="93">
        <v>41095</v>
      </c>
      <c r="B1428" s="94">
        <v>12700</v>
      </c>
      <c r="C1428" s="94">
        <v>13500</v>
      </c>
      <c r="D1428" s="94">
        <f t="shared" si="82"/>
        <v>13100</v>
      </c>
    </row>
    <row r="1429" spans="1:4" ht="15" customHeight="1">
      <c r="A1429" s="93">
        <v>41096</v>
      </c>
      <c r="B1429" s="94">
        <v>12700</v>
      </c>
      <c r="C1429" s="94">
        <v>13500</v>
      </c>
      <c r="D1429" s="94">
        <f t="shared" si="82"/>
        <v>13100</v>
      </c>
    </row>
    <row r="1430" spans="1:4" ht="15" customHeight="1">
      <c r="A1430" s="93">
        <v>41099</v>
      </c>
      <c r="B1430" s="94">
        <v>12700</v>
      </c>
      <c r="C1430" s="94">
        <v>13500</v>
      </c>
      <c r="D1430" s="94">
        <f t="shared" si="82"/>
        <v>13100</v>
      </c>
    </row>
    <row r="1431" spans="1:4" ht="15" customHeight="1">
      <c r="A1431" s="93">
        <v>41100</v>
      </c>
      <c r="B1431" s="94">
        <v>12700</v>
      </c>
      <c r="C1431" s="94">
        <v>13500</v>
      </c>
      <c r="D1431" s="94">
        <f t="shared" ref="D1431:D1436" si="83">AVERAGE(B1431:C1431)</f>
        <v>13100</v>
      </c>
    </row>
    <row r="1432" spans="1:4" ht="15" customHeight="1">
      <c r="A1432" s="93">
        <v>41101</v>
      </c>
      <c r="B1432" s="94">
        <v>12700</v>
      </c>
      <c r="C1432" s="94">
        <v>13500</v>
      </c>
      <c r="D1432" s="94">
        <f t="shared" si="83"/>
        <v>13100</v>
      </c>
    </row>
    <row r="1433" spans="1:4" ht="15" customHeight="1">
      <c r="A1433" s="93">
        <v>41102</v>
      </c>
      <c r="B1433" s="94">
        <v>12700</v>
      </c>
      <c r="C1433" s="94">
        <v>13500</v>
      </c>
      <c r="D1433" s="94">
        <f t="shared" si="83"/>
        <v>13100</v>
      </c>
    </row>
    <row r="1434" spans="1:4" ht="15" customHeight="1">
      <c r="A1434" s="93">
        <v>41103</v>
      </c>
      <c r="B1434" s="94">
        <v>12700</v>
      </c>
      <c r="C1434" s="94">
        <v>13500</v>
      </c>
      <c r="D1434" s="94">
        <f t="shared" si="83"/>
        <v>13100</v>
      </c>
    </row>
    <row r="1435" spans="1:4" ht="15" customHeight="1">
      <c r="A1435" s="93">
        <v>41106</v>
      </c>
      <c r="B1435" s="94">
        <v>12700</v>
      </c>
      <c r="C1435" s="94">
        <v>13500</v>
      </c>
      <c r="D1435" s="94">
        <f t="shared" si="83"/>
        <v>13100</v>
      </c>
    </row>
    <row r="1436" spans="1:4" ht="15" customHeight="1">
      <c r="A1436" s="93">
        <v>41107</v>
      </c>
      <c r="B1436" s="94">
        <v>12700</v>
      </c>
      <c r="C1436" s="94">
        <v>13500</v>
      </c>
      <c r="D1436" s="94">
        <f t="shared" si="83"/>
        <v>13100</v>
      </c>
    </row>
    <row r="1437" spans="1:4" ht="15" customHeight="1">
      <c r="A1437" s="93">
        <v>41108</v>
      </c>
      <c r="B1437" s="94">
        <v>12700</v>
      </c>
      <c r="C1437" s="94">
        <v>13500</v>
      </c>
      <c r="D1437" s="94">
        <f t="shared" ref="D1437:D1443" si="84">AVERAGE(B1437:C1437)</f>
        <v>13100</v>
      </c>
    </row>
    <row r="1438" spans="1:4" ht="15" customHeight="1">
      <c r="A1438" s="93">
        <v>41109</v>
      </c>
      <c r="B1438" s="94">
        <v>12700</v>
      </c>
      <c r="C1438" s="94">
        <v>13500</v>
      </c>
      <c r="D1438" s="94">
        <f t="shared" si="84"/>
        <v>13100</v>
      </c>
    </row>
    <row r="1439" spans="1:4" ht="15" customHeight="1">
      <c r="A1439" s="93">
        <v>41110</v>
      </c>
      <c r="B1439" s="94">
        <v>12700</v>
      </c>
      <c r="C1439" s="94">
        <v>13500</v>
      </c>
      <c r="D1439" s="94">
        <f t="shared" si="84"/>
        <v>13100</v>
      </c>
    </row>
    <row r="1440" spans="1:4" ht="15" customHeight="1">
      <c r="A1440" s="93">
        <v>41113</v>
      </c>
      <c r="B1440" s="94">
        <v>12700</v>
      </c>
      <c r="C1440" s="94">
        <v>13500</v>
      </c>
      <c r="D1440" s="94">
        <f t="shared" si="84"/>
        <v>13100</v>
      </c>
    </row>
    <row r="1441" spans="1:9" ht="15" customHeight="1">
      <c r="A1441" s="93">
        <v>41114</v>
      </c>
      <c r="B1441" s="94">
        <v>12700</v>
      </c>
      <c r="C1441" s="94">
        <v>13500</v>
      </c>
      <c r="D1441" s="94">
        <f t="shared" si="84"/>
        <v>13100</v>
      </c>
    </row>
    <row r="1442" spans="1:9" ht="15" customHeight="1">
      <c r="A1442" s="93">
        <v>41115</v>
      </c>
      <c r="B1442" s="84">
        <v>12700</v>
      </c>
      <c r="C1442" s="84">
        <v>13500</v>
      </c>
      <c r="D1442" s="84">
        <f t="shared" si="84"/>
        <v>13100</v>
      </c>
    </row>
    <row r="1443" spans="1:9" ht="15" customHeight="1">
      <c r="A1443" s="93">
        <v>41116</v>
      </c>
      <c r="B1443" s="84">
        <v>12700</v>
      </c>
      <c r="C1443" s="84">
        <v>13500</v>
      </c>
      <c r="D1443" s="84">
        <f t="shared" si="84"/>
        <v>13100</v>
      </c>
    </row>
    <row r="1444" spans="1:9" ht="15" customHeight="1">
      <c r="A1444" s="93">
        <v>41117</v>
      </c>
      <c r="B1444" s="84">
        <v>12000</v>
      </c>
      <c r="C1444" s="84">
        <v>13000</v>
      </c>
      <c r="D1444" s="84">
        <f t="shared" ref="D1444:D1449" si="85">AVERAGE(B1444:C1444)</f>
        <v>12500</v>
      </c>
    </row>
    <row r="1445" spans="1:9" ht="15" customHeight="1">
      <c r="A1445" s="93">
        <v>41120</v>
      </c>
      <c r="B1445" s="84">
        <v>12000</v>
      </c>
      <c r="C1445" s="84">
        <v>13000</v>
      </c>
      <c r="D1445" s="84">
        <f t="shared" si="85"/>
        <v>12500</v>
      </c>
    </row>
    <row r="1446" spans="1:9" ht="15" customHeight="1" thickBot="1">
      <c r="A1446" s="88">
        <v>41121</v>
      </c>
      <c r="B1446" s="89">
        <v>12000</v>
      </c>
      <c r="C1446" s="89">
        <v>13000</v>
      </c>
      <c r="D1446" s="89">
        <f t="shared" si="85"/>
        <v>12500</v>
      </c>
      <c r="E1446" s="240">
        <f>AVERAGE(D1425:D1446)</f>
        <v>13029.545454545454</v>
      </c>
      <c r="F1446" s="240"/>
      <c r="G1446" s="92"/>
      <c r="H1446" s="103"/>
      <c r="I1446" s="107"/>
    </row>
    <row r="1447" spans="1:9" ht="15" customHeight="1">
      <c r="A1447" s="157">
        <v>41122</v>
      </c>
      <c r="B1447" s="158">
        <v>12000</v>
      </c>
      <c r="C1447" s="158">
        <v>13000</v>
      </c>
      <c r="D1447" s="158">
        <f t="shared" si="85"/>
        <v>12500</v>
      </c>
    </row>
    <row r="1448" spans="1:9" ht="15" customHeight="1">
      <c r="A1448" s="93">
        <v>41123</v>
      </c>
      <c r="B1448" s="94">
        <v>12000</v>
      </c>
      <c r="C1448" s="94">
        <v>13000</v>
      </c>
      <c r="D1448" s="94">
        <f t="shared" si="85"/>
        <v>12500</v>
      </c>
    </row>
    <row r="1449" spans="1:9" ht="15" customHeight="1">
      <c r="A1449" s="93">
        <v>41124</v>
      </c>
      <c r="B1449" s="94">
        <v>12000</v>
      </c>
      <c r="C1449" s="94">
        <v>13000</v>
      </c>
      <c r="D1449" s="94">
        <f t="shared" si="85"/>
        <v>12500</v>
      </c>
    </row>
    <row r="1450" spans="1:9" ht="15" customHeight="1">
      <c r="A1450" s="93">
        <v>41127</v>
      </c>
      <c r="B1450" s="94">
        <v>12000</v>
      </c>
      <c r="C1450" s="94">
        <v>13000</v>
      </c>
      <c r="D1450" s="94">
        <f t="shared" ref="D1450:D1455" si="86">AVERAGE(B1450:C1450)</f>
        <v>12500</v>
      </c>
    </row>
    <row r="1451" spans="1:9" ht="15" customHeight="1">
      <c r="A1451" s="93">
        <v>41128</v>
      </c>
      <c r="B1451" s="94">
        <v>12000</v>
      </c>
      <c r="C1451" s="94">
        <v>13000</v>
      </c>
      <c r="D1451" s="94">
        <f t="shared" si="86"/>
        <v>12500</v>
      </c>
    </row>
    <row r="1452" spans="1:9" ht="15" customHeight="1">
      <c r="A1452" s="93">
        <v>41129</v>
      </c>
      <c r="B1452" s="94">
        <v>12000</v>
      </c>
      <c r="C1452" s="94">
        <v>13000</v>
      </c>
      <c r="D1452" s="94">
        <f t="shared" si="86"/>
        <v>12500</v>
      </c>
    </row>
    <row r="1453" spans="1:9" ht="15" customHeight="1">
      <c r="A1453" s="93">
        <v>41130</v>
      </c>
      <c r="B1453" s="94">
        <v>12000</v>
      </c>
      <c r="C1453" s="94">
        <v>13000</v>
      </c>
      <c r="D1453" s="94">
        <f t="shared" si="86"/>
        <v>12500</v>
      </c>
    </row>
    <row r="1454" spans="1:9" ht="15" customHeight="1">
      <c r="A1454" s="93">
        <v>41131</v>
      </c>
      <c r="B1454" s="94">
        <v>12000</v>
      </c>
      <c r="C1454" s="94">
        <v>13000</v>
      </c>
      <c r="D1454" s="94">
        <f t="shared" si="86"/>
        <v>12500</v>
      </c>
    </row>
    <row r="1455" spans="1:9" ht="15" customHeight="1">
      <c r="A1455" s="93">
        <v>41134</v>
      </c>
      <c r="B1455" s="94">
        <v>12000</v>
      </c>
      <c r="C1455" s="94">
        <v>13000</v>
      </c>
      <c r="D1455" s="94">
        <f t="shared" si="86"/>
        <v>12500</v>
      </c>
    </row>
    <row r="1456" spans="1:9" ht="15" customHeight="1">
      <c r="A1456" s="93">
        <v>41135</v>
      </c>
      <c r="B1456" s="94">
        <v>12000</v>
      </c>
      <c r="C1456" s="94">
        <v>13000</v>
      </c>
      <c r="D1456" s="94">
        <f t="shared" ref="D1456:D1461" si="87">AVERAGE(B1456:C1456)</f>
        <v>12500</v>
      </c>
    </row>
    <row r="1457" spans="1:9" ht="15" customHeight="1">
      <c r="A1457" s="93">
        <v>41136</v>
      </c>
      <c r="B1457" s="94">
        <v>12000</v>
      </c>
      <c r="C1457" s="94">
        <v>13000</v>
      </c>
      <c r="D1457" s="94">
        <f t="shared" si="87"/>
        <v>12500</v>
      </c>
    </row>
    <row r="1458" spans="1:9" ht="15" customHeight="1">
      <c r="A1458" s="93">
        <v>41137</v>
      </c>
      <c r="B1458" s="94">
        <v>12000</v>
      </c>
      <c r="C1458" s="94">
        <v>13000</v>
      </c>
      <c r="D1458" s="94">
        <f t="shared" si="87"/>
        <v>12500</v>
      </c>
    </row>
    <row r="1459" spans="1:9" ht="15" customHeight="1">
      <c r="A1459" s="93">
        <v>41138</v>
      </c>
      <c r="B1459" s="94">
        <v>12000</v>
      </c>
      <c r="C1459" s="94">
        <v>13000</v>
      </c>
      <c r="D1459" s="94">
        <f t="shared" si="87"/>
        <v>12500</v>
      </c>
    </row>
    <row r="1460" spans="1:9" ht="15" customHeight="1">
      <c r="A1460" s="93">
        <v>41141</v>
      </c>
      <c r="B1460" s="94">
        <v>12000</v>
      </c>
      <c r="C1460" s="94">
        <v>13000</v>
      </c>
      <c r="D1460" s="94">
        <f t="shared" si="87"/>
        <v>12500</v>
      </c>
    </row>
    <row r="1461" spans="1:9" ht="15" customHeight="1">
      <c r="A1461" s="93">
        <v>41142</v>
      </c>
      <c r="B1461" s="94">
        <v>12000</v>
      </c>
      <c r="C1461" s="94">
        <v>13000</v>
      </c>
      <c r="D1461" s="94">
        <f t="shared" si="87"/>
        <v>12500</v>
      </c>
    </row>
    <row r="1462" spans="1:9" ht="15" customHeight="1">
      <c r="A1462" s="93">
        <v>41143</v>
      </c>
      <c r="B1462" s="94">
        <v>12000</v>
      </c>
      <c r="C1462" s="94">
        <v>13000</v>
      </c>
      <c r="D1462" s="94">
        <f>AVERAGE(B1462:C1462)</f>
        <v>12500</v>
      </c>
    </row>
    <row r="1463" spans="1:9" ht="15" customHeight="1">
      <c r="A1463" s="93">
        <v>41144</v>
      </c>
      <c r="B1463" s="94">
        <v>12000</v>
      </c>
      <c r="C1463" s="94">
        <v>13000</v>
      </c>
      <c r="D1463" s="94">
        <f>AVERAGE(B1463:C1463)</f>
        <v>12500</v>
      </c>
    </row>
    <row r="1464" spans="1:9" ht="15" customHeight="1">
      <c r="A1464" s="93">
        <v>41145</v>
      </c>
      <c r="B1464" s="94">
        <v>12000</v>
      </c>
      <c r="C1464" s="94">
        <v>13000</v>
      </c>
      <c r="D1464" s="94">
        <f>AVERAGE(B1464:C1464)</f>
        <v>12500</v>
      </c>
    </row>
    <row r="1465" spans="1:9" ht="15" customHeight="1">
      <c r="A1465" s="93">
        <v>41148</v>
      </c>
      <c r="B1465" s="1053" t="s">
        <v>91</v>
      </c>
      <c r="C1465" s="1053"/>
      <c r="D1465" s="1053"/>
      <c r="E1465" s="1053"/>
      <c r="F1465" s="1053"/>
      <c r="G1465" s="1053"/>
      <c r="H1465" s="1053"/>
      <c r="I1465" s="1053"/>
    </row>
    <row r="1466" spans="1:9" ht="15" customHeight="1">
      <c r="A1466" s="93">
        <v>41149</v>
      </c>
      <c r="B1466" s="94">
        <v>12000</v>
      </c>
      <c r="C1466" s="94">
        <v>13000</v>
      </c>
      <c r="D1466" s="94">
        <f t="shared" ref="D1466:D1471" si="88">AVERAGE(B1466:C1466)</f>
        <v>12500</v>
      </c>
    </row>
    <row r="1467" spans="1:9" ht="15" customHeight="1">
      <c r="A1467" s="93">
        <v>41150</v>
      </c>
      <c r="B1467" s="94">
        <v>12000</v>
      </c>
      <c r="C1467" s="94">
        <v>13000</v>
      </c>
      <c r="D1467" s="94">
        <f t="shared" si="88"/>
        <v>12500</v>
      </c>
    </row>
    <row r="1468" spans="1:9" ht="15" customHeight="1">
      <c r="A1468" s="93">
        <v>41151</v>
      </c>
      <c r="B1468" s="94">
        <v>12500</v>
      </c>
      <c r="C1468" s="94">
        <v>13000</v>
      </c>
      <c r="D1468" s="94">
        <f t="shared" si="88"/>
        <v>12750</v>
      </c>
    </row>
    <row r="1469" spans="1:9" ht="15" customHeight="1" thickBot="1">
      <c r="A1469" s="88">
        <v>41152</v>
      </c>
      <c r="B1469" s="89">
        <v>12500</v>
      </c>
      <c r="C1469" s="89">
        <v>13000</v>
      </c>
      <c r="D1469" s="89">
        <f t="shared" si="88"/>
        <v>12750</v>
      </c>
      <c r="E1469" s="240">
        <f>AVERAGE(D1447:D1469)</f>
        <v>12522.727272727272</v>
      </c>
      <c r="F1469" s="240"/>
      <c r="G1469" s="92"/>
      <c r="H1469" s="103"/>
      <c r="I1469" s="107"/>
    </row>
    <row r="1470" spans="1:9" ht="15" customHeight="1">
      <c r="A1470" s="93">
        <v>41155</v>
      </c>
      <c r="B1470" s="94">
        <v>12500</v>
      </c>
      <c r="C1470" s="94">
        <v>13000</v>
      </c>
      <c r="D1470" s="94">
        <f t="shared" si="88"/>
        <v>12750</v>
      </c>
    </row>
    <row r="1471" spans="1:9" ht="15" customHeight="1">
      <c r="A1471" s="93">
        <v>41156</v>
      </c>
      <c r="B1471" s="94">
        <v>12500</v>
      </c>
      <c r="C1471" s="94">
        <v>13000</v>
      </c>
      <c r="D1471" s="94">
        <f t="shared" si="88"/>
        <v>12750</v>
      </c>
    </row>
    <row r="1472" spans="1:9" ht="15" customHeight="1">
      <c r="A1472" s="93">
        <v>41157</v>
      </c>
      <c r="B1472" s="94">
        <v>12500</v>
      </c>
      <c r="C1472" s="94">
        <v>13000</v>
      </c>
      <c r="D1472" s="94">
        <f t="shared" ref="D1472:D1478" si="89">AVERAGE(B1472:C1472)</f>
        <v>12750</v>
      </c>
    </row>
    <row r="1473" spans="1:4" ht="15" customHeight="1">
      <c r="A1473" s="93">
        <v>41158</v>
      </c>
      <c r="B1473" s="94">
        <v>12500</v>
      </c>
      <c r="C1473" s="94">
        <v>13000</v>
      </c>
      <c r="D1473" s="94">
        <f t="shared" si="89"/>
        <v>12750</v>
      </c>
    </row>
    <row r="1474" spans="1:4" ht="15" customHeight="1">
      <c r="A1474" s="93">
        <v>41159</v>
      </c>
      <c r="B1474" s="94">
        <v>12500</v>
      </c>
      <c r="C1474" s="94">
        <v>13000</v>
      </c>
      <c r="D1474" s="94">
        <f t="shared" si="89"/>
        <v>12750</v>
      </c>
    </row>
    <row r="1475" spans="1:4" ht="15" customHeight="1">
      <c r="A1475" s="93">
        <v>41162</v>
      </c>
      <c r="B1475" s="94">
        <v>12500</v>
      </c>
      <c r="C1475" s="94">
        <v>13000</v>
      </c>
      <c r="D1475" s="94">
        <f t="shared" si="89"/>
        <v>12750</v>
      </c>
    </row>
    <row r="1476" spans="1:4" ht="15" customHeight="1">
      <c r="A1476" s="93">
        <v>41163</v>
      </c>
      <c r="B1476" s="94">
        <v>12500</v>
      </c>
      <c r="C1476" s="94">
        <v>13000</v>
      </c>
      <c r="D1476" s="94">
        <f t="shared" si="89"/>
        <v>12750</v>
      </c>
    </row>
    <row r="1477" spans="1:4" ht="15" customHeight="1">
      <c r="A1477" s="93">
        <v>41164</v>
      </c>
      <c r="B1477" s="94">
        <v>12500</v>
      </c>
      <c r="C1477" s="94">
        <v>13000</v>
      </c>
      <c r="D1477" s="94">
        <f t="shared" si="89"/>
        <v>12750</v>
      </c>
    </row>
    <row r="1478" spans="1:4" ht="15" customHeight="1">
      <c r="A1478" s="93">
        <v>41165</v>
      </c>
      <c r="B1478" s="94">
        <v>12500</v>
      </c>
      <c r="C1478" s="94">
        <v>13000</v>
      </c>
      <c r="D1478" s="94">
        <f t="shared" si="89"/>
        <v>12750</v>
      </c>
    </row>
    <row r="1479" spans="1:4" ht="15" customHeight="1">
      <c r="A1479" s="93">
        <v>41166</v>
      </c>
      <c r="B1479" s="94">
        <v>12500</v>
      </c>
      <c r="C1479" s="94">
        <v>13000</v>
      </c>
      <c r="D1479" s="94">
        <f t="shared" ref="D1479:D1484" si="90">AVERAGE(B1479:C1479)</f>
        <v>12750</v>
      </c>
    </row>
    <row r="1480" spans="1:4" ht="15" customHeight="1">
      <c r="A1480" s="93">
        <v>41169</v>
      </c>
      <c r="B1480" s="94">
        <v>12500</v>
      </c>
      <c r="C1480" s="94">
        <v>13000</v>
      </c>
      <c r="D1480" s="94">
        <f t="shared" si="90"/>
        <v>12750</v>
      </c>
    </row>
    <row r="1481" spans="1:4" ht="15" customHeight="1">
      <c r="A1481" s="93">
        <v>41170</v>
      </c>
      <c r="B1481" s="94">
        <v>12500</v>
      </c>
      <c r="C1481" s="94">
        <v>13000</v>
      </c>
      <c r="D1481" s="94">
        <f t="shared" si="90"/>
        <v>12750</v>
      </c>
    </row>
    <row r="1482" spans="1:4" ht="15" customHeight="1">
      <c r="A1482" s="93">
        <v>41171</v>
      </c>
      <c r="B1482" s="94">
        <v>12500</v>
      </c>
      <c r="C1482" s="94">
        <v>13000</v>
      </c>
      <c r="D1482" s="94">
        <f t="shared" si="90"/>
        <v>12750</v>
      </c>
    </row>
    <row r="1483" spans="1:4" ht="15" customHeight="1">
      <c r="A1483" s="93">
        <v>41172</v>
      </c>
      <c r="B1483" s="94">
        <v>12500</v>
      </c>
      <c r="C1483" s="94">
        <v>13000</v>
      </c>
      <c r="D1483" s="94">
        <f t="shared" si="90"/>
        <v>12750</v>
      </c>
    </row>
    <row r="1484" spans="1:4" ht="15" customHeight="1">
      <c r="A1484" s="93">
        <v>41173</v>
      </c>
      <c r="B1484" s="94">
        <v>12500</v>
      </c>
      <c r="C1484" s="94">
        <v>12700</v>
      </c>
      <c r="D1484" s="94">
        <f t="shared" si="90"/>
        <v>12600</v>
      </c>
    </row>
    <row r="1485" spans="1:4" ht="15" customHeight="1">
      <c r="A1485" s="93">
        <v>41176</v>
      </c>
      <c r="B1485" s="94">
        <v>12500</v>
      </c>
      <c r="C1485" s="94">
        <v>12700</v>
      </c>
      <c r="D1485" s="94">
        <f t="shared" ref="D1485:D1492" si="91">AVERAGE(B1485:C1485)</f>
        <v>12600</v>
      </c>
    </row>
    <row r="1486" spans="1:4" ht="15" customHeight="1">
      <c r="A1486" s="93">
        <v>41177</v>
      </c>
      <c r="B1486" s="94">
        <v>12500</v>
      </c>
      <c r="C1486" s="94">
        <v>12700</v>
      </c>
      <c r="D1486" s="94">
        <f t="shared" si="91"/>
        <v>12600</v>
      </c>
    </row>
    <row r="1487" spans="1:4" ht="15" customHeight="1">
      <c r="A1487" s="93">
        <v>41178</v>
      </c>
      <c r="B1487" s="94">
        <v>12500</v>
      </c>
      <c r="C1487" s="94">
        <v>12700</v>
      </c>
      <c r="D1487" s="94">
        <f t="shared" si="91"/>
        <v>12600</v>
      </c>
    </row>
    <row r="1488" spans="1:4" ht="15" customHeight="1">
      <c r="A1488" s="93">
        <v>41179</v>
      </c>
      <c r="B1488" s="94">
        <v>12500</v>
      </c>
      <c r="C1488" s="94">
        <v>12700</v>
      </c>
      <c r="D1488" s="94">
        <f t="shared" si="91"/>
        <v>12600</v>
      </c>
    </row>
    <row r="1489" spans="1:9" ht="15" customHeight="1" thickBot="1">
      <c r="A1489" s="88">
        <v>41180</v>
      </c>
      <c r="B1489" s="89">
        <v>12500</v>
      </c>
      <c r="C1489" s="89">
        <v>12700</v>
      </c>
      <c r="D1489" s="89">
        <f t="shared" si="91"/>
        <v>12600</v>
      </c>
      <c r="E1489" s="240">
        <f>AVERAGE(D1470:D1489)</f>
        <v>12705</v>
      </c>
      <c r="F1489" s="240"/>
      <c r="G1489" s="92"/>
      <c r="H1489" s="103"/>
      <c r="I1489" s="107"/>
    </row>
    <row r="1490" spans="1:9" ht="15" customHeight="1">
      <c r="A1490" s="93">
        <v>41183</v>
      </c>
      <c r="B1490" s="94">
        <v>12500</v>
      </c>
      <c r="C1490" s="94">
        <v>12700</v>
      </c>
      <c r="D1490" s="94">
        <f t="shared" si="91"/>
        <v>12600</v>
      </c>
    </row>
    <row r="1491" spans="1:9" ht="15" customHeight="1">
      <c r="A1491" s="93">
        <v>41184</v>
      </c>
      <c r="B1491" s="94">
        <v>12500</v>
      </c>
      <c r="C1491" s="94">
        <v>12700</v>
      </c>
      <c r="D1491" s="94">
        <f t="shared" si="91"/>
        <v>12600</v>
      </c>
    </row>
    <row r="1492" spans="1:9" ht="15" customHeight="1">
      <c r="A1492" s="93">
        <v>41185</v>
      </c>
      <c r="B1492" s="94">
        <v>12500</v>
      </c>
      <c r="C1492" s="94">
        <v>12700</v>
      </c>
      <c r="D1492" s="94">
        <f t="shared" si="91"/>
        <v>12600</v>
      </c>
    </row>
    <row r="1493" spans="1:9" ht="15" customHeight="1">
      <c r="A1493" s="93">
        <v>41186</v>
      </c>
      <c r="B1493" s="94">
        <v>12500</v>
      </c>
      <c r="C1493" s="94">
        <v>12700</v>
      </c>
      <c r="D1493" s="94">
        <f t="shared" ref="D1493:D1498" si="92">AVERAGE(B1493:C1493)</f>
        <v>12600</v>
      </c>
    </row>
    <row r="1494" spans="1:9" ht="15" customHeight="1">
      <c r="A1494" s="93">
        <v>41187</v>
      </c>
      <c r="B1494" s="94">
        <v>12500</v>
      </c>
      <c r="C1494" s="94">
        <v>12700</v>
      </c>
      <c r="D1494" s="94">
        <f t="shared" si="92"/>
        <v>12600</v>
      </c>
    </row>
    <row r="1495" spans="1:9" ht="15" customHeight="1">
      <c r="A1495" s="93">
        <v>41190</v>
      </c>
      <c r="B1495" s="94">
        <v>12800</v>
      </c>
      <c r="C1495" s="94">
        <v>12800</v>
      </c>
      <c r="D1495" s="94">
        <f t="shared" si="92"/>
        <v>12800</v>
      </c>
    </row>
    <row r="1496" spans="1:9" ht="15" customHeight="1">
      <c r="A1496" s="93">
        <v>41191</v>
      </c>
      <c r="B1496" s="94">
        <v>12800</v>
      </c>
      <c r="C1496" s="94">
        <v>12800</v>
      </c>
      <c r="D1496" s="94">
        <f t="shared" si="92"/>
        <v>12800</v>
      </c>
    </row>
    <row r="1497" spans="1:9" ht="15" customHeight="1">
      <c r="A1497" s="93">
        <v>41192</v>
      </c>
      <c r="B1497" s="94">
        <v>12800</v>
      </c>
      <c r="C1497" s="94">
        <v>12800</v>
      </c>
      <c r="D1497" s="94">
        <f t="shared" si="92"/>
        <v>12800</v>
      </c>
    </row>
    <row r="1498" spans="1:9" ht="15" customHeight="1">
      <c r="A1498" s="93">
        <v>41193</v>
      </c>
      <c r="B1498" s="94">
        <v>12800</v>
      </c>
      <c r="C1498" s="94">
        <v>12800</v>
      </c>
      <c r="D1498" s="94">
        <f t="shared" si="92"/>
        <v>12800</v>
      </c>
    </row>
    <row r="1499" spans="1:9" ht="15" customHeight="1">
      <c r="A1499" s="93">
        <v>41194</v>
      </c>
      <c r="B1499" s="94">
        <v>12800</v>
      </c>
      <c r="C1499" s="94">
        <v>12800</v>
      </c>
      <c r="D1499" s="94">
        <f t="shared" ref="D1499:D1504" si="93">AVERAGE(B1499:C1499)</f>
        <v>12800</v>
      </c>
    </row>
    <row r="1500" spans="1:9" ht="15" customHeight="1">
      <c r="A1500" s="93">
        <v>41197</v>
      </c>
      <c r="B1500" s="94">
        <v>12700</v>
      </c>
      <c r="C1500" s="94">
        <v>12800</v>
      </c>
      <c r="D1500" s="94">
        <f t="shared" si="93"/>
        <v>12750</v>
      </c>
    </row>
    <row r="1501" spans="1:9" ht="15" customHeight="1">
      <c r="A1501" s="93">
        <v>41198</v>
      </c>
      <c r="B1501" s="94">
        <v>12700</v>
      </c>
      <c r="C1501" s="94">
        <v>12800</v>
      </c>
      <c r="D1501" s="94">
        <f t="shared" si="93"/>
        <v>12750</v>
      </c>
    </row>
    <row r="1502" spans="1:9" ht="15" customHeight="1">
      <c r="A1502" s="93">
        <v>41199</v>
      </c>
      <c r="B1502" s="94">
        <v>12700</v>
      </c>
      <c r="C1502" s="94">
        <v>12800</v>
      </c>
      <c r="D1502" s="94">
        <f t="shared" si="93"/>
        <v>12750</v>
      </c>
    </row>
    <row r="1503" spans="1:9" ht="15" customHeight="1">
      <c r="A1503" s="93">
        <v>41200</v>
      </c>
      <c r="B1503" s="94">
        <v>12700</v>
      </c>
      <c r="C1503" s="94">
        <v>12800</v>
      </c>
      <c r="D1503" s="94">
        <f t="shared" si="93"/>
        <v>12750</v>
      </c>
    </row>
    <row r="1504" spans="1:9" ht="15" customHeight="1">
      <c r="A1504" s="93">
        <v>41201</v>
      </c>
      <c r="B1504" s="94">
        <v>12700</v>
      </c>
      <c r="C1504" s="94">
        <v>12800</v>
      </c>
      <c r="D1504" s="94">
        <f t="shared" si="93"/>
        <v>12750</v>
      </c>
    </row>
    <row r="1505" spans="1:9" ht="15" customHeight="1">
      <c r="A1505" s="93">
        <v>41204</v>
      </c>
      <c r="B1505" s="94">
        <v>12700</v>
      </c>
      <c r="C1505" s="94">
        <v>12800</v>
      </c>
      <c r="D1505" s="94">
        <f t="shared" ref="D1505:D1510" si="94">AVERAGE(B1505:C1505)</f>
        <v>12750</v>
      </c>
    </row>
    <row r="1506" spans="1:9" ht="15" customHeight="1">
      <c r="A1506" s="93">
        <v>41205</v>
      </c>
      <c r="B1506" s="94">
        <v>12700</v>
      </c>
      <c r="C1506" s="94">
        <v>12800</v>
      </c>
      <c r="D1506" s="94">
        <f t="shared" si="94"/>
        <v>12750</v>
      </c>
    </row>
    <row r="1507" spans="1:9" ht="15" customHeight="1">
      <c r="A1507" s="93">
        <v>41206</v>
      </c>
      <c r="B1507" s="94">
        <v>12700</v>
      </c>
      <c r="C1507" s="94">
        <v>12800</v>
      </c>
      <c r="D1507" s="94">
        <f t="shared" si="94"/>
        <v>12750</v>
      </c>
    </row>
    <row r="1508" spans="1:9" ht="15" customHeight="1">
      <c r="A1508" s="93">
        <v>41207</v>
      </c>
      <c r="B1508" s="94">
        <v>12700</v>
      </c>
      <c r="C1508" s="94">
        <v>12800</v>
      </c>
      <c r="D1508" s="94">
        <f t="shared" si="94"/>
        <v>12750</v>
      </c>
    </row>
    <row r="1509" spans="1:9" ht="15" customHeight="1">
      <c r="A1509" s="93">
        <v>41208</v>
      </c>
      <c r="B1509" s="94">
        <v>12300</v>
      </c>
      <c r="C1509" s="94">
        <v>12500</v>
      </c>
      <c r="D1509" s="94">
        <f t="shared" si="94"/>
        <v>12400</v>
      </c>
    </row>
    <row r="1510" spans="1:9" ht="15" customHeight="1">
      <c r="A1510" s="93">
        <v>41211</v>
      </c>
      <c r="B1510" s="94">
        <v>12300</v>
      </c>
      <c r="C1510" s="94">
        <v>12500</v>
      </c>
      <c r="D1510" s="94">
        <f t="shared" si="94"/>
        <v>12400</v>
      </c>
    </row>
    <row r="1511" spans="1:9" ht="15" customHeight="1">
      <c r="A1511" s="93">
        <v>41212</v>
      </c>
      <c r="B1511" s="94">
        <v>12300</v>
      </c>
      <c r="C1511" s="94">
        <v>12500</v>
      </c>
      <c r="D1511" s="94">
        <f t="shared" ref="D1511:D1516" si="95">AVERAGE(B1511:C1511)</f>
        <v>12400</v>
      </c>
    </row>
    <row r="1512" spans="1:9" ht="15" customHeight="1" thickBot="1">
      <c r="A1512" s="88">
        <v>41213</v>
      </c>
      <c r="B1512" s="89">
        <v>12300</v>
      </c>
      <c r="C1512" s="89">
        <v>12500</v>
      </c>
      <c r="D1512" s="89">
        <f t="shared" si="95"/>
        <v>12400</v>
      </c>
      <c r="E1512" s="240">
        <f>AVERAGE(D1490:D1512)</f>
        <v>12667.391304347826</v>
      </c>
      <c r="F1512" s="240"/>
      <c r="G1512" s="92"/>
      <c r="H1512" s="103"/>
      <c r="I1512" s="107"/>
    </row>
    <row r="1513" spans="1:9" ht="15" customHeight="1">
      <c r="A1513" s="157">
        <v>41214</v>
      </c>
      <c r="B1513" s="158">
        <v>12300</v>
      </c>
      <c r="C1513" s="158">
        <v>12500</v>
      </c>
      <c r="D1513" s="158">
        <f t="shared" si="95"/>
        <v>12400</v>
      </c>
    </row>
    <row r="1514" spans="1:9" ht="15" customHeight="1">
      <c r="A1514" s="93">
        <v>41215</v>
      </c>
      <c r="B1514" s="94">
        <v>12000</v>
      </c>
      <c r="C1514" s="94">
        <v>12300</v>
      </c>
      <c r="D1514" s="94">
        <f t="shared" si="95"/>
        <v>12150</v>
      </c>
    </row>
    <row r="1515" spans="1:9" ht="15" customHeight="1">
      <c r="A1515" s="93">
        <v>41218</v>
      </c>
      <c r="B1515" s="94">
        <v>12000</v>
      </c>
      <c r="C1515" s="94">
        <v>12300</v>
      </c>
      <c r="D1515" s="94">
        <f t="shared" si="95"/>
        <v>12150</v>
      </c>
    </row>
    <row r="1516" spans="1:9" ht="15" customHeight="1">
      <c r="A1516" s="93">
        <v>41219</v>
      </c>
      <c r="B1516" s="94">
        <v>12000</v>
      </c>
      <c r="C1516" s="94">
        <v>12300</v>
      </c>
      <c r="D1516" s="94">
        <f t="shared" si="95"/>
        <v>12150</v>
      </c>
    </row>
    <row r="1517" spans="1:9" ht="15" customHeight="1">
      <c r="A1517" s="93">
        <v>41220</v>
      </c>
      <c r="B1517" s="94">
        <v>12000</v>
      </c>
      <c r="C1517" s="94">
        <v>12300</v>
      </c>
      <c r="D1517" s="94">
        <f t="shared" ref="D1517:D1522" si="96">AVERAGE(B1517:C1517)</f>
        <v>12150</v>
      </c>
    </row>
    <row r="1518" spans="1:9" ht="15" customHeight="1">
      <c r="A1518" s="93">
        <v>41221</v>
      </c>
      <c r="B1518" s="94">
        <v>12000</v>
      </c>
      <c r="C1518" s="94">
        <v>12300</v>
      </c>
      <c r="D1518" s="94">
        <f t="shared" si="96"/>
        <v>12150</v>
      </c>
    </row>
    <row r="1519" spans="1:9" ht="15" customHeight="1">
      <c r="A1519" s="93">
        <v>41222</v>
      </c>
      <c r="B1519" s="94">
        <v>12000</v>
      </c>
      <c r="C1519" s="94">
        <v>12500</v>
      </c>
      <c r="D1519" s="94">
        <f t="shared" si="96"/>
        <v>12250</v>
      </c>
    </row>
    <row r="1520" spans="1:9" ht="15" customHeight="1">
      <c r="A1520" s="93">
        <v>41225</v>
      </c>
      <c r="B1520" s="94">
        <v>12000</v>
      </c>
      <c r="C1520" s="94">
        <v>12500</v>
      </c>
      <c r="D1520" s="94">
        <f t="shared" si="96"/>
        <v>12250</v>
      </c>
    </row>
    <row r="1521" spans="1:9" ht="15" customHeight="1">
      <c r="A1521" s="93">
        <v>41226</v>
      </c>
      <c r="B1521" s="94">
        <v>12000</v>
      </c>
      <c r="C1521" s="94">
        <v>12500</v>
      </c>
      <c r="D1521" s="94">
        <f t="shared" si="96"/>
        <v>12250</v>
      </c>
    </row>
    <row r="1522" spans="1:9" ht="15" customHeight="1">
      <c r="A1522" s="93">
        <v>41227</v>
      </c>
      <c r="B1522" s="94">
        <v>12000</v>
      </c>
      <c r="C1522" s="94">
        <v>12500</v>
      </c>
      <c r="D1522" s="94">
        <f t="shared" si="96"/>
        <v>12250</v>
      </c>
    </row>
    <row r="1523" spans="1:9" ht="15" customHeight="1">
      <c r="A1523" s="93">
        <v>41228</v>
      </c>
      <c r="B1523" s="94">
        <v>12000</v>
      </c>
      <c r="C1523" s="94">
        <v>12500</v>
      </c>
      <c r="D1523" s="94">
        <f t="shared" ref="D1523:D1528" si="97">AVERAGE(B1523:C1523)</f>
        <v>12250</v>
      </c>
    </row>
    <row r="1524" spans="1:9" ht="15" customHeight="1">
      <c r="A1524" s="93">
        <v>41229</v>
      </c>
      <c r="B1524" s="94">
        <v>12100</v>
      </c>
      <c r="C1524" s="94">
        <v>12400</v>
      </c>
      <c r="D1524" s="94">
        <f t="shared" si="97"/>
        <v>12250</v>
      </c>
    </row>
    <row r="1525" spans="1:9" ht="15" customHeight="1">
      <c r="A1525" s="93">
        <v>41232</v>
      </c>
      <c r="B1525" s="94">
        <v>12100</v>
      </c>
      <c r="C1525" s="94">
        <v>12400</v>
      </c>
      <c r="D1525" s="94">
        <f t="shared" si="97"/>
        <v>12250</v>
      </c>
    </row>
    <row r="1526" spans="1:9" ht="15" customHeight="1">
      <c r="A1526" s="93">
        <v>41233</v>
      </c>
      <c r="B1526" s="94">
        <v>12100</v>
      </c>
      <c r="C1526" s="94">
        <v>12400</v>
      </c>
      <c r="D1526" s="94">
        <f t="shared" si="97"/>
        <v>12250</v>
      </c>
    </row>
    <row r="1527" spans="1:9" ht="15" customHeight="1">
      <c r="A1527" s="93">
        <v>41234</v>
      </c>
      <c r="B1527" s="94">
        <v>12100</v>
      </c>
      <c r="C1527" s="94">
        <v>12400</v>
      </c>
      <c r="D1527" s="94">
        <f t="shared" si="97"/>
        <v>12250</v>
      </c>
    </row>
    <row r="1528" spans="1:9" ht="15" customHeight="1">
      <c r="A1528" s="93">
        <v>41235</v>
      </c>
      <c r="B1528" s="94">
        <v>12100</v>
      </c>
      <c r="C1528" s="94">
        <v>12400</v>
      </c>
      <c r="D1528" s="94">
        <f t="shared" si="97"/>
        <v>12250</v>
      </c>
    </row>
    <row r="1529" spans="1:9" ht="15" customHeight="1">
      <c r="A1529" s="93">
        <v>41236</v>
      </c>
      <c r="B1529" s="94">
        <v>12100</v>
      </c>
      <c r="C1529" s="94">
        <v>12400</v>
      </c>
      <c r="D1529" s="94">
        <f t="shared" ref="D1529:D1534" si="98">AVERAGE(B1529:C1529)</f>
        <v>12250</v>
      </c>
    </row>
    <row r="1530" spans="1:9" ht="15" customHeight="1">
      <c r="A1530" s="93">
        <v>41239</v>
      </c>
      <c r="B1530" s="94">
        <v>12000</v>
      </c>
      <c r="C1530" s="94">
        <v>12400</v>
      </c>
      <c r="D1530" s="94">
        <f t="shared" si="98"/>
        <v>12200</v>
      </c>
    </row>
    <row r="1531" spans="1:9" ht="15" customHeight="1">
      <c r="A1531" s="93">
        <v>41240</v>
      </c>
      <c r="B1531" s="94">
        <v>12000</v>
      </c>
      <c r="C1531" s="94">
        <v>12400</v>
      </c>
      <c r="D1531" s="94">
        <f t="shared" si="98"/>
        <v>12200</v>
      </c>
    </row>
    <row r="1532" spans="1:9" ht="15" customHeight="1">
      <c r="A1532" s="93">
        <v>41241</v>
      </c>
      <c r="B1532" s="94">
        <v>12000</v>
      </c>
      <c r="C1532" s="94">
        <v>12400</v>
      </c>
      <c r="D1532" s="94">
        <f t="shared" si="98"/>
        <v>12200</v>
      </c>
    </row>
    <row r="1533" spans="1:9" ht="15" customHeight="1">
      <c r="A1533" s="93">
        <v>41242</v>
      </c>
      <c r="B1533" s="94">
        <v>12000</v>
      </c>
      <c r="C1533" s="94">
        <v>12400</v>
      </c>
      <c r="D1533" s="94">
        <f t="shared" si="98"/>
        <v>12200</v>
      </c>
    </row>
    <row r="1534" spans="1:9" ht="15" customHeight="1" thickBot="1">
      <c r="A1534" s="88">
        <v>41243</v>
      </c>
      <c r="B1534" s="89">
        <v>12000</v>
      </c>
      <c r="C1534" s="89">
        <v>12200</v>
      </c>
      <c r="D1534" s="89">
        <f t="shared" si="98"/>
        <v>12100</v>
      </c>
      <c r="E1534" s="240">
        <f>AVERAGE(D1513:D1534)</f>
        <v>12218.181818181818</v>
      </c>
      <c r="F1534" s="240"/>
      <c r="G1534" s="92"/>
      <c r="H1534" s="103"/>
      <c r="I1534" s="107"/>
    </row>
    <row r="1535" spans="1:9" ht="15" customHeight="1">
      <c r="A1535" s="93">
        <v>41246</v>
      </c>
      <c r="B1535" s="94">
        <v>12000</v>
      </c>
      <c r="C1535" s="94">
        <v>12200</v>
      </c>
      <c r="D1535" s="94">
        <f t="shared" ref="D1535:D1540" si="99">AVERAGE(B1535:C1535)</f>
        <v>12100</v>
      </c>
    </row>
    <row r="1536" spans="1:9" ht="15" customHeight="1">
      <c r="A1536" s="93">
        <v>41247</v>
      </c>
      <c r="B1536" s="94">
        <v>12000</v>
      </c>
      <c r="C1536" s="94">
        <v>12200</v>
      </c>
      <c r="D1536" s="94">
        <f t="shared" si="99"/>
        <v>12100</v>
      </c>
    </row>
    <row r="1537" spans="1:4" ht="15" customHeight="1">
      <c r="A1537" s="93">
        <v>41248</v>
      </c>
      <c r="B1537" s="94">
        <v>12000</v>
      </c>
      <c r="C1537" s="94">
        <v>12200</v>
      </c>
      <c r="D1537" s="94">
        <f t="shared" si="99"/>
        <v>12100</v>
      </c>
    </row>
    <row r="1538" spans="1:4" ht="15" customHeight="1">
      <c r="A1538" s="93">
        <v>41249</v>
      </c>
      <c r="B1538" s="94">
        <v>12000</v>
      </c>
      <c r="C1538" s="94">
        <v>12200</v>
      </c>
      <c r="D1538" s="94">
        <f t="shared" si="99"/>
        <v>12100</v>
      </c>
    </row>
    <row r="1539" spans="1:4" ht="15" customHeight="1">
      <c r="A1539" s="93">
        <v>41250</v>
      </c>
      <c r="B1539" s="94">
        <v>12000</v>
      </c>
      <c r="C1539" s="94">
        <v>12200</v>
      </c>
      <c r="D1539" s="94">
        <f t="shared" si="99"/>
        <v>12100</v>
      </c>
    </row>
    <row r="1540" spans="1:4" ht="15" customHeight="1">
      <c r="A1540" s="93">
        <v>41253</v>
      </c>
      <c r="B1540" s="94">
        <v>12000</v>
      </c>
      <c r="C1540" s="94">
        <v>12200</v>
      </c>
      <c r="D1540" s="94">
        <f t="shared" si="99"/>
        <v>12100</v>
      </c>
    </row>
    <row r="1541" spans="1:4" ht="15" customHeight="1">
      <c r="A1541" s="93">
        <v>41254</v>
      </c>
      <c r="B1541" s="94">
        <v>12000</v>
      </c>
      <c r="C1541" s="94">
        <v>12200</v>
      </c>
      <c r="D1541" s="94">
        <f t="shared" ref="D1541:D1554" si="100">AVERAGE(B1541:C1541)</f>
        <v>12100</v>
      </c>
    </row>
    <row r="1542" spans="1:4" ht="15" customHeight="1">
      <c r="A1542" s="93">
        <v>41255</v>
      </c>
      <c r="B1542" s="94">
        <v>12000</v>
      </c>
      <c r="C1542" s="94">
        <v>12200</v>
      </c>
      <c r="D1542" s="94">
        <f t="shared" si="100"/>
        <v>12100</v>
      </c>
    </row>
    <row r="1543" spans="1:4" ht="15" customHeight="1">
      <c r="A1543" s="93">
        <v>41256</v>
      </c>
      <c r="B1543" s="84">
        <v>12000</v>
      </c>
      <c r="C1543" s="84">
        <v>12200</v>
      </c>
      <c r="D1543" s="94">
        <f t="shared" si="100"/>
        <v>12100</v>
      </c>
    </row>
    <row r="1544" spans="1:4" ht="15" customHeight="1">
      <c r="A1544" s="93">
        <v>41257</v>
      </c>
      <c r="B1544" s="84">
        <v>12000</v>
      </c>
      <c r="C1544" s="84">
        <v>12200</v>
      </c>
      <c r="D1544" s="84">
        <f t="shared" si="100"/>
        <v>12100</v>
      </c>
    </row>
    <row r="1545" spans="1:4" ht="15" customHeight="1">
      <c r="A1545" s="93">
        <v>41260</v>
      </c>
      <c r="B1545" s="84">
        <v>12000</v>
      </c>
      <c r="C1545" s="84">
        <v>12200</v>
      </c>
      <c r="D1545" s="84">
        <f t="shared" si="100"/>
        <v>12100</v>
      </c>
    </row>
    <row r="1546" spans="1:4" ht="15" customHeight="1">
      <c r="A1546" s="93">
        <v>41261</v>
      </c>
      <c r="B1546" s="84">
        <v>12000</v>
      </c>
      <c r="C1546" s="84">
        <v>12200</v>
      </c>
      <c r="D1546" s="84">
        <f t="shared" si="100"/>
        <v>12100</v>
      </c>
    </row>
    <row r="1547" spans="1:4" ht="15" customHeight="1">
      <c r="A1547" s="93">
        <v>41262</v>
      </c>
      <c r="B1547" s="84">
        <v>12000</v>
      </c>
      <c r="C1547" s="84">
        <v>12200</v>
      </c>
      <c r="D1547" s="84">
        <f t="shared" si="100"/>
        <v>12100</v>
      </c>
    </row>
    <row r="1548" spans="1:4" ht="15" customHeight="1">
      <c r="A1548" s="93">
        <v>41263</v>
      </c>
      <c r="B1548" s="84">
        <v>12000</v>
      </c>
      <c r="C1548" s="84">
        <v>12200</v>
      </c>
      <c r="D1548" s="84">
        <f t="shared" si="100"/>
        <v>12100</v>
      </c>
    </row>
    <row r="1549" spans="1:4" ht="15" customHeight="1">
      <c r="A1549" s="93">
        <v>41264</v>
      </c>
      <c r="B1549" s="84">
        <v>12000</v>
      </c>
      <c r="C1549" s="84">
        <v>12200</v>
      </c>
      <c r="D1549" s="84">
        <f t="shared" si="100"/>
        <v>12100</v>
      </c>
    </row>
    <row r="1550" spans="1:4" ht="15" customHeight="1">
      <c r="A1550" s="93">
        <v>41267</v>
      </c>
      <c r="B1550" s="84">
        <v>12000</v>
      </c>
      <c r="C1550" s="84">
        <v>12200</v>
      </c>
      <c r="D1550" s="84">
        <f t="shared" si="100"/>
        <v>12100</v>
      </c>
    </row>
    <row r="1551" spans="1:4" ht="15" customHeight="1">
      <c r="A1551" s="93">
        <v>41268</v>
      </c>
      <c r="B1551" s="1051" t="s">
        <v>112</v>
      </c>
      <c r="C1551" s="1051"/>
      <c r="D1551" s="1051"/>
    </row>
    <row r="1552" spans="1:4" ht="15" customHeight="1">
      <c r="A1552" s="93">
        <v>41269</v>
      </c>
      <c r="B1552" s="1051" t="s">
        <v>112</v>
      </c>
      <c r="C1552" s="1051"/>
      <c r="D1552" s="1051"/>
    </row>
    <row r="1553" spans="1:9" ht="15" customHeight="1">
      <c r="A1553" s="93">
        <v>41270</v>
      </c>
      <c r="B1553" s="84">
        <v>12000</v>
      </c>
      <c r="C1553" s="84">
        <v>12200</v>
      </c>
      <c r="D1553" s="84">
        <f t="shared" si="100"/>
        <v>12100</v>
      </c>
    </row>
    <row r="1554" spans="1:9" ht="15" customHeight="1">
      <c r="A1554" s="93">
        <v>41271</v>
      </c>
      <c r="B1554" s="84">
        <v>12000</v>
      </c>
      <c r="C1554" s="84">
        <v>12200</v>
      </c>
      <c r="D1554" s="84">
        <f t="shared" si="100"/>
        <v>12100</v>
      </c>
    </row>
    <row r="1555" spans="1:9" ht="15" customHeight="1" thickBot="1">
      <c r="A1555" s="88">
        <v>41274</v>
      </c>
      <c r="B1555" s="89">
        <v>12000</v>
      </c>
      <c r="C1555" s="89">
        <v>12200</v>
      </c>
      <c r="D1555" s="89">
        <f>AVERAGE(B1555:C1555)</f>
        <v>12100</v>
      </c>
      <c r="E1555" s="240">
        <f>AVERAGE(D1535:D1555)</f>
        <v>12100</v>
      </c>
      <c r="F1555" s="240"/>
      <c r="G1555" s="92">
        <f>AVERAGE(D1490:D1555)</f>
        <v>12344.53125</v>
      </c>
      <c r="H1555" s="103"/>
      <c r="I1555" s="107"/>
    </row>
    <row r="1556" spans="1:9" ht="15" customHeight="1">
      <c r="A1556" s="93">
        <v>41275</v>
      </c>
      <c r="B1556" s="1051" t="s">
        <v>112</v>
      </c>
      <c r="C1556" s="1051"/>
      <c r="D1556" s="1051"/>
    </row>
    <row r="1557" spans="1:9" ht="15" customHeight="1">
      <c r="A1557" s="93">
        <v>41276</v>
      </c>
      <c r="B1557" s="84">
        <v>12000</v>
      </c>
      <c r="C1557" s="84">
        <v>12200</v>
      </c>
      <c r="D1557" s="84">
        <f t="shared" ref="D1557:D1562" si="101">AVERAGE(B1557:C1557)</f>
        <v>12100</v>
      </c>
      <c r="E1557" s="96"/>
      <c r="F1557" s="96"/>
    </row>
    <row r="1558" spans="1:9" ht="15" customHeight="1">
      <c r="A1558" s="93">
        <v>41277</v>
      </c>
      <c r="B1558" s="84">
        <v>12000</v>
      </c>
      <c r="C1558" s="84">
        <v>12200</v>
      </c>
      <c r="D1558" s="84">
        <f t="shared" si="101"/>
        <v>12100</v>
      </c>
      <c r="E1558"/>
      <c r="F1558" s="494"/>
    </row>
    <row r="1559" spans="1:9" ht="15" customHeight="1">
      <c r="A1559" s="93">
        <v>41278</v>
      </c>
      <c r="B1559" s="84">
        <v>12000</v>
      </c>
      <c r="C1559" s="84">
        <v>12100</v>
      </c>
      <c r="D1559" s="84">
        <f t="shared" si="101"/>
        <v>12050</v>
      </c>
      <c r="E1559"/>
      <c r="F1559" s="494"/>
    </row>
    <row r="1560" spans="1:9" ht="15" customHeight="1">
      <c r="A1560" s="93">
        <v>41281</v>
      </c>
      <c r="B1560" s="84">
        <v>12000</v>
      </c>
      <c r="C1560" s="84">
        <v>12100</v>
      </c>
      <c r="D1560" s="84">
        <f t="shared" si="101"/>
        <v>12050</v>
      </c>
      <c r="E1560"/>
      <c r="F1560" s="494"/>
    </row>
    <row r="1561" spans="1:9" ht="15" customHeight="1">
      <c r="A1561" s="93">
        <v>41282</v>
      </c>
      <c r="B1561" s="84">
        <v>12000</v>
      </c>
      <c r="C1561" s="84">
        <v>12100</v>
      </c>
      <c r="D1561" s="84">
        <f t="shared" si="101"/>
        <v>12050</v>
      </c>
      <c r="E1561" s="96"/>
      <c r="F1561" s="96"/>
    </row>
    <row r="1562" spans="1:9" ht="15" customHeight="1">
      <c r="A1562" s="93">
        <v>41283</v>
      </c>
      <c r="B1562" s="84">
        <v>12000</v>
      </c>
      <c r="C1562" s="84">
        <v>12100</v>
      </c>
      <c r="D1562" s="84">
        <f t="shared" si="101"/>
        <v>12050</v>
      </c>
      <c r="E1562" s="96"/>
      <c r="F1562" s="96"/>
    </row>
    <row r="1563" spans="1:9" ht="15" customHeight="1">
      <c r="A1563" s="93">
        <v>41284</v>
      </c>
      <c r="B1563" s="84">
        <v>12000</v>
      </c>
      <c r="C1563" s="84">
        <v>12100</v>
      </c>
      <c r="D1563" s="84">
        <f t="shared" ref="D1563:D1618" si="102">AVERAGE(B1563:C1563)</f>
        <v>12050</v>
      </c>
    </row>
    <row r="1564" spans="1:9" ht="15" customHeight="1">
      <c r="A1564" s="93">
        <v>41285</v>
      </c>
      <c r="B1564" s="84">
        <v>11500</v>
      </c>
      <c r="C1564" s="84">
        <v>11900</v>
      </c>
      <c r="D1564" s="84">
        <f t="shared" si="102"/>
        <v>11700</v>
      </c>
    </row>
    <row r="1565" spans="1:9" ht="15" customHeight="1">
      <c r="A1565" s="93">
        <v>41288</v>
      </c>
      <c r="B1565" s="84">
        <v>11500</v>
      </c>
      <c r="C1565" s="84">
        <v>11900</v>
      </c>
      <c r="D1565" s="84">
        <f t="shared" si="102"/>
        <v>11700</v>
      </c>
      <c r="E1565" s="96"/>
      <c r="F1565" s="96"/>
    </row>
    <row r="1566" spans="1:9" ht="15" customHeight="1">
      <c r="A1566" s="93">
        <v>41289</v>
      </c>
      <c r="B1566" s="84">
        <v>11500</v>
      </c>
      <c r="C1566" s="84">
        <v>11900</v>
      </c>
      <c r="D1566" s="84">
        <f t="shared" si="102"/>
        <v>11700</v>
      </c>
      <c r="E1566" s="96"/>
      <c r="F1566" s="96"/>
    </row>
    <row r="1567" spans="1:9" ht="15" customHeight="1">
      <c r="A1567" s="93">
        <v>41290</v>
      </c>
      <c r="B1567" s="84">
        <v>11500</v>
      </c>
      <c r="C1567" s="84">
        <v>11900</v>
      </c>
      <c r="D1567" s="84">
        <f t="shared" si="102"/>
        <v>11700</v>
      </c>
    </row>
    <row r="1568" spans="1:9" ht="15" customHeight="1">
      <c r="A1568" s="93">
        <v>41291</v>
      </c>
      <c r="B1568" s="84">
        <v>11500</v>
      </c>
      <c r="C1568" s="84">
        <v>11900</v>
      </c>
      <c r="D1568" s="84">
        <f t="shared" si="102"/>
        <v>11700</v>
      </c>
    </row>
    <row r="1569" spans="1:9" ht="15" customHeight="1">
      <c r="A1569" s="93">
        <v>41292</v>
      </c>
      <c r="B1569" s="84">
        <v>11000</v>
      </c>
      <c r="C1569" s="84">
        <v>11400</v>
      </c>
      <c r="D1569" s="84">
        <f>AVERAGE(B1569:C1569)</f>
        <v>11200</v>
      </c>
    </row>
    <row r="1570" spans="1:9" ht="15" customHeight="1">
      <c r="A1570" s="93">
        <v>41295</v>
      </c>
      <c r="B1570" s="84">
        <v>11000</v>
      </c>
      <c r="C1570" s="84">
        <v>11400</v>
      </c>
      <c r="D1570" s="84">
        <f t="shared" si="102"/>
        <v>11200</v>
      </c>
    </row>
    <row r="1571" spans="1:9" ht="15" customHeight="1">
      <c r="A1571" s="93">
        <v>41296</v>
      </c>
      <c r="B1571" s="84">
        <v>11000</v>
      </c>
      <c r="C1571" s="84">
        <v>11400</v>
      </c>
      <c r="D1571" s="84">
        <f t="shared" si="102"/>
        <v>11200</v>
      </c>
    </row>
    <row r="1572" spans="1:9" ht="15" customHeight="1">
      <c r="A1572" s="93">
        <v>41297</v>
      </c>
      <c r="B1572" s="84">
        <v>11000</v>
      </c>
      <c r="C1572" s="84">
        <v>11400</v>
      </c>
      <c r="D1572" s="84">
        <f t="shared" si="102"/>
        <v>11200</v>
      </c>
    </row>
    <row r="1573" spans="1:9" ht="15" customHeight="1">
      <c r="A1573" s="93">
        <v>41298</v>
      </c>
      <c r="B1573" s="84">
        <v>11000</v>
      </c>
      <c r="C1573" s="84">
        <v>11400</v>
      </c>
      <c r="D1573" s="84">
        <f t="shared" si="102"/>
        <v>11200</v>
      </c>
    </row>
    <row r="1574" spans="1:9" ht="15" customHeight="1">
      <c r="A1574" s="93">
        <v>41299</v>
      </c>
      <c r="B1574" s="84">
        <v>11000</v>
      </c>
      <c r="C1574" s="84">
        <v>11400</v>
      </c>
      <c r="D1574" s="84">
        <f t="shared" si="102"/>
        <v>11200</v>
      </c>
    </row>
    <row r="1575" spans="1:9" ht="15" customHeight="1">
      <c r="A1575" s="93">
        <v>41302</v>
      </c>
      <c r="B1575" s="84">
        <v>11000</v>
      </c>
      <c r="C1575" s="84">
        <v>11400</v>
      </c>
      <c r="D1575" s="84">
        <f t="shared" si="102"/>
        <v>11200</v>
      </c>
    </row>
    <row r="1576" spans="1:9" ht="15" customHeight="1">
      <c r="A1576" s="93">
        <v>41303</v>
      </c>
      <c r="B1576" s="84">
        <v>11000</v>
      </c>
      <c r="C1576" s="84">
        <v>11400</v>
      </c>
      <c r="D1576" s="84">
        <f t="shared" si="102"/>
        <v>11200</v>
      </c>
    </row>
    <row r="1577" spans="1:9" ht="15" customHeight="1">
      <c r="A1577" s="93">
        <v>41304</v>
      </c>
      <c r="B1577" s="84">
        <v>11000</v>
      </c>
      <c r="C1577" s="84">
        <v>11400</v>
      </c>
      <c r="D1577" s="84">
        <f t="shared" si="102"/>
        <v>11200</v>
      </c>
    </row>
    <row r="1578" spans="1:9" ht="15" customHeight="1" thickBot="1">
      <c r="A1578" s="88">
        <v>41305</v>
      </c>
      <c r="B1578" s="89">
        <v>11000</v>
      </c>
      <c r="C1578" s="89">
        <v>11400</v>
      </c>
      <c r="D1578" s="89">
        <f t="shared" si="102"/>
        <v>11200</v>
      </c>
      <c r="E1578" s="240">
        <f>AVERAGE(D1557:D1578)</f>
        <v>11588.636363636364</v>
      </c>
      <c r="F1578" s="240"/>
      <c r="G1578" s="92"/>
      <c r="H1578" s="103"/>
      <c r="I1578" s="107"/>
    </row>
    <row r="1579" spans="1:9" ht="15" customHeight="1">
      <c r="A1579" s="157">
        <v>41306</v>
      </c>
      <c r="B1579" s="84">
        <v>11400</v>
      </c>
      <c r="C1579" s="84">
        <v>12000</v>
      </c>
      <c r="D1579" s="84">
        <f t="shared" si="102"/>
        <v>11700</v>
      </c>
    </row>
    <row r="1580" spans="1:9" ht="15" customHeight="1">
      <c r="A1580" s="93">
        <v>41309</v>
      </c>
      <c r="B1580" s="84">
        <v>11400</v>
      </c>
      <c r="C1580" s="84">
        <v>12000</v>
      </c>
      <c r="D1580" s="84">
        <f t="shared" si="102"/>
        <v>11700</v>
      </c>
    </row>
    <row r="1581" spans="1:9" ht="15" customHeight="1">
      <c r="A1581" s="93">
        <v>41310</v>
      </c>
      <c r="B1581" s="84">
        <v>11400</v>
      </c>
      <c r="C1581" s="84">
        <v>12000</v>
      </c>
      <c r="D1581" s="84">
        <f t="shared" si="102"/>
        <v>11700</v>
      </c>
    </row>
    <row r="1582" spans="1:9" ht="15" customHeight="1">
      <c r="A1582" s="93">
        <v>41311</v>
      </c>
      <c r="B1582" s="84">
        <v>11400</v>
      </c>
      <c r="C1582" s="84">
        <v>12000</v>
      </c>
      <c r="D1582" s="84">
        <f t="shared" si="102"/>
        <v>11700</v>
      </c>
    </row>
    <row r="1583" spans="1:9" ht="15" customHeight="1">
      <c r="A1583" s="93">
        <v>41312</v>
      </c>
      <c r="B1583" s="84">
        <v>11400</v>
      </c>
      <c r="C1583" s="84">
        <v>12000</v>
      </c>
      <c r="D1583" s="84">
        <f t="shared" si="102"/>
        <v>11700</v>
      </c>
    </row>
    <row r="1584" spans="1:9" ht="15" customHeight="1">
      <c r="A1584" s="93">
        <v>41313</v>
      </c>
      <c r="B1584" s="84">
        <v>11400</v>
      </c>
      <c r="C1584" s="84">
        <v>12000</v>
      </c>
      <c r="D1584" s="84">
        <f t="shared" si="102"/>
        <v>11700</v>
      </c>
    </row>
    <row r="1585" spans="1:9" ht="15" customHeight="1">
      <c r="A1585" s="93">
        <v>41316</v>
      </c>
      <c r="B1585" s="84">
        <v>11400</v>
      </c>
      <c r="C1585" s="84">
        <v>12000</v>
      </c>
      <c r="D1585" s="84">
        <f t="shared" si="102"/>
        <v>11700</v>
      </c>
    </row>
    <row r="1586" spans="1:9" ht="15" customHeight="1">
      <c r="A1586" s="93">
        <v>41317</v>
      </c>
      <c r="B1586" s="84">
        <v>11400</v>
      </c>
      <c r="C1586" s="84">
        <v>12000</v>
      </c>
      <c r="D1586" s="84">
        <f t="shared" si="102"/>
        <v>11700</v>
      </c>
    </row>
    <row r="1587" spans="1:9" ht="15" customHeight="1">
      <c r="A1587" s="93">
        <v>41318</v>
      </c>
      <c r="B1587" s="84">
        <v>11400</v>
      </c>
      <c r="C1587" s="84">
        <v>12000</v>
      </c>
      <c r="D1587" s="84">
        <f t="shared" si="102"/>
        <v>11700</v>
      </c>
    </row>
    <row r="1588" spans="1:9" ht="15" customHeight="1">
      <c r="A1588" s="93">
        <v>41319</v>
      </c>
      <c r="B1588" s="84">
        <v>11400</v>
      </c>
      <c r="C1588" s="84">
        <v>12000</v>
      </c>
      <c r="D1588" s="84">
        <f t="shared" si="102"/>
        <v>11700</v>
      </c>
    </row>
    <row r="1589" spans="1:9" ht="15" customHeight="1">
      <c r="A1589" s="93">
        <v>41320</v>
      </c>
      <c r="B1589" s="84">
        <v>11400</v>
      </c>
      <c r="C1589" s="84">
        <v>12000</v>
      </c>
      <c r="D1589" s="84">
        <f t="shared" si="102"/>
        <v>11700</v>
      </c>
    </row>
    <row r="1590" spans="1:9" ht="15" customHeight="1">
      <c r="A1590" s="93">
        <v>41323</v>
      </c>
      <c r="B1590" s="84">
        <v>11400</v>
      </c>
      <c r="C1590" s="84">
        <v>12000</v>
      </c>
      <c r="D1590" s="84">
        <f t="shared" si="102"/>
        <v>11700</v>
      </c>
    </row>
    <row r="1591" spans="1:9" ht="15" customHeight="1">
      <c r="A1591" s="93">
        <v>41324</v>
      </c>
      <c r="B1591" s="84">
        <v>11400</v>
      </c>
      <c r="C1591" s="84">
        <v>12000</v>
      </c>
      <c r="D1591" s="84">
        <f t="shared" si="102"/>
        <v>11700</v>
      </c>
    </row>
    <row r="1592" spans="1:9" ht="15" customHeight="1">
      <c r="A1592" s="93">
        <v>41325</v>
      </c>
      <c r="B1592" s="84">
        <v>11400</v>
      </c>
      <c r="C1592" s="84">
        <v>12000</v>
      </c>
      <c r="D1592" s="84">
        <f t="shared" si="102"/>
        <v>11700</v>
      </c>
    </row>
    <row r="1593" spans="1:9" ht="15" customHeight="1">
      <c r="A1593" s="93">
        <v>41326</v>
      </c>
      <c r="B1593" s="84">
        <v>11400</v>
      </c>
      <c r="C1593" s="84">
        <v>12000</v>
      </c>
      <c r="D1593" s="84">
        <f t="shared" si="102"/>
        <v>11700</v>
      </c>
    </row>
    <row r="1594" spans="1:9" ht="15" customHeight="1">
      <c r="A1594" s="93">
        <v>41327</v>
      </c>
      <c r="B1594" s="84">
        <v>11500</v>
      </c>
      <c r="C1594" s="84">
        <v>12000</v>
      </c>
      <c r="D1594" s="84">
        <f t="shared" si="102"/>
        <v>11750</v>
      </c>
    </row>
    <row r="1595" spans="1:9" ht="15" customHeight="1">
      <c r="A1595" s="93">
        <v>41330</v>
      </c>
      <c r="B1595" s="84">
        <v>11500</v>
      </c>
      <c r="C1595" s="84">
        <v>12000</v>
      </c>
      <c r="D1595" s="84">
        <f t="shared" si="102"/>
        <v>11750</v>
      </c>
    </row>
    <row r="1596" spans="1:9" ht="15" customHeight="1">
      <c r="A1596" s="93">
        <v>41331</v>
      </c>
      <c r="B1596" s="84">
        <v>11500</v>
      </c>
      <c r="C1596" s="84">
        <v>12000</v>
      </c>
      <c r="D1596" s="84">
        <f t="shared" si="102"/>
        <v>11750</v>
      </c>
    </row>
    <row r="1597" spans="1:9" ht="15" customHeight="1">
      <c r="A1597" s="93">
        <v>41332</v>
      </c>
      <c r="B1597" s="84">
        <v>11500</v>
      </c>
      <c r="C1597" s="84">
        <v>12000</v>
      </c>
      <c r="D1597" s="84">
        <f t="shared" si="102"/>
        <v>11750</v>
      </c>
    </row>
    <row r="1598" spans="1:9" ht="15" customHeight="1" thickBot="1">
      <c r="A1598" s="88">
        <v>41333</v>
      </c>
      <c r="B1598" s="89">
        <v>11500</v>
      </c>
      <c r="C1598" s="89">
        <v>12000</v>
      </c>
      <c r="D1598" s="89">
        <f t="shared" si="102"/>
        <v>11750</v>
      </c>
      <c r="E1598" s="240">
        <f>AVERAGE(D1579:D1598)</f>
        <v>11712.5</v>
      </c>
      <c r="F1598" s="240"/>
      <c r="G1598" s="92"/>
      <c r="H1598" s="103"/>
      <c r="I1598" s="107"/>
    </row>
    <row r="1599" spans="1:9" ht="15" customHeight="1">
      <c r="A1599" s="93">
        <v>41334</v>
      </c>
      <c r="B1599" s="84">
        <v>10650</v>
      </c>
      <c r="C1599" s="84">
        <v>11100</v>
      </c>
      <c r="D1599" s="84">
        <f t="shared" si="102"/>
        <v>10875</v>
      </c>
    </row>
    <row r="1600" spans="1:9" ht="15" customHeight="1">
      <c r="A1600" s="93">
        <v>41337</v>
      </c>
      <c r="B1600" s="84">
        <v>10650</v>
      </c>
      <c r="C1600" s="84">
        <v>11100</v>
      </c>
      <c r="D1600" s="84">
        <f t="shared" si="102"/>
        <v>10875</v>
      </c>
    </row>
    <row r="1601" spans="1:4" ht="15" customHeight="1">
      <c r="A1601" s="93">
        <v>41338</v>
      </c>
      <c r="B1601" s="84">
        <v>10650</v>
      </c>
      <c r="C1601" s="84">
        <v>11100</v>
      </c>
      <c r="D1601" s="84">
        <f t="shared" si="102"/>
        <v>10875</v>
      </c>
    </row>
    <row r="1602" spans="1:4" ht="15" customHeight="1">
      <c r="A1602" s="93">
        <v>41339</v>
      </c>
      <c r="B1602" s="84">
        <v>10650</v>
      </c>
      <c r="C1602" s="84">
        <v>11100</v>
      </c>
      <c r="D1602" s="84">
        <f t="shared" si="102"/>
        <v>10875</v>
      </c>
    </row>
    <row r="1603" spans="1:4" ht="15" customHeight="1">
      <c r="A1603" s="93">
        <v>41340</v>
      </c>
      <c r="B1603" s="84">
        <v>10650</v>
      </c>
      <c r="C1603" s="84">
        <v>11100</v>
      </c>
      <c r="D1603" s="84">
        <f t="shared" si="102"/>
        <v>10875</v>
      </c>
    </row>
    <row r="1604" spans="1:4" ht="15" customHeight="1">
      <c r="A1604" s="93">
        <v>41341</v>
      </c>
      <c r="B1604" s="84">
        <v>10650</v>
      </c>
      <c r="C1604" s="84">
        <v>11100</v>
      </c>
      <c r="D1604" s="84">
        <f t="shared" si="102"/>
        <v>10875</v>
      </c>
    </row>
    <row r="1605" spans="1:4" ht="15" customHeight="1">
      <c r="A1605" s="93">
        <v>41344</v>
      </c>
      <c r="B1605" s="84">
        <v>10650</v>
      </c>
      <c r="C1605" s="84">
        <v>11100</v>
      </c>
      <c r="D1605" s="84">
        <f t="shared" si="102"/>
        <v>10875</v>
      </c>
    </row>
    <row r="1606" spans="1:4" ht="15" customHeight="1">
      <c r="A1606" s="93">
        <v>41345</v>
      </c>
      <c r="B1606" s="84">
        <v>10650</v>
      </c>
      <c r="C1606" s="84">
        <v>11100</v>
      </c>
      <c r="D1606" s="84">
        <f t="shared" si="102"/>
        <v>10875</v>
      </c>
    </row>
    <row r="1607" spans="1:4" ht="15" customHeight="1">
      <c r="A1607" s="93">
        <v>41346</v>
      </c>
      <c r="B1607" s="84">
        <v>10650</v>
      </c>
      <c r="C1607" s="84">
        <v>11100</v>
      </c>
      <c r="D1607" s="84">
        <f t="shared" si="102"/>
        <v>10875</v>
      </c>
    </row>
    <row r="1608" spans="1:4" ht="15" customHeight="1">
      <c r="A1608" s="93">
        <v>41347</v>
      </c>
      <c r="B1608" s="84">
        <v>10650</v>
      </c>
      <c r="C1608" s="84">
        <v>11100</v>
      </c>
      <c r="D1608" s="84">
        <f t="shared" si="102"/>
        <v>10875</v>
      </c>
    </row>
    <row r="1609" spans="1:4" ht="15" customHeight="1">
      <c r="A1609" s="93">
        <v>41348</v>
      </c>
      <c r="B1609" s="84">
        <v>10650</v>
      </c>
      <c r="C1609" s="84">
        <v>11200</v>
      </c>
      <c r="D1609" s="84">
        <f t="shared" si="102"/>
        <v>10925</v>
      </c>
    </row>
    <row r="1610" spans="1:4" ht="15" customHeight="1">
      <c r="A1610" s="93">
        <v>41351</v>
      </c>
      <c r="B1610" s="84">
        <v>10650</v>
      </c>
      <c r="C1610" s="84">
        <v>11200</v>
      </c>
      <c r="D1610" s="84">
        <f t="shared" si="102"/>
        <v>10925</v>
      </c>
    </row>
    <row r="1611" spans="1:4" ht="15" customHeight="1">
      <c r="A1611" s="93">
        <v>41352</v>
      </c>
      <c r="B1611" s="84">
        <v>10650</v>
      </c>
      <c r="C1611" s="84">
        <v>11200</v>
      </c>
      <c r="D1611" s="84">
        <f t="shared" si="102"/>
        <v>10925</v>
      </c>
    </row>
    <row r="1612" spans="1:4" ht="15" customHeight="1">
      <c r="A1612" s="93">
        <v>41353</v>
      </c>
      <c r="B1612" s="84">
        <v>10650</v>
      </c>
      <c r="C1612" s="84">
        <v>11200</v>
      </c>
      <c r="D1612" s="84">
        <f t="shared" si="102"/>
        <v>10925</v>
      </c>
    </row>
    <row r="1613" spans="1:4" ht="15" customHeight="1">
      <c r="A1613" s="93">
        <v>41354</v>
      </c>
      <c r="B1613" s="84">
        <v>10650</v>
      </c>
      <c r="C1613" s="84">
        <v>11200</v>
      </c>
      <c r="D1613" s="84">
        <f t="shared" si="102"/>
        <v>10925</v>
      </c>
    </row>
    <row r="1614" spans="1:4" ht="15" customHeight="1">
      <c r="A1614" s="93">
        <v>41355</v>
      </c>
      <c r="B1614" s="84">
        <v>10650</v>
      </c>
      <c r="C1614" s="84">
        <v>11200</v>
      </c>
      <c r="D1614" s="84">
        <f t="shared" si="102"/>
        <v>10925</v>
      </c>
    </row>
    <row r="1615" spans="1:4" ht="15" customHeight="1">
      <c r="A1615" s="93">
        <v>41358</v>
      </c>
      <c r="B1615" s="84">
        <v>10650</v>
      </c>
      <c r="C1615" s="84">
        <v>11200</v>
      </c>
      <c r="D1615" s="84">
        <f t="shared" si="102"/>
        <v>10925</v>
      </c>
    </row>
    <row r="1616" spans="1:4" ht="15" customHeight="1">
      <c r="A1616" s="93">
        <v>41359</v>
      </c>
      <c r="B1616" s="84">
        <v>10650</v>
      </c>
      <c r="C1616" s="84">
        <v>11200</v>
      </c>
      <c r="D1616" s="84">
        <f t="shared" si="102"/>
        <v>10925</v>
      </c>
    </row>
    <row r="1617" spans="1:9" ht="15" customHeight="1">
      <c r="A1617" s="93">
        <v>41360</v>
      </c>
      <c r="B1617" s="84">
        <v>10650</v>
      </c>
      <c r="C1617" s="84">
        <v>11200</v>
      </c>
      <c r="D1617" s="84">
        <f t="shared" si="102"/>
        <v>10925</v>
      </c>
    </row>
    <row r="1618" spans="1:9" ht="15" customHeight="1">
      <c r="A1618" s="93">
        <v>41361</v>
      </c>
      <c r="B1618" s="84">
        <v>10650</v>
      </c>
      <c r="C1618" s="84">
        <v>11200</v>
      </c>
      <c r="D1618" s="84">
        <f t="shared" si="102"/>
        <v>10925</v>
      </c>
      <c r="H1618" s="405"/>
    </row>
    <row r="1619" spans="1:9" ht="15" customHeight="1" thickBot="1">
      <c r="A1619" s="88">
        <v>41362</v>
      </c>
      <c r="B1619" s="1052" t="s">
        <v>112</v>
      </c>
      <c r="C1619" s="1052"/>
      <c r="D1619" s="1052"/>
      <c r="E1619" s="240">
        <f>AVERAGE(D1599:D1618)</f>
        <v>10900</v>
      </c>
      <c r="F1619" s="240"/>
      <c r="G1619" s="92"/>
      <c r="H1619" s="103"/>
      <c r="I1619" s="107"/>
    </row>
    <row r="1620" spans="1:9" ht="15" customHeight="1">
      <c r="A1620" s="93">
        <v>41365</v>
      </c>
      <c r="B1620" s="1051" t="s">
        <v>112</v>
      </c>
      <c r="C1620" s="1051"/>
      <c r="D1620" s="1051"/>
    </row>
    <row r="1621" spans="1:9" ht="15" customHeight="1">
      <c r="A1621" s="93">
        <v>41366</v>
      </c>
      <c r="B1621" s="84">
        <v>10650</v>
      </c>
      <c r="C1621" s="84">
        <v>11200</v>
      </c>
      <c r="D1621" s="84">
        <f t="shared" ref="D1621:D1688" si="103">AVERAGE(B1621:C1621)</f>
        <v>10925</v>
      </c>
    </row>
    <row r="1622" spans="1:9" ht="15" customHeight="1">
      <c r="A1622" s="93">
        <v>41367</v>
      </c>
      <c r="B1622" s="84">
        <v>10650</v>
      </c>
      <c r="C1622" s="84">
        <v>11200</v>
      </c>
      <c r="D1622" s="84">
        <f t="shared" si="103"/>
        <v>10925</v>
      </c>
    </row>
    <row r="1623" spans="1:9" ht="15" customHeight="1">
      <c r="A1623" s="93">
        <v>41368</v>
      </c>
      <c r="B1623" s="84">
        <v>10650</v>
      </c>
      <c r="C1623" s="84">
        <v>11200</v>
      </c>
      <c r="D1623" s="84">
        <f t="shared" si="103"/>
        <v>10925</v>
      </c>
    </row>
    <row r="1624" spans="1:9" ht="15" customHeight="1">
      <c r="A1624" s="93">
        <v>41369</v>
      </c>
      <c r="B1624" s="84">
        <v>10650</v>
      </c>
      <c r="C1624" s="84">
        <v>11200</v>
      </c>
      <c r="D1624" s="84">
        <f t="shared" si="103"/>
        <v>10925</v>
      </c>
    </row>
    <row r="1625" spans="1:9" ht="15" customHeight="1">
      <c r="A1625" s="93">
        <v>41372</v>
      </c>
      <c r="B1625" s="84">
        <v>10650</v>
      </c>
      <c r="C1625" s="84">
        <v>11200</v>
      </c>
      <c r="D1625" s="84">
        <f t="shared" si="103"/>
        <v>10925</v>
      </c>
    </row>
    <row r="1626" spans="1:9" ht="15" customHeight="1">
      <c r="A1626" s="93">
        <v>41373</v>
      </c>
      <c r="B1626" s="84">
        <v>10650</v>
      </c>
      <c r="C1626" s="84">
        <v>11200</v>
      </c>
      <c r="D1626" s="84">
        <f t="shared" si="103"/>
        <v>10925</v>
      </c>
    </row>
    <row r="1627" spans="1:9" ht="15" customHeight="1">
      <c r="A1627" s="93">
        <v>41374</v>
      </c>
      <c r="B1627" s="84">
        <v>10650</v>
      </c>
      <c r="C1627" s="84">
        <v>11200</v>
      </c>
      <c r="D1627" s="84">
        <f t="shared" si="103"/>
        <v>10925</v>
      </c>
    </row>
    <row r="1628" spans="1:9" ht="15" customHeight="1">
      <c r="A1628" s="93">
        <v>41375</v>
      </c>
      <c r="B1628" s="84">
        <v>10650</v>
      </c>
      <c r="C1628" s="84">
        <v>11200</v>
      </c>
      <c r="D1628" s="84">
        <f t="shared" si="103"/>
        <v>10925</v>
      </c>
    </row>
    <row r="1629" spans="1:9" ht="15" customHeight="1">
      <c r="A1629" s="93">
        <v>41376</v>
      </c>
      <c r="B1629" s="84">
        <v>10650</v>
      </c>
      <c r="C1629" s="84">
        <v>11200</v>
      </c>
      <c r="D1629" s="84">
        <f t="shared" si="103"/>
        <v>10925</v>
      </c>
    </row>
    <row r="1630" spans="1:9" ht="15" customHeight="1">
      <c r="A1630" s="93">
        <v>41379</v>
      </c>
      <c r="B1630" s="84">
        <v>10650</v>
      </c>
      <c r="C1630" s="84">
        <v>11200</v>
      </c>
      <c r="D1630" s="84">
        <f t="shared" si="103"/>
        <v>10925</v>
      </c>
    </row>
    <row r="1631" spans="1:9" ht="15" customHeight="1">
      <c r="A1631" s="93">
        <v>41380</v>
      </c>
      <c r="B1631" s="84">
        <v>10650</v>
      </c>
      <c r="C1631" s="84">
        <v>11200</v>
      </c>
      <c r="D1631" s="84">
        <f t="shared" si="103"/>
        <v>10925</v>
      </c>
    </row>
    <row r="1632" spans="1:9" ht="15" customHeight="1">
      <c r="A1632" s="93">
        <v>41381</v>
      </c>
      <c r="B1632" s="84">
        <v>10650</v>
      </c>
      <c r="C1632" s="84">
        <v>11200</v>
      </c>
      <c r="D1632" s="84">
        <f t="shared" si="103"/>
        <v>10925</v>
      </c>
    </row>
    <row r="1633" spans="1:9" ht="15" customHeight="1">
      <c r="A1633" s="93">
        <v>41382</v>
      </c>
      <c r="B1633" s="84">
        <v>10650</v>
      </c>
      <c r="C1633" s="84">
        <v>11200</v>
      </c>
      <c r="D1633" s="84">
        <f t="shared" si="103"/>
        <v>10925</v>
      </c>
    </row>
    <row r="1634" spans="1:9" ht="15" customHeight="1">
      <c r="A1634" s="93">
        <v>41383</v>
      </c>
      <c r="B1634" s="84">
        <v>10400</v>
      </c>
      <c r="C1634" s="84">
        <v>10850</v>
      </c>
      <c r="D1634" s="84">
        <f t="shared" si="103"/>
        <v>10625</v>
      </c>
    </row>
    <row r="1635" spans="1:9" ht="15" customHeight="1">
      <c r="A1635" s="93">
        <v>41386</v>
      </c>
      <c r="B1635" s="84">
        <v>10400</v>
      </c>
      <c r="C1635" s="84">
        <v>10850</v>
      </c>
      <c r="D1635" s="84">
        <f t="shared" si="103"/>
        <v>10625</v>
      </c>
    </row>
    <row r="1636" spans="1:9" ht="15" customHeight="1">
      <c r="A1636" s="93">
        <v>41387</v>
      </c>
      <c r="B1636" s="84">
        <v>10400</v>
      </c>
      <c r="C1636" s="84">
        <v>10850</v>
      </c>
      <c r="D1636" s="84">
        <f t="shared" si="103"/>
        <v>10625</v>
      </c>
    </row>
    <row r="1637" spans="1:9" ht="15" customHeight="1">
      <c r="A1637" s="93">
        <v>41388</v>
      </c>
      <c r="B1637" s="84">
        <v>10400</v>
      </c>
      <c r="C1637" s="84">
        <v>10850</v>
      </c>
      <c r="D1637" s="84">
        <f t="shared" si="103"/>
        <v>10625</v>
      </c>
    </row>
    <row r="1638" spans="1:9" ht="15" customHeight="1">
      <c r="A1638" s="93">
        <v>41389</v>
      </c>
      <c r="B1638" s="84">
        <v>10400</v>
      </c>
      <c r="C1638" s="84">
        <v>10850</v>
      </c>
      <c r="D1638" s="84">
        <f t="shared" si="103"/>
        <v>10625</v>
      </c>
    </row>
    <row r="1639" spans="1:9" ht="15" customHeight="1">
      <c r="A1639" s="93">
        <v>41390</v>
      </c>
      <c r="B1639" s="84">
        <v>10300</v>
      </c>
      <c r="C1639" s="84">
        <v>10800</v>
      </c>
      <c r="D1639" s="84">
        <f t="shared" si="103"/>
        <v>10550</v>
      </c>
    </row>
    <row r="1640" spans="1:9" ht="15" customHeight="1">
      <c r="A1640" s="93">
        <v>41393</v>
      </c>
      <c r="B1640" s="84">
        <v>10300</v>
      </c>
      <c r="C1640" s="84">
        <v>10800</v>
      </c>
      <c r="D1640" s="84">
        <f t="shared" si="103"/>
        <v>10550</v>
      </c>
    </row>
    <row r="1641" spans="1:9" ht="15" customHeight="1" thickBot="1">
      <c r="A1641" s="88">
        <v>41394</v>
      </c>
      <c r="B1641" s="89">
        <v>10300</v>
      </c>
      <c r="C1641" s="89">
        <v>10800</v>
      </c>
      <c r="D1641" s="89">
        <f t="shared" si="103"/>
        <v>10550</v>
      </c>
      <c r="E1641" s="240">
        <f>AVERAGE(D1620:D1641)</f>
        <v>10800</v>
      </c>
      <c r="F1641" s="240"/>
      <c r="G1641" s="92"/>
      <c r="H1641" s="103"/>
      <c r="I1641" s="107"/>
    </row>
    <row r="1642" spans="1:9" ht="15" customHeight="1">
      <c r="A1642" s="83">
        <v>41395</v>
      </c>
      <c r="B1642" s="84">
        <v>10300</v>
      </c>
      <c r="C1642" s="84">
        <v>10800</v>
      </c>
      <c r="D1642" s="84">
        <f t="shared" si="103"/>
        <v>10550</v>
      </c>
    </row>
    <row r="1643" spans="1:9" ht="15" customHeight="1">
      <c r="A1643" s="83">
        <v>41396</v>
      </c>
      <c r="B1643" s="84">
        <v>10300</v>
      </c>
      <c r="C1643" s="84">
        <v>10800</v>
      </c>
      <c r="D1643" s="84">
        <f t="shared" si="103"/>
        <v>10550</v>
      </c>
    </row>
    <row r="1644" spans="1:9" ht="15" customHeight="1">
      <c r="A1644" s="83">
        <v>41397</v>
      </c>
      <c r="B1644" s="84">
        <v>10300</v>
      </c>
      <c r="C1644" s="84">
        <v>10500</v>
      </c>
      <c r="D1644" s="84">
        <f t="shared" si="103"/>
        <v>10400</v>
      </c>
      <c r="E1644" s="96"/>
      <c r="F1644" s="96"/>
    </row>
    <row r="1645" spans="1:9" ht="15" customHeight="1">
      <c r="A1645" s="83">
        <v>41400</v>
      </c>
      <c r="B1645" s="1051" t="s">
        <v>112</v>
      </c>
      <c r="C1645" s="1051"/>
      <c r="D1645" s="1051"/>
      <c r="E1645" s="96"/>
      <c r="F1645" s="96"/>
    </row>
    <row r="1646" spans="1:9" ht="15" customHeight="1">
      <c r="A1646" s="83">
        <v>41401</v>
      </c>
      <c r="B1646" s="84">
        <v>10300</v>
      </c>
      <c r="C1646" s="84">
        <v>10500</v>
      </c>
      <c r="D1646" s="84">
        <f t="shared" si="103"/>
        <v>10400</v>
      </c>
    </row>
    <row r="1647" spans="1:9" ht="15" customHeight="1">
      <c r="A1647" s="83">
        <v>41402</v>
      </c>
      <c r="B1647" s="84">
        <v>10300</v>
      </c>
      <c r="C1647" s="84">
        <v>10500</v>
      </c>
      <c r="D1647" s="84">
        <f t="shared" si="103"/>
        <v>10400</v>
      </c>
    </row>
    <row r="1648" spans="1:9" ht="15" customHeight="1">
      <c r="A1648" s="83">
        <v>41403</v>
      </c>
      <c r="B1648" s="84">
        <v>10300</v>
      </c>
      <c r="C1648" s="84">
        <v>10500</v>
      </c>
      <c r="D1648" s="84">
        <f t="shared" si="103"/>
        <v>10400</v>
      </c>
    </row>
    <row r="1649" spans="1:9" ht="15" customHeight="1">
      <c r="A1649" s="83">
        <v>41404</v>
      </c>
      <c r="B1649" s="84">
        <v>10300</v>
      </c>
      <c r="C1649" s="84">
        <v>10500</v>
      </c>
      <c r="D1649" s="84">
        <f t="shared" si="103"/>
        <v>10400</v>
      </c>
    </row>
    <row r="1650" spans="1:9" ht="15" customHeight="1">
      <c r="A1650" s="83">
        <v>41407</v>
      </c>
      <c r="B1650" s="84">
        <v>10300</v>
      </c>
      <c r="C1650" s="84">
        <v>10500</v>
      </c>
      <c r="D1650" s="84">
        <f t="shared" si="103"/>
        <v>10400</v>
      </c>
    </row>
    <row r="1651" spans="1:9" ht="15" customHeight="1">
      <c r="A1651" s="83">
        <v>41408</v>
      </c>
      <c r="B1651" s="84">
        <v>10300</v>
      </c>
      <c r="C1651" s="84">
        <v>10500</v>
      </c>
      <c r="D1651" s="84">
        <f t="shared" si="103"/>
        <v>10400</v>
      </c>
    </row>
    <row r="1652" spans="1:9" ht="15" customHeight="1">
      <c r="A1652" s="83">
        <v>41409</v>
      </c>
      <c r="B1652" s="84">
        <v>10300</v>
      </c>
      <c r="C1652" s="84">
        <v>10500</v>
      </c>
      <c r="D1652" s="84">
        <f t="shared" si="103"/>
        <v>10400</v>
      </c>
    </row>
    <row r="1653" spans="1:9" ht="15" customHeight="1">
      <c r="A1653" s="83">
        <v>41410</v>
      </c>
      <c r="B1653" s="84">
        <v>10300</v>
      </c>
      <c r="C1653" s="84">
        <v>10500</v>
      </c>
      <c r="D1653" s="84">
        <f t="shared" si="103"/>
        <v>10400</v>
      </c>
    </row>
    <row r="1654" spans="1:9" ht="15" customHeight="1">
      <c r="A1654" s="83">
        <v>41411</v>
      </c>
      <c r="B1654" s="84">
        <v>10300</v>
      </c>
      <c r="C1654" s="84">
        <v>10500</v>
      </c>
      <c r="D1654" s="84">
        <f t="shared" si="103"/>
        <v>10400</v>
      </c>
    </row>
    <row r="1655" spans="1:9" ht="15" customHeight="1">
      <c r="A1655" s="83">
        <v>41414</v>
      </c>
      <c r="B1655" s="84">
        <v>10300</v>
      </c>
      <c r="C1655" s="84">
        <v>10500</v>
      </c>
      <c r="D1655" s="84">
        <f t="shared" si="103"/>
        <v>10400</v>
      </c>
    </row>
    <row r="1656" spans="1:9" ht="15" customHeight="1">
      <c r="A1656" s="83">
        <v>41415</v>
      </c>
      <c r="B1656" s="84">
        <v>10300</v>
      </c>
      <c r="C1656" s="84">
        <v>10500</v>
      </c>
      <c r="D1656" s="84">
        <f t="shared" si="103"/>
        <v>10400</v>
      </c>
    </row>
    <row r="1657" spans="1:9" ht="15" customHeight="1">
      <c r="A1657" s="83">
        <v>41416</v>
      </c>
      <c r="B1657" s="84">
        <v>10300</v>
      </c>
      <c r="C1657" s="84">
        <v>10500</v>
      </c>
      <c r="D1657" s="84">
        <f t="shared" si="103"/>
        <v>10400</v>
      </c>
    </row>
    <row r="1658" spans="1:9" ht="15" customHeight="1">
      <c r="A1658" s="83">
        <v>41417</v>
      </c>
      <c r="B1658" s="84">
        <v>10300</v>
      </c>
      <c r="C1658" s="84">
        <v>10500</v>
      </c>
      <c r="D1658" s="84">
        <f t="shared" si="103"/>
        <v>10400</v>
      </c>
    </row>
    <row r="1659" spans="1:9" ht="15" customHeight="1">
      <c r="A1659" s="83">
        <v>41418</v>
      </c>
      <c r="B1659" s="84">
        <v>10300</v>
      </c>
      <c r="C1659" s="84">
        <v>10500</v>
      </c>
      <c r="D1659" s="84">
        <f t="shared" si="103"/>
        <v>10400</v>
      </c>
    </row>
    <row r="1660" spans="1:9" ht="15" customHeight="1">
      <c r="A1660" s="83">
        <v>41421</v>
      </c>
      <c r="B1660" s="1051" t="s">
        <v>112</v>
      </c>
      <c r="C1660" s="1051"/>
      <c r="D1660" s="1051"/>
    </row>
    <row r="1661" spans="1:9" ht="15" customHeight="1">
      <c r="A1661" s="83">
        <v>41422</v>
      </c>
      <c r="B1661" s="84">
        <v>10300</v>
      </c>
      <c r="C1661" s="84">
        <v>10500</v>
      </c>
      <c r="D1661" s="84">
        <f t="shared" si="103"/>
        <v>10400</v>
      </c>
    </row>
    <row r="1662" spans="1:9" ht="15" customHeight="1">
      <c r="A1662" s="83">
        <v>41423</v>
      </c>
      <c r="B1662" s="84">
        <v>10300</v>
      </c>
      <c r="C1662" s="84">
        <v>10500</v>
      </c>
      <c r="D1662" s="84">
        <f t="shared" si="103"/>
        <v>10400</v>
      </c>
    </row>
    <row r="1663" spans="1:9" ht="15" customHeight="1">
      <c r="A1663" s="83">
        <v>41424</v>
      </c>
      <c r="B1663" s="84">
        <v>10300</v>
      </c>
      <c r="C1663" s="84">
        <v>10500</v>
      </c>
      <c r="D1663" s="84">
        <f t="shared" si="103"/>
        <v>10400</v>
      </c>
    </row>
    <row r="1664" spans="1:9" ht="15" customHeight="1" thickBot="1">
      <c r="A1664" s="88">
        <v>41425</v>
      </c>
      <c r="B1664" s="89">
        <v>10300</v>
      </c>
      <c r="C1664" s="89">
        <v>10500</v>
      </c>
      <c r="D1664" s="89">
        <f t="shared" si="103"/>
        <v>10400</v>
      </c>
      <c r="E1664" s="240">
        <f>AVERAGE(D1642:D1664)</f>
        <v>10414.285714285714</v>
      </c>
      <c r="F1664" s="240"/>
      <c r="G1664" s="92"/>
      <c r="H1664" s="103"/>
      <c r="I1664" s="107"/>
    </row>
    <row r="1665" spans="1:6" ht="15" customHeight="1">
      <c r="A1665" s="83">
        <v>41428</v>
      </c>
      <c r="B1665" s="84">
        <v>10300</v>
      </c>
      <c r="C1665" s="84">
        <v>10500</v>
      </c>
      <c r="D1665" s="84">
        <f t="shared" si="103"/>
        <v>10400</v>
      </c>
    </row>
    <row r="1666" spans="1:6" ht="15" customHeight="1">
      <c r="A1666" s="83">
        <v>41429</v>
      </c>
      <c r="B1666" s="84">
        <v>10300</v>
      </c>
      <c r="C1666" s="84">
        <v>10500</v>
      </c>
      <c r="D1666" s="84">
        <f t="shared" si="103"/>
        <v>10400</v>
      </c>
    </row>
    <row r="1667" spans="1:6" ht="15" customHeight="1">
      <c r="A1667" s="83">
        <v>41430</v>
      </c>
      <c r="B1667" s="84">
        <v>10300</v>
      </c>
      <c r="C1667" s="84">
        <v>10500</v>
      </c>
      <c r="D1667" s="84">
        <f t="shared" si="103"/>
        <v>10400</v>
      </c>
    </row>
    <row r="1668" spans="1:6" ht="15" customHeight="1">
      <c r="A1668" s="83">
        <v>41431</v>
      </c>
      <c r="B1668" s="458">
        <v>10300</v>
      </c>
      <c r="C1668" s="458">
        <v>10500</v>
      </c>
      <c r="D1668" s="458">
        <f t="shared" si="103"/>
        <v>10400</v>
      </c>
    </row>
    <row r="1669" spans="1:6" ht="15" customHeight="1">
      <c r="A1669" s="83">
        <v>41432</v>
      </c>
      <c r="B1669" s="458">
        <v>10300</v>
      </c>
      <c r="C1669" s="458">
        <v>10500</v>
      </c>
      <c r="D1669" s="458">
        <f t="shared" si="103"/>
        <v>10400</v>
      </c>
    </row>
    <row r="1670" spans="1:6" ht="15" customHeight="1">
      <c r="A1670" s="83">
        <v>41435</v>
      </c>
      <c r="B1670" s="84">
        <v>10300</v>
      </c>
      <c r="C1670" s="84">
        <v>10500</v>
      </c>
      <c r="D1670" s="84">
        <f t="shared" si="103"/>
        <v>10400</v>
      </c>
    </row>
    <row r="1671" spans="1:6" ht="15" customHeight="1">
      <c r="A1671" s="83">
        <v>41436</v>
      </c>
      <c r="B1671" s="84">
        <v>10000</v>
      </c>
      <c r="C1671" s="84">
        <v>10300</v>
      </c>
      <c r="D1671" s="84">
        <f t="shared" si="103"/>
        <v>10150</v>
      </c>
    </row>
    <row r="1672" spans="1:6" ht="15" customHeight="1">
      <c r="A1672" s="83">
        <v>41437</v>
      </c>
      <c r="B1672" s="84">
        <v>10000</v>
      </c>
      <c r="C1672" s="84">
        <v>10300</v>
      </c>
      <c r="D1672" s="84">
        <f t="shared" si="103"/>
        <v>10150</v>
      </c>
    </row>
    <row r="1673" spans="1:6" ht="15" customHeight="1">
      <c r="A1673" s="83">
        <v>41438</v>
      </c>
      <c r="B1673" s="84">
        <v>10000</v>
      </c>
      <c r="C1673" s="84">
        <v>10300</v>
      </c>
      <c r="D1673" s="84">
        <f t="shared" si="103"/>
        <v>10150</v>
      </c>
    </row>
    <row r="1674" spans="1:6" ht="15" customHeight="1">
      <c r="A1674" s="83">
        <v>41439</v>
      </c>
      <c r="B1674" s="84">
        <v>10000</v>
      </c>
      <c r="C1674" s="84">
        <v>10300</v>
      </c>
      <c r="D1674" s="84">
        <f t="shared" si="103"/>
        <v>10150</v>
      </c>
    </row>
    <row r="1675" spans="1:6" ht="15" customHeight="1">
      <c r="A1675" s="83">
        <v>41442</v>
      </c>
      <c r="B1675" s="84">
        <v>10000</v>
      </c>
      <c r="C1675" s="84">
        <v>10300</v>
      </c>
      <c r="D1675" s="84">
        <f t="shared" si="103"/>
        <v>10150</v>
      </c>
    </row>
    <row r="1676" spans="1:6" ht="15" customHeight="1">
      <c r="A1676" s="83">
        <v>41443</v>
      </c>
      <c r="B1676" s="84">
        <v>10000</v>
      </c>
      <c r="C1676" s="84">
        <v>10300</v>
      </c>
      <c r="D1676" s="84">
        <f t="shared" si="103"/>
        <v>10150</v>
      </c>
    </row>
    <row r="1677" spans="1:6" ht="15" customHeight="1">
      <c r="A1677" s="83">
        <v>41444</v>
      </c>
      <c r="B1677" s="84">
        <v>10000</v>
      </c>
      <c r="C1677" s="84">
        <v>10300</v>
      </c>
      <c r="D1677" s="84">
        <f t="shared" si="103"/>
        <v>10150</v>
      </c>
      <c r="E1677" s="96"/>
      <c r="F1677" s="96"/>
    </row>
    <row r="1678" spans="1:6" ht="15" customHeight="1">
      <c r="A1678" s="83">
        <v>41445</v>
      </c>
      <c r="B1678" s="84">
        <v>10000</v>
      </c>
      <c r="C1678" s="84">
        <v>10300</v>
      </c>
      <c r="D1678" s="84">
        <f t="shared" si="103"/>
        <v>10150</v>
      </c>
    </row>
    <row r="1679" spans="1:6" ht="15" customHeight="1">
      <c r="A1679" s="83">
        <v>41446</v>
      </c>
      <c r="B1679" s="84">
        <v>10000</v>
      </c>
      <c r="C1679" s="84">
        <v>10200</v>
      </c>
      <c r="D1679" s="84">
        <f t="shared" si="103"/>
        <v>10100</v>
      </c>
    </row>
    <row r="1680" spans="1:6" ht="15" customHeight="1">
      <c r="A1680" s="83">
        <v>41449</v>
      </c>
      <c r="B1680" s="84">
        <v>10000</v>
      </c>
      <c r="C1680" s="84">
        <v>10200</v>
      </c>
      <c r="D1680" s="84">
        <f t="shared" si="103"/>
        <v>10100</v>
      </c>
    </row>
    <row r="1681" spans="1:9" ht="15" customHeight="1">
      <c r="A1681" s="83">
        <v>41450</v>
      </c>
      <c r="B1681" s="84">
        <v>10000</v>
      </c>
      <c r="C1681" s="84">
        <v>10200</v>
      </c>
      <c r="D1681" s="84">
        <f t="shared" si="103"/>
        <v>10100</v>
      </c>
    </row>
    <row r="1682" spans="1:9" ht="15" customHeight="1">
      <c r="A1682" s="83">
        <v>41451</v>
      </c>
      <c r="B1682" s="84">
        <v>10000</v>
      </c>
      <c r="C1682" s="84">
        <v>10200</v>
      </c>
      <c r="D1682" s="84">
        <f t="shared" si="103"/>
        <v>10100</v>
      </c>
    </row>
    <row r="1683" spans="1:9" ht="15" customHeight="1">
      <c r="A1683" s="83">
        <v>41452</v>
      </c>
      <c r="B1683" s="84">
        <v>10000</v>
      </c>
      <c r="C1683" s="84">
        <v>10200</v>
      </c>
      <c r="D1683" s="84">
        <f t="shared" si="103"/>
        <v>10100</v>
      </c>
    </row>
    <row r="1684" spans="1:9" ht="15" customHeight="1" thickBot="1">
      <c r="A1684" s="88">
        <v>41453</v>
      </c>
      <c r="B1684" s="89">
        <v>10000</v>
      </c>
      <c r="C1684" s="89">
        <v>10200</v>
      </c>
      <c r="D1684" s="89">
        <f t="shared" si="103"/>
        <v>10100</v>
      </c>
      <c r="E1684" s="240">
        <f>AVERAGE(D1665:D1684)</f>
        <v>10210</v>
      </c>
      <c r="F1684" s="240"/>
      <c r="G1684" s="92"/>
      <c r="H1684" s="103"/>
      <c r="I1684" s="107"/>
    </row>
    <row r="1685" spans="1:9" ht="15" customHeight="1">
      <c r="A1685" s="157">
        <v>41456</v>
      </c>
      <c r="B1685" s="84">
        <v>10000</v>
      </c>
      <c r="C1685" s="84">
        <v>10200</v>
      </c>
      <c r="D1685" s="84">
        <f t="shared" si="103"/>
        <v>10100</v>
      </c>
    </row>
    <row r="1686" spans="1:9" ht="15" customHeight="1">
      <c r="A1686" s="93">
        <v>41457</v>
      </c>
      <c r="B1686" s="94">
        <v>10000</v>
      </c>
      <c r="C1686" s="94">
        <v>10200</v>
      </c>
      <c r="D1686" s="84">
        <f t="shared" si="103"/>
        <v>10100</v>
      </c>
    </row>
    <row r="1687" spans="1:9" ht="15" customHeight="1">
      <c r="A1687" s="93">
        <v>41458</v>
      </c>
      <c r="B1687" s="94">
        <v>10000</v>
      </c>
      <c r="C1687" s="94">
        <v>10200</v>
      </c>
      <c r="D1687" s="84">
        <f t="shared" si="103"/>
        <v>10100</v>
      </c>
    </row>
    <row r="1688" spans="1:9" ht="15" customHeight="1">
      <c r="A1688" s="93">
        <v>41459</v>
      </c>
      <c r="B1688" s="94">
        <v>10000</v>
      </c>
      <c r="C1688" s="94">
        <v>10200</v>
      </c>
      <c r="D1688" s="84">
        <f t="shared" si="103"/>
        <v>10100</v>
      </c>
    </row>
    <row r="1689" spans="1:9" ht="15" customHeight="1">
      <c r="A1689" s="93">
        <v>41460</v>
      </c>
      <c r="B1689" s="84">
        <v>10000</v>
      </c>
      <c r="C1689" s="84">
        <v>10200</v>
      </c>
      <c r="D1689" s="84">
        <f>AVERAGE(B1689:C1689)</f>
        <v>10100</v>
      </c>
    </row>
    <row r="1690" spans="1:9" ht="15" customHeight="1">
      <c r="A1690" s="93">
        <v>41463</v>
      </c>
      <c r="B1690" s="84">
        <v>10000</v>
      </c>
      <c r="C1690" s="84">
        <v>10200</v>
      </c>
      <c r="D1690" s="84">
        <f>AVERAGE(B1690:C1690)</f>
        <v>10100</v>
      </c>
    </row>
    <row r="1691" spans="1:9" ht="15" customHeight="1">
      <c r="A1691" s="93">
        <v>41464</v>
      </c>
      <c r="B1691" s="84">
        <v>10000</v>
      </c>
      <c r="C1691" s="84">
        <v>10200</v>
      </c>
      <c r="D1691" s="84">
        <f>AVERAGE(B1691:C1691)</f>
        <v>10100</v>
      </c>
    </row>
    <row r="1692" spans="1:9" ht="15" customHeight="1">
      <c r="A1692" s="93">
        <v>41465</v>
      </c>
      <c r="B1692" s="84">
        <v>10000</v>
      </c>
      <c r="C1692" s="84">
        <v>10200</v>
      </c>
      <c r="D1692" s="84">
        <f>AVERAGE(B1692:C1692)</f>
        <v>10100</v>
      </c>
    </row>
    <row r="1693" spans="1:9" ht="15" customHeight="1">
      <c r="A1693" s="93">
        <v>41466</v>
      </c>
      <c r="B1693" s="84">
        <v>10000</v>
      </c>
      <c r="C1693" s="84">
        <v>10100</v>
      </c>
      <c r="D1693" s="84">
        <f t="shared" ref="D1693:D1703" si="104">AVERAGE(B1693:C1693)</f>
        <v>10050</v>
      </c>
    </row>
    <row r="1694" spans="1:9" ht="15" customHeight="1">
      <c r="A1694" s="93">
        <v>41467</v>
      </c>
      <c r="B1694" s="84">
        <v>10000</v>
      </c>
      <c r="C1694" s="84">
        <v>10100</v>
      </c>
      <c r="D1694" s="84">
        <f t="shared" si="104"/>
        <v>10050</v>
      </c>
    </row>
    <row r="1695" spans="1:9" ht="15" customHeight="1">
      <c r="A1695" s="93">
        <v>41470</v>
      </c>
      <c r="B1695" s="84">
        <v>10000</v>
      </c>
      <c r="C1695" s="84">
        <v>10100</v>
      </c>
      <c r="D1695" s="84">
        <f t="shared" si="104"/>
        <v>10050</v>
      </c>
    </row>
    <row r="1696" spans="1:9" ht="15" customHeight="1">
      <c r="A1696" s="93">
        <v>41471</v>
      </c>
      <c r="B1696" s="84">
        <v>10000</v>
      </c>
      <c r="C1696" s="84">
        <v>10100</v>
      </c>
      <c r="D1696" s="84">
        <f t="shared" si="104"/>
        <v>10050</v>
      </c>
    </row>
    <row r="1697" spans="1:9" ht="15" customHeight="1">
      <c r="A1697" s="93">
        <v>41472</v>
      </c>
      <c r="B1697" s="84">
        <v>10000</v>
      </c>
      <c r="C1697" s="84">
        <v>10100</v>
      </c>
      <c r="D1697" s="84">
        <f t="shared" si="104"/>
        <v>10050</v>
      </c>
    </row>
    <row r="1698" spans="1:9" ht="15" customHeight="1">
      <c r="A1698" s="93">
        <v>41473</v>
      </c>
      <c r="B1698" s="84">
        <v>9100</v>
      </c>
      <c r="C1698" s="84">
        <v>9500</v>
      </c>
      <c r="D1698" s="84">
        <f t="shared" si="104"/>
        <v>9300</v>
      </c>
    </row>
    <row r="1699" spans="1:9" ht="15" customHeight="1">
      <c r="A1699" s="93">
        <v>41474</v>
      </c>
      <c r="B1699" s="84">
        <v>9100</v>
      </c>
      <c r="C1699" s="84">
        <v>9500</v>
      </c>
      <c r="D1699" s="84">
        <f t="shared" si="104"/>
        <v>9300</v>
      </c>
    </row>
    <row r="1700" spans="1:9" ht="15" customHeight="1">
      <c r="A1700" s="93">
        <v>41477</v>
      </c>
      <c r="B1700" s="84">
        <v>9100</v>
      </c>
      <c r="C1700" s="84">
        <v>9500</v>
      </c>
      <c r="D1700" s="84">
        <f t="shared" si="104"/>
        <v>9300</v>
      </c>
    </row>
    <row r="1701" spans="1:9" ht="15" customHeight="1">
      <c r="A1701" s="93">
        <v>41478</v>
      </c>
      <c r="B1701" s="84">
        <v>9100</v>
      </c>
      <c r="C1701" s="84">
        <v>9500</v>
      </c>
      <c r="D1701" s="84">
        <f t="shared" si="104"/>
        <v>9300</v>
      </c>
    </row>
    <row r="1702" spans="1:9" ht="15" customHeight="1">
      <c r="A1702" s="93">
        <v>41479</v>
      </c>
      <c r="B1702" s="84">
        <v>9100</v>
      </c>
      <c r="C1702" s="84">
        <v>9500</v>
      </c>
      <c r="D1702" s="84">
        <f t="shared" si="104"/>
        <v>9300</v>
      </c>
    </row>
    <row r="1703" spans="1:9" ht="15" customHeight="1">
      <c r="A1703" s="93">
        <v>41480</v>
      </c>
      <c r="B1703" s="84">
        <v>9100</v>
      </c>
      <c r="C1703" s="84">
        <v>9300</v>
      </c>
      <c r="D1703" s="84">
        <f t="shared" si="104"/>
        <v>9200</v>
      </c>
    </row>
    <row r="1704" spans="1:9" ht="15" customHeight="1">
      <c r="A1704" s="93">
        <v>41481</v>
      </c>
      <c r="B1704" s="84">
        <v>9300</v>
      </c>
      <c r="C1704" s="84">
        <v>9600</v>
      </c>
      <c r="D1704" s="84">
        <f t="shared" ref="D1704:D1724" si="105">AVERAGE(B1704:C1704)</f>
        <v>9450</v>
      </c>
    </row>
    <row r="1705" spans="1:9" ht="15" customHeight="1">
      <c r="A1705" s="93">
        <v>41484</v>
      </c>
      <c r="B1705" s="84">
        <v>9300</v>
      </c>
      <c r="C1705" s="84">
        <v>9600</v>
      </c>
      <c r="D1705" s="84">
        <f t="shared" si="105"/>
        <v>9450</v>
      </c>
    </row>
    <row r="1706" spans="1:9" ht="15" customHeight="1">
      <c r="A1706" s="93">
        <v>41485</v>
      </c>
      <c r="B1706" s="94">
        <v>9300</v>
      </c>
      <c r="C1706" s="94">
        <v>9600</v>
      </c>
      <c r="D1706" s="94">
        <f t="shared" si="105"/>
        <v>9450</v>
      </c>
      <c r="G1706" s="179"/>
      <c r="H1706" s="180"/>
      <c r="I1706" s="181"/>
    </row>
    <row r="1707" spans="1:9" ht="15" customHeight="1" thickBot="1">
      <c r="A1707" s="88">
        <v>41486</v>
      </c>
      <c r="B1707" s="89">
        <v>9300</v>
      </c>
      <c r="C1707" s="89">
        <v>9600</v>
      </c>
      <c r="D1707" s="89">
        <f t="shared" si="105"/>
        <v>9450</v>
      </c>
      <c r="E1707" s="240">
        <f>AVERAGE(D1685:D1707)</f>
        <v>9763.04347826087</v>
      </c>
      <c r="F1707" s="240"/>
      <c r="G1707" s="92"/>
      <c r="H1707" s="103"/>
      <c r="I1707" s="107"/>
    </row>
    <row r="1708" spans="1:9" ht="15" customHeight="1">
      <c r="A1708" s="93">
        <v>41487</v>
      </c>
      <c r="B1708" s="84">
        <v>9300</v>
      </c>
      <c r="C1708" s="84">
        <v>9600</v>
      </c>
      <c r="D1708" s="84">
        <f t="shared" si="105"/>
        <v>9450</v>
      </c>
    </row>
    <row r="1709" spans="1:9" ht="15" customHeight="1">
      <c r="A1709" s="93">
        <v>41488</v>
      </c>
      <c r="B1709" s="84">
        <v>9500</v>
      </c>
      <c r="C1709" s="84">
        <v>10000</v>
      </c>
      <c r="D1709" s="84">
        <f t="shared" si="105"/>
        <v>9750</v>
      </c>
    </row>
    <row r="1710" spans="1:9" ht="15" customHeight="1">
      <c r="A1710" s="93">
        <v>41491</v>
      </c>
      <c r="B1710" s="84">
        <v>9500</v>
      </c>
      <c r="C1710" s="84">
        <v>10000</v>
      </c>
      <c r="D1710" s="84">
        <f t="shared" si="105"/>
        <v>9750</v>
      </c>
    </row>
    <row r="1711" spans="1:9" ht="15" customHeight="1">
      <c r="A1711" s="93">
        <v>41492</v>
      </c>
      <c r="B1711" s="84">
        <v>9500</v>
      </c>
      <c r="C1711" s="84">
        <v>10000</v>
      </c>
      <c r="D1711" s="84">
        <f t="shared" si="105"/>
        <v>9750</v>
      </c>
    </row>
    <row r="1712" spans="1:9" ht="15" customHeight="1">
      <c r="A1712" s="93">
        <v>41493</v>
      </c>
      <c r="B1712" s="84">
        <v>9500</v>
      </c>
      <c r="C1712" s="84">
        <v>10000</v>
      </c>
      <c r="D1712" s="84">
        <f t="shared" si="105"/>
        <v>9750</v>
      </c>
    </row>
    <row r="1713" spans="1:6" ht="15" customHeight="1">
      <c r="A1713" s="93">
        <v>41494</v>
      </c>
      <c r="B1713" s="84">
        <v>9500</v>
      </c>
      <c r="C1713" s="84">
        <v>10000</v>
      </c>
      <c r="D1713" s="84">
        <f t="shared" si="105"/>
        <v>9750</v>
      </c>
    </row>
    <row r="1714" spans="1:6" ht="15" customHeight="1">
      <c r="A1714" s="93">
        <v>41495</v>
      </c>
      <c r="B1714" s="84">
        <v>9800</v>
      </c>
      <c r="C1714" s="84">
        <v>10000</v>
      </c>
      <c r="D1714" s="84">
        <f t="shared" si="105"/>
        <v>9900</v>
      </c>
    </row>
    <row r="1715" spans="1:6" ht="15" customHeight="1">
      <c r="A1715" s="93">
        <v>41498</v>
      </c>
      <c r="B1715" s="84">
        <v>9800</v>
      </c>
      <c r="C1715" s="84">
        <v>10000</v>
      </c>
      <c r="D1715" s="84">
        <f t="shared" si="105"/>
        <v>9900</v>
      </c>
    </row>
    <row r="1716" spans="1:6" ht="15" customHeight="1">
      <c r="A1716" s="93">
        <v>41499</v>
      </c>
      <c r="B1716" s="84">
        <v>9800</v>
      </c>
      <c r="C1716" s="84">
        <v>10000</v>
      </c>
      <c r="D1716" s="84">
        <f t="shared" si="105"/>
        <v>9900</v>
      </c>
    </row>
    <row r="1717" spans="1:6" ht="15" customHeight="1">
      <c r="A1717" s="93">
        <v>41500</v>
      </c>
      <c r="B1717" s="84">
        <v>9800</v>
      </c>
      <c r="C1717" s="84">
        <v>10000</v>
      </c>
      <c r="D1717" s="84">
        <f t="shared" si="105"/>
        <v>9900</v>
      </c>
    </row>
    <row r="1718" spans="1:6" ht="15" customHeight="1">
      <c r="A1718" s="93">
        <v>41501</v>
      </c>
      <c r="B1718" s="84">
        <v>9800</v>
      </c>
      <c r="C1718" s="84">
        <v>10000</v>
      </c>
      <c r="D1718" s="84">
        <f t="shared" si="105"/>
        <v>9900</v>
      </c>
    </row>
    <row r="1719" spans="1:6" ht="15" customHeight="1">
      <c r="A1719" s="93">
        <v>41502</v>
      </c>
      <c r="B1719" s="84">
        <v>9800</v>
      </c>
      <c r="C1719" s="84">
        <v>10100</v>
      </c>
      <c r="D1719" s="84">
        <f t="shared" si="105"/>
        <v>9950</v>
      </c>
    </row>
    <row r="1720" spans="1:6" ht="15" customHeight="1">
      <c r="A1720" s="93">
        <v>41505</v>
      </c>
      <c r="B1720" s="84">
        <v>9800</v>
      </c>
      <c r="C1720" s="84">
        <v>10100</v>
      </c>
      <c r="D1720" s="84">
        <f t="shared" si="105"/>
        <v>9950</v>
      </c>
      <c r="E1720" s="96"/>
      <c r="F1720" s="96"/>
    </row>
    <row r="1721" spans="1:6" ht="15" customHeight="1">
      <c r="A1721" s="93">
        <v>41506</v>
      </c>
      <c r="B1721" s="84">
        <v>9800</v>
      </c>
      <c r="C1721" s="84">
        <v>10100</v>
      </c>
      <c r="D1721" s="84">
        <f t="shared" si="105"/>
        <v>9950</v>
      </c>
      <c r="E1721" s="96"/>
      <c r="F1721" s="96"/>
    </row>
    <row r="1722" spans="1:6" ht="15" customHeight="1">
      <c r="A1722" s="93">
        <v>41507</v>
      </c>
      <c r="B1722" s="84">
        <v>9800</v>
      </c>
      <c r="C1722" s="84">
        <v>10100</v>
      </c>
      <c r="D1722" s="84">
        <f t="shared" si="105"/>
        <v>9950</v>
      </c>
      <c r="E1722" s="96"/>
      <c r="F1722" s="96"/>
    </row>
    <row r="1723" spans="1:6" ht="15" customHeight="1">
      <c r="A1723" s="93">
        <v>41508</v>
      </c>
      <c r="B1723" s="84">
        <v>9800</v>
      </c>
      <c r="C1723" s="84">
        <v>10100</v>
      </c>
      <c r="D1723" s="84">
        <f t="shared" si="105"/>
        <v>9950</v>
      </c>
    </row>
    <row r="1724" spans="1:6" ht="15" customHeight="1">
      <c r="A1724" s="93">
        <v>41509</v>
      </c>
      <c r="B1724" s="84">
        <v>10300</v>
      </c>
      <c r="C1724" s="84">
        <v>10500</v>
      </c>
      <c r="D1724" s="84">
        <f t="shared" si="105"/>
        <v>10400</v>
      </c>
    </row>
    <row r="1725" spans="1:6" ht="15" customHeight="1">
      <c r="A1725" s="93">
        <v>41512</v>
      </c>
      <c r="B1725" s="1051" t="s">
        <v>112</v>
      </c>
      <c r="C1725" s="1051"/>
      <c r="D1725" s="1051"/>
    </row>
    <row r="1726" spans="1:6" ht="15" customHeight="1">
      <c r="A1726" s="93">
        <v>41513</v>
      </c>
      <c r="B1726" s="84">
        <v>10300</v>
      </c>
      <c r="C1726" s="84">
        <v>10500</v>
      </c>
      <c r="D1726" s="84">
        <f t="shared" ref="D1726:D1738" si="106">AVERAGE(B1726:C1726)</f>
        <v>10400</v>
      </c>
    </row>
    <row r="1727" spans="1:6" ht="15" customHeight="1">
      <c r="A1727" s="93">
        <v>41514</v>
      </c>
      <c r="B1727" s="84">
        <v>10300</v>
      </c>
      <c r="C1727" s="84">
        <v>10500</v>
      </c>
      <c r="D1727" s="84">
        <f t="shared" si="106"/>
        <v>10400</v>
      </c>
    </row>
    <row r="1728" spans="1:6" ht="15" customHeight="1">
      <c r="A1728" s="93">
        <v>41515</v>
      </c>
      <c r="B1728" s="84">
        <v>10300</v>
      </c>
      <c r="C1728" s="84">
        <v>10500</v>
      </c>
      <c r="D1728" s="84">
        <f t="shared" si="106"/>
        <v>10400</v>
      </c>
    </row>
    <row r="1729" spans="1:9" ht="15" customHeight="1" thickBot="1">
      <c r="A1729" s="88">
        <v>41516</v>
      </c>
      <c r="B1729" s="89">
        <v>10300</v>
      </c>
      <c r="C1729" s="89">
        <v>10500</v>
      </c>
      <c r="D1729" s="89">
        <f t="shared" si="106"/>
        <v>10400</v>
      </c>
      <c r="E1729" s="240">
        <f>AVERAGE(D1708:D1729)</f>
        <v>9973.8095238095229</v>
      </c>
      <c r="F1729" s="240"/>
      <c r="G1729" s="92"/>
      <c r="H1729" s="103"/>
      <c r="I1729" s="107"/>
    </row>
    <row r="1730" spans="1:9" ht="15" customHeight="1">
      <c r="A1730" s="93">
        <v>41519</v>
      </c>
      <c r="B1730" s="84">
        <v>10300</v>
      </c>
      <c r="C1730" s="84">
        <v>10500</v>
      </c>
      <c r="D1730" s="84">
        <f t="shared" si="106"/>
        <v>10400</v>
      </c>
    </row>
    <row r="1731" spans="1:9" ht="15" customHeight="1">
      <c r="A1731" s="93">
        <v>41520</v>
      </c>
      <c r="B1731" s="84">
        <v>10300</v>
      </c>
      <c r="C1731" s="84">
        <v>10500</v>
      </c>
      <c r="D1731" s="84">
        <f t="shared" si="106"/>
        <v>10400</v>
      </c>
    </row>
    <row r="1732" spans="1:9" ht="15" customHeight="1">
      <c r="A1732" s="93">
        <v>41521</v>
      </c>
      <c r="B1732" s="84">
        <v>10300</v>
      </c>
      <c r="C1732" s="84">
        <v>10500</v>
      </c>
      <c r="D1732" s="84">
        <f t="shared" si="106"/>
        <v>10400</v>
      </c>
    </row>
    <row r="1733" spans="1:9" ht="15" customHeight="1">
      <c r="A1733" s="93">
        <v>41522</v>
      </c>
      <c r="B1733" s="84">
        <v>10300</v>
      </c>
      <c r="C1733" s="84">
        <v>10500</v>
      </c>
      <c r="D1733" s="84">
        <f t="shared" si="106"/>
        <v>10400</v>
      </c>
    </row>
    <row r="1734" spans="1:9" ht="15" customHeight="1">
      <c r="A1734" s="93">
        <v>41523</v>
      </c>
      <c r="B1734" s="84">
        <v>10300</v>
      </c>
      <c r="C1734" s="84">
        <v>10500</v>
      </c>
      <c r="D1734" s="84">
        <f t="shared" si="106"/>
        <v>10400</v>
      </c>
    </row>
    <row r="1735" spans="1:9" ht="15" customHeight="1">
      <c r="A1735" s="93">
        <v>41526</v>
      </c>
      <c r="B1735" s="84">
        <v>10300</v>
      </c>
      <c r="C1735" s="84">
        <v>10500</v>
      </c>
      <c r="D1735" s="84">
        <f t="shared" si="106"/>
        <v>10400</v>
      </c>
    </row>
    <row r="1736" spans="1:9" ht="15" customHeight="1">
      <c r="A1736" s="93">
        <v>41527</v>
      </c>
      <c r="B1736" s="84">
        <v>10300</v>
      </c>
      <c r="C1736" s="84">
        <v>10500</v>
      </c>
      <c r="D1736" s="84">
        <f t="shared" si="106"/>
        <v>10400</v>
      </c>
    </row>
    <row r="1737" spans="1:9" ht="15" customHeight="1">
      <c r="A1737" s="93">
        <v>41528</v>
      </c>
      <c r="B1737" s="84">
        <v>10300</v>
      </c>
      <c r="C1737" s="84">
        <v>10500</v>
      </c>
      <c r="D1737" s="84">
        <f t="shared" si="106"/>
        <v>10400</v>
      </c>
      <c r="E1737" s="96"/>
      <c r="F1737" s="96"/>
    </row>
    <row r="1738" spans="1:9" ht="15" customHeight="1">
      <c r="A1738" s="93">
        <v>41529</v>
      </c>
      <c r="B1738" s="84">
        <v>10300</v>
      </c>
      <c r="C1738" s="84">
        <v>10500</v>
      </c>
      <c r="D1738" s="84">
        <f t="shared" si="106"/>
        <v>10400</v>
      </c>
      <c r="E1738" s="96"/>
      <c r="F1738" s="96"/>
    </row>
    <row r="1739" spans="1:9" ht="15" customHeight="1">
      <c r="A1739" s="93">
        <v>41530</v>
      </c>
      <c r="B1739" s="84">
        <v>10300</v>
      </c>
      <c r="C1739" s="84">
        <v>10500</v>
      </c>
      <c r="D1739" s="84">
        <f t="shared" ref="D1739:D1758" si="107">AVERAGE(B1739:C1739)</f>
        <v>10400</v>
      </c>
    </row>
    <row r="1740" spans="1:9" ht="15" customHeight="1">
      <c r="A1740" s="83">
        <v>41533</v>
      </c>
      <c r="B1740" s="84">
        <v>10300</v>
      </c>
      <c r="C1740" s="84">
        <v>10500</v>
      </c>
      <c r="D1740" s="84">
        <f t="shared" si="107"/>
        <v>10400</v>
      </c>
    </row>
    <row r="1741" spans="1:9" ht="15" customHeight="1">
      <c r="A1741" s="83">
        <v>41534</v>
      </c>
      <c r="B1741" s="84">
        <v>10300</v>
      </c>
      <c r="C1741" s="84">
        <v>10500</v>
      </c>
      <c r="D1741" s="84">
        <f t="shared" si="107"/>
        <v>10400</v>
      </c>
    </row>
    <row r="1742" spans="1:9" ht="15" customHeight="1">
      <c r="A1742" s="83">
        <v>41535</v>
      </c>
      <c r="B1742" s="84">
        <v>10300</v>
      </c>
      <c r="C1742" s="84">
        <v>10500</v>
      </c>
      <c r="D1742" s="84">
        <f t="shared" si="107"/>
        <v>10400</v>
      </c>
    </row>
    <row r="1743" spans="1:9" ht="15" customHeight="1">
      <c r="A1743" s="83">
        <v>41536</v>
      </c>
      <c r="B1743" s="84">
        <v>10300</v>
      </c>
      <c r="C1743" s="84">
        <v>10500</v>
      </c>
      <c r="D1743" s="84">
        <f t="shared" si="107"/>
        <v>10400</v>
      </c>
    </row>
    <row r="1744" spans="1:9" ht="15" customHeight="1">
      <c r="A1744" s="83">
        <v>41537</v>
      </c>
      <c r="B1744" s="84">
        <v>10300</v>
      </c>
      <c r="C1744" s="84">
        <v>10500</v>
      </c>
      <c r="D1744" s="84">
        <f t="shared" si="107"/>
        <v>10400</v>
      </c>
    </row>
    <row r="1745" spans="1:9" ht="15" customHeight="1">
      <c r="A1745" s="83">
        <v>41540</v>
      </c>
      <c r="B1745" s="84">
        <v>10300</v>
      </c>
      <c r="C1745" s="84">
        <v>10500</v>
      </c>
      <c r="D1745" s="84">
        <f t="shared" si="107"/>
        <v>10400</v>
      </c>
    </row>
    <row r="1746" spans="1:9" ht="15" customHeight="1">
      <c r="A1746" s="83">
        <v>41541</v>
      </c>
      <c r="B1746" s="84">
        <v>10300</v>
      </c>
      <c r="C1746" s="84">
        <v>10500</v>
      </c>
      <c r="D1746" s="84">
        <f t="shared" si="107"/>
        <v>10400</v>
      </c>
    </row>
    <row r="1747" spans="1:9" ht="15" customHeight="1">
      <c r="A1747" s="83">
        <v>41542</v>
      </c>
      <c r="B1747" s="84">
        <v>10300</v>
      </c>
      <c r="C1747" s="84">
        <v>10500</v>
      </c>
      <c r="D1747" s="84">
        <f t="shared" si="107"/>
        <v>10400</v>
      </c>
    </row>
    <row r="1748" spans="1:9" ht="15" customHeight="1">
      <c r="A1748" s="83">
        <v>41543</v>
      </c>
      <c r="B1748" s="84">
        <v>10300</v>
      </c>
      <c r="C1748" s="84">
        <v>10500</v>
      </c>
      <c r="D1748" s="84">
        <f t="shared" si="107"/>
        <v>10400</v>
      </c>
    </row>
    <row r="1749" spans="1:9" ht="15" customHeight="1">
      <c r="A1749" s="83">
        <v>41544</v>
      </c>
      <c r="B1749" s="84">
        <v>10300</v>
      </c>
      <c r="C1749" s="84">
        <v>10500</v>
      </c>
      <c r="D1749" s="84">
        <f t="shared" si="107"/>
        <v>10400</v>
      </c>
    </row>
    <row r="1750" spans="1:9" ht="15" customHeight="1" thickBot="1">
      <c r="A1750" s="88">
        <v>41547</v>
      </c>
      <c r="B1750" s="89">
        <v>10300</v>
      </c>
      <c r="C1750" s="89">
        <v>10500</v>
      </c>
      <c r="D1750" s="89">
        <f t="shared" si="107"/>
        <v>10400</v>
      </c>
      <c r="E1750" s="240">
        <f>AVERAGE(D1730:D1750)</f>
        <v>10400</v>
      </c>
      <c r="F1750" s="240"/>
      <c r="G1750" s="92"/>
      <c r="H1750" s="103"/>
      <c r="I1750" s="107"/>
    </row>
    <row r="1751" spans="1:9" ht="15" customHeight="1">
      <c r="A1751" s="83">
        <v>41548</v>
      </c>
      <c r="B1751" s="84">
        <v>10300</v>
      </c>
      <c r="C1751" s="84">
        <v>10500</v>
      </c>
      <c r="D1751" s="84">
        <f t="shared" si="107"/>
        <v>10400</v>
      </c>
    </row>
    <row r="1752" spans="1:9" ht="15" customHeight="1">
      <c r="A1752" s="83">
        <v>41549</v>
      </c>
      <c r="B1752" s="84">
        <v>10300</v>
      </c>
      <c r="C1752" s="84">
        <v>10500</v>
      </c>
      <c r="D1752" s="84">
        <f t="shared" si="107"/>
        <v>10400</v>
      </c>
    </row>
    <row r="1753" spans="1:9" ht="15" customHeight="1">
      <c r="A1753" s="83">
        <v>41550</v>
      </c>
      <c r="B1753" s="84">
        <v>10300</v>
      </c>
      <c r="C1753" s="84">
        <v>10500</v>
      </c>
      <c r="D1753" s="84">
        <f t="shared" si="107"/>
        <v>10400</v>
      </c>
    </row>
    <row r="1754" spans="1:9" ht="15" customHeight="1">
      <c r="A1754" s="83">
        <v>41551</v>
      </c>
      <c r="B1754" s="84">
        <v>10300</v>
      </c>
      <c r="C1754" s="84">
        <v>10500</v>
      </c>
      <c r="D1754" s="84">
        <f t="shared" si="107"/>
        <v>10400</v>
      </c>
    </row>
    <row r="1755" spans="1:9" ht="15" customHeight="1">
      <c r="A1755" s="83">
        <v>41554</v>
      </c>
      <c r="B1755" s="84">
        <v>10300</v>
      </c>
      <c r="C1755" s="84">
        <v>10500</v>
      </c>
      <c r="D1755" s="84">
        <f t="shared" si="107"/>
        <v>10400</v>
      </c>
    </row>
    <row r="1756" spans="1:9" ht="15" customHeight="1">
      <c r="A1756" s="83">
        <v>41555</v>
      </c>
      <c r="B1756" s="84">
        <v>10300</v>
      </c>
      <c r="C1756" s="84">
        <v>10500</v>
      </c>
      <c r="D1756" s="84">
        <f t="shared" si="107"/>
        <v>10400</v>
      </c>
    </row>
    <row r="1757" spans="1:9" ht="15" customHeight="1">
      <c r="A1757" s="83">
        <v>41556</v>
      </c>
      <c r="B1757" s="84">
        <v>10300</v>
      </c>
      <c r="C1757" s="84">
        <v>10500</v>
      </c>
      <c r="D1757" s="84">
        <f t="shared" si="107"/>
        <v>10400</v>
      </c>
    </row>
    <row r="1758" spans="1:9" ht="15" customHeight="1">
      <c r="A1758" s="83">
        <v>41557</v>
      </c>
      <c r="B1758" s="84">
        <v>10300</v>
      </c>
      <c r="C1758" s="84">
        <v>10500</v>
      </c>
      <c r="D1758" s="84">
        <f t="shared" si="107"/>
        <v>10400</v>
      </c>
    </row>
    <row r="1759" spans="1:9" ht="15" customHeight="1">
      <c r="A1759" s="83">
        <v>41558</v>
      </c>
      <c r="B1759" s="84">
        <v>10300</v>
      </c>
      <c r="C1759" s="84">
        <v>10500</v>
      </c>
      <c r="D1759" s="84">
        <f t="shared" ref="D1759:D1811" si="108">AVERAGE(B1759:C1759)</f>
        <v>10400</v>
      </c>
    </row>
    <row r="1760" spans="1:9" ht="15" customHeight="1">
      <c r="A1760" s="83">
        <v>41561</v>
      </c>
      <c r="B1760" s="84">
        <v>10300</v>
      </c>
      <c r="C1760" s="84">
        <v>10500</v>
      </c>
      <c r="D1760" s="84">
        <f t="shared" si="108"/>
        <v>10400</v>
      </c>
    </row>
    <row r="1761" spans="1:9" ht="15" customHeight="1">
      <c r="A1761" s="83">
        <v>41562</v>
      </c>
      <c r="B1761" s="84">
        <v>10300</v>
      </c>
      <c r="C1761" s="84">
        <v>10500</v>
      </c>
      <c r="D1761" s="84">
        <f t="shared" si="108"/>
        <v>10400</v>
      </c>
    </row>
    <row r="1762" spans="1:9" ht="15" customHeight="1">
      <c r="A1762" s="83">
        <v>41563</v>
      </c>
      <c r="B1762" s="84">
        <v>10300</v>
      </c>
      <c r="C1762" s="84">
        <v>10500</v>
      </c>
      <c r="D1762" s="84">
        <f t="shared" si="108"/>
        <v>10400</v>
      </c>
    </row>
    <row r="1763" spans="1:9" ht="15" customHeight="1">
      <c r="A1763" s="83">
        <v>41564</v>
      </c>
      <c r="B1763" s="84">
        <v>10300</v>
      </c>
      <c r="C1763" s="84">
        <v>10500</v>
      </c>
      <c r="D1763" s="84">
        <f t="shared" si="108"/>
        <v>10400</v>
      </c>
    </row>
    <row r="1764" spans="1:9" ht="15" customHeight="1">
      <c r="A1764" s="83">
        <v>41565</v>
      </c>
      <c r="B1764" s="84">
        <v>10300</v>
      </c>
      <c r="C1764" s="84">
        <v>10600</v>
      </c>
      <c r="D1764" s="84">
        <f t="shared" si="108"/>
        <v>10450</v>
      </c>
    </row>
    <row r="1765" spans="1:9" ht="15" customHeight="1">
      <c r="A1765" s="83">
        <v>41568</v>
      </c>
      <c r="B1765" s="84">
        <v>10300</v>
      </c>
      <c r="C1765" s="84">
        <v>10600</v>
      </c>
      <c r="D1765" s="84">
        <f t="shared" si="108"/>
        <v>10450</v>
      </c>
    </row>
    <row r="1766" spans="1:9" ht="15" customHeight="1">
      <c r="A1766" s="83">
        <v>41569</v>
      </c>
      <c r="B1766" s="84">
        <v>10300</v>
      </c>
      <c r="C1766" s="84">
        <v>10600</v>
      </c>
      <c r="D1766" s="84">
        <f t="shared" si="108"/>
        <v>10450</v>
      </c>
    </row>
    <row r="1767" spans="1:9" ht="15" customHeight="1">
      <c r="A1767" s="83">
        <v>41570</v>
      </c>
      <c r="B1767" s="84">
        <v>10300</v>
      </c>
      <c r="C1767" s="84">
        <v>10600</v>
      </c>
      <c r="D1767" s="84">
        <f t="shared" si="108"/>
        <v>10450</v>
      </c>
    </row>
    <row r="1768" spans="1:9" ht="15" customHeight="1">
      <c r="A1768" s="83">
        <v>41571</v>
      </c>
      <c r="B1768" s="84">
        <v>10300</v>
      </c>
      <c r="C1768" s="84">
        <v>10600</v>
      </c>
      <c r="D1768" s="84">
        <f t="shared" si="108"/>
        <v>10450</v>
      </c>
    </row>
    <row r="1769" spans="1:9" ht="15" customHeight="1">
      <c r="A1769" s="83">
        <v>41572</v>
      </c>
      <c r="B1769" s="84">
        <v>10200</v>
      </c>
      <c r="C1769" s="84">
        <v>10500</v>
      </c>
      <c r="D1769" s="84">
        <f t="shared" si="108"/>
        <v>10350</v>
      </c>
    </row>
    <row r="1770" spans="1:9" ht="15" customHeight="1">
      <c r="A1770" s="83">
        <v>41575</v>
      </c>
      <c r="B1770" s="84">
        <v>10200</v>
      </c>
      <c r="C1770" s="84">
        <v>10500</v>
      </c>
      <c r="D1770" s="84">
        <f t="shared" si="108"/>
        <v>10350</v>
      </c>
    </row>
    <row r="1771" spans="1:9" ht="15" customHeight="1">
      <c r="A1771" s="83">
        <v>41576</v>
      </c>
      <c r="B1771" s="84">
        <v>10200</v>
      </c>
      <c r="C1771" s="84">
        <v>10500</v>
      </c>
      <c r="D1771" s="84">
        <f t="shared" si="108"/>
        <v>10350</v>
      </c>
    </row>
    <row r="1772" spans="1:9" ht="15" customHeight="1">
      <c r="A1772" s="83">
        <v>41577</v>
      </c>
      <c r="B1772" s="84">
        <v>10200</v>
      </c>
      <c r="C1772" s="84">
        <v>10500</v>
      </c>
      <c r="D1772" s="84">
        <f t="shared" si="108"/>
        <v>10350</v>
      </c>
    </row>
    <row r="1773" spans="1:9" ht="15" customHeight="1" thickBot="1">
      <c r="A1773" s="88">
        <v>41578</v>
      </c>
      <c r="B1773" s="89">
        <v>10200</v>
      </c>
      <c r="C1773" s="89">
        <v>10500</v>
      </c>
      <c r="D1773" s="89">
        <f t="shared" si="108"/>
        <v>10350</v>
      </c>
      <c r="E1773" s="240">
        <f>AVERAGE(D1751:D1773)</f>
        <v>10400</v>
      </c>
      <c r="F1773" s="240"/>
      <c r="G1773" s="92"/>
      <c r="H1773" s="103"/>
      <c r="I1773" s="107"/>
    </row>
    <row r="1774" spans="1:9" ht="15" customHeight="1">
      <c r="A1774" s="83">
        <v>41579</v>
      </c>
      <c r="B1774" s="84">
        <v>10200</v>
      </c>
      <c r="C1774" s="84">
        <v>10500</v>
      </c>
      <c r="D1774" s="84">
        <f t="shared" si="108"/>
        <v>10350</v>
      </c>
    </row>
    <row r="1775" spans="1:9" ht="15" customHeight="1">
      <c r="A1775" s="83">
        <v>41582</v>
      </c>
      <c r="B1775" s="84">
        <v>10200</v>
      </c>
      <c r="C1775" s="84">
        <v>10500</v>
      </c>
      <c r="D1775" s="84">
        <f t="shared" si="108"/>
        <v>10350</v>
      </c>
    </row>
    <row r="1776" spans="1:9" ht="15" customHeight="1">
      <c r="A1776" s="83">
        <v>41583</v>
      </c>
      <c r="B1776" s="84">
        <v>10200</v>
      </c>
      <c r="C1776" s="84">
        <v>10500</v>
      </c>
      <c r="D1776" s="84">
        <f t="shared" si="108"/>
        <v>10350</v>
      </c>
    </row>
    <row r="1777" spans="1:4" ht="15" customHeight="1">
      <c r="A1777" s="83">
        <v>41584</v>
      </c>
      <c r="B1777" s="84">
        <v>10200</v>
      </c>
      <c r="C1777" s="84">
        <v>10500</v>
      </c>
      <c r="D1777" s="84">
        <f t="shared" si="108"/>
        <v>10350</v>
      </c>
    </row>
    <row r="1778" spans="1:4" ht="15" customHeight="1">
      <c r="A1778" s="83">
        <v>41585</v>
      </c>
      <c r="B1778" s="84">
        <v>10200</v>
      </c>
      <c r="C1778" s="84">
        <v>10500</v>
      </c>
      <c r="D1778" s="84">
        <f t="shared" si="108"/>
        <v>10350</v>
      </c>
    </row>
    <row r="1779" spans="1:4" ht="15" customHeight="1">
      <c r="A1779" s="83">
        <v>41586</v>
      </c>
      <c r="B1779" s="84">
        <v>10200</v>
      </c>
      <c r="C1779" s="84">
        <v>10500</v>
      </c>
      <c r="D1779" s="84">
        <f t="shared" si="108"/>
        <v>10350</v>
      </c>
    </row>
    <row r="1780" spans="1:4" ht="15" customHeight="1">
      <c r="A1780" s="83">
        <v>41589</v>
      </c>
      <c r="B1780" s="84">
        <v>10200</v>
      </c>
      <c r="C1780" s="84">
        <v>10500</v>
      </c>
      <c r="D1780" s="84">
        <f t="shared" si="108"/>
        <v>10350</v>
      </c>
    </row>
    <row r="1781" spans="1:4" ht="15" customHeight="1">
      <c r="A1781" s="83">
        <v>41590</v>
      </c>
      <c r="B1781" s="84">
        <v>10000</v>
      </c>
      <c r="C1781" s="84">
        <v>10300</v>
      </c>
      <c r="D1781" s="84">
        <f t="shared" si="108"/>
        <v>10150</v>
      </c>
    </row>
    <row r="1782" spans="1:4" ht="15" customHeight="1">
      <c r="A1782" s="83">
        <v>41591</v>
      </c>
      <c r="B1782" s="84">
        <v>10000</v>
      </c>
      <c r="C1782" s="84">
        <v>10300</v>
      </c>
      <c r="D1782" s="84">
        <f t="shared" si="108"/>
        <v>10150</v>
      </c>
    </row>
    <row r="1783" spans="1:4" ht="15" customHeight="1">
      <c r="A1783" s="83">
        <v>41592</v>
      </c>
      <c r="B1783" s="84">
        <v>10000</v>
      </c>
      <c r="C1783" s="84">
        <v>10300</v>
      </c>
      <c r="D1783" s="84">
        <f t="shared" si="108"/>
        <v>10150</v>
      </c>
    </row>
    <row r="1784" spans="1:4" ht="15" customHeight="1">
      <c r="A1784" s="83">
        <v>41593</v>
      </c>
      <c r="B1784" s="84">
        <v>10000</v>
      </c>
      <c r="C1784" s="84">
        <v>10300</v>
      </c>
      <c r="D1784" s="84">
        <f t="shared" si="108"/>
        <v>10150</v>
      </c>
    </row>
    <row r="1785" spans="1:4" ht="15" customHeight="1">
      <c r="A1785" s="83">
        <v>41596</v>
      </c>
      <c r="B1785" s="84">
        <v>10000</v>
      </c>
      <c r="C1785" s="84">
        <v>10300</v>
      </c>
      <c r="D1785" s="84">
        <f t="shared" si="108"/>
        <v>10150</v>
      </c>
    </row>
    <row r="1786" spans="1:4" ht="15" customHeight="1">
      <c r="A1786" s="83">
        <v>41597</v>
      </c>
      <c r="B1786" s="84">
        <v>10000</v>
      </c>
      <c r="C1786" s="84">
        <v>10300</v>
      </c>
      <c r="D1786" s="84">
        <f t="shared" si="108"/>
        <v>10150</v>
      </c>
    </row>
    <row r="1787" spans="1:4" ht="15" customHeight="1">
      <c r="A1787" s="83">
        <v>41598</v>
      </c>
      <c r="B1787" s="84">
        <v>10000</v>
      </c>
      <c r="C1787" s="84">
        <v>10300</v>
      </c>
      <c r="D1787" s="84">
        <f t="shared" si="108"/>
        <v>10150</v>
      </c>
    </row>
    <row r="1788" spans="1:4" ht="15" customHeight="1">
      <c r="A1788" s="83">
        <v>41599</v>
      </c>
      <c r="B1788" s="84">
        <v>10000</v>
      </c>
      <c r="C1788" s="84">
        <v>10300</v>
      </c>
      <c r="D1788" s="84">
        <f t="shared" si="108"/>
        <v>10150</v>
      </c>
    </row>
    <row r="1789" spans="1:4" ht="15" customHeight="1">
      <c r="A1789" s="83">
        <v>41600</v>
      </c>
      <c r="B1789" s="84">
        <v>10000</v>
      </c>
      <c r="C1789" s="84">
        <v>10300</v>
      </c>
      <c r="D1789" s="84">
        <f t="shared" si="108"/>
        <v>10150</v>
      </c>
    </row>
    <row r="1790" spans="1:4" ht="15" customHeight="1">
      <c r="A1790" s="83">
        <v>41603</v>
      </c>
      <c r="B1790" s="84">
        <v>10000</v>
      </c>
      <c r="C1790" s="84">
        <v>10300</v>
      </c>
      <c r="D1790" s="84">
        <f t="shared" si="108"/>
        <v>10150</v>
      </c>
    </row>
    <row r="1791" spans="1:4" ht="15" customHeight="1">
      <c r="A1791" s="83">
        <v>41604</v>
      </c>
      <c r="B1791" s="84">
        <v>10000</v>
      </c>
      <c r="C1791" s="84">
        <v>10300</v>
      </c>
      <c r="D1791" s="84">
        <f t="shared" si="108"/>
        <v>10150</v>
      </c>
    </row>
    <row r="1792" spans="1:4" ht="15" customHeight="1">
      <c r="A1792" s="83">
        <v>41605</v>
      </c>
      <c r="B1792" s="84">
        <v>10000</v>
      </c>
      <c r="C1792" s="84">
        <v>10300</v>
      </c>
      <c r="D1792" s="84">
        <f t="shared" si="108"/>
        <v>10150</v>
      </c>
    </row>
    <row r="1793" spans="1:9" ht="15" customHeight="1">
      <c r="A1793" s="83">
        <v>41606</v>
      </c>
      <c r="B1793" s="84">
        <v>10000</v>
      </c>
      <c r="C1793" s="84">
        <v>10300</v>
      </c>
      <c r="D1793" s="84">
        <f t="shared" si="108"/>
        <v>10150</v>
      </c>
    </row>
    <row r="1794" spans="1:9" ht="15" customHeight="1" thickBot="1">
      <c r="A1794" s="88">
        <v>41607</v>
      </c>
      <c r="B1794" s="89">
        <v>10000</v>
      </c>
      <c r="C1794" s="89">
        <v>10300</v>
      </c>
      <c r="D1794" s="89">
        <f t="shared" si="108"/>
        <v>10150</v>
      </c>
      <c r="E1794" s="240">
        <f>AVERAGE(D1774:D1794)</f>
        <v>10216.666666666666</v>
      </c>
      <c r="F1794" s="240"/>
      <c r="G1794" s="92"/>
      <c r="H1794" s="103"/>
      <c r="I1794" s="107"/>
    </row>
    <row r="1795" spans="1:9" ht="15" customHeight="1">
      <c r="A1795" s="83">
        <v>41610</v>
      </c>
      <c r="B1795" s="84">
        <v>10000</v>
      </c>
      <c r="C1795" s="84">
        <v>10300</v>
      </c>
      <c r="D1795" s="84">
        <f t="shared" si="108"/>
        <v>10150</v>
      </c>
    </row>
    <row r="1796" spans="1:9" ht="15" customHeight="1">
      <c r="A1796" s="83">
        <v>41611</v>
      </c>
      <c r="B1796" s="84">
        <v>10000</v>
      </c>
      <c r="C1796" s="84">
        <v>10300</v>
      </c>
      <c r="D1796" s="84">
        <f t="shared" si="108"/>
        <v>10150</v>
      </c>
    </row>
    <row r="1797" spans="1:9" ht="15" customHeight="1">
      <c r="A1797" s="83">
        <v>41612</v>
      </c>
      <c r="B1797" s="84">
        <v>10000</v>
      </c>
      <c r="C1797" s="84">
        <v>10300</v>
      </c>
      <c r="D1797" s="84">
        <f t="shared" si="108"/>
        <v>10150</v>
      </c>
    </row>
    <row r="1798" spans="1:9" ht="15" customHeight="1">
      <c r="A1798" s="83">
        <v>41613</v>
      </c>
      <c r="B1798" s="84">
        <v>10000</v>
      </c>
      <c r="C1798" s="84">
        <v>10300</v>
      </c>
      <c r="D1798" s="84">
        <f t="shared" si="108"/>
        <v>10150</v>
      </c>
    </row>
    <row r="1799" spans="1:9" ht="15" customHeight="1">
      <c r="A1799" s="83">
        <v>41614</v>
      </c>
      <c r="B1799" s="84">
        <v>10000</v>
      </c>
      <c r="C1799" s="84">
        <v>10300</v>
      </c>
      <c r="D1799" s="84">
        <f t="shared" si="108"/>
        <v>10150</v>
      </c>
    </row>
    <row r="1800" spans="1:9" ht="15" customHeight="1">
      <c r="A1800" s="83">
        <v>41617</v>
      </c>
      <c r="B1800" s="84">
        <v>10000</v>
      </c>
      <c r="C1800" s="84">
        <v>10300</v>
      </c>
      <c r="D1800" s="84">
        <f t="shared" si="108"/>
        <v>10150</v>
      </c>
    </row>
    <row r="1801" spans="1:9" ht="15" customHeight="1">
      <c r="A1801" s="83">
        <v>41618</v>
      </c>
      <c r="B1801" s="84">
        <v>10000</v>
      </c>
      <c r="C1801" s="84">
        <v>10300</v>
      </c>
      <c r="D1801" s="84">
        <f t="shared" si="108"/>
        <v>10150</v>
      </c>
    </row>
    <row r="1802" spans="1:9" ht="15" customHeight="1">
      <c r="A1802" s="83">
        <v>41619</v>
      </c>
      <c r="B1802" s="84">
        <v>10000</v>
      </c>
      <c r="C1802" s="84">
        <v>10300</v>
      </c>
      <c r="D1802" s="84">
        <f t="shared" si="108"/>
        <v>10150</v>
      </c>
    </row>
    <row r="1803" spans="1:9" ht="15" customHeight="1">
      <c r="A1803" s="83">
        <v>41620</v>
      </c>
      <c r="B1803" s="84">
        <v>10000</v>
      </c>
      <c r="C1803" s="84">
        <v>10300</v>
      </c>
      <c r="D1803" s="84">
        <f>AVERAGE(B1803:C1803)</f>
        <v>10150</v>
      </c>
    </row>
    <row r="1804" spans="1:9" ht="15" customHeight="1">
      <c r="A1804" s="83">
        <v>41621</v>
      </c>
      <c r="B1804" s="84">
        <v>10000</v>
      </c>
      <c r="C1804" s="84">
        <v>10300</v>
      </c>
      <c r="D1804" s="84">
        <f t="shared" si="108"/>
        <v>10150</v>
      </c>
    </row>
    <row r="1805" spans="1:9" ht="15" customHeight="1">
      <c r="A1805" s="83">
        <v>41624</v>
      </c>
      <c r="B1805" s="84">
        <v>10000</v>
      </c>
      <c r="C1805" s="84">
        <v>10300</v>
      </c>
      <c r="D1805" s="84">
        <f t="shared" si="108"/>
        <v>10150</v>
      </c>
    </row>
    <row r="1806" spans="1:9" ht="15" customHeight="1">
      <c r="A1806" s="83">
        <v>41625</v>
      </c>
      <c r="B1806" s="84">
        <v>10000</v>
      </c>
      <c r="C1806" s="84">
        <v>10300</v>
      </c>
      <c r="D1806" s="84">
        <f t="shared" si="108"/>
        <v>10150</v>
      </c>
    </row>
    <row r="1807" spans="1:9" ht="15" customHeight="1">
      <c r="A1807" s="83">
        <v>41626</v>
      </c>
      <c r="B1807" s="84">
        <v>10000</v>
      </c>
      <c r="C1807" s="84">
        <v>10300</v>
      </c>
      <c r="D1807" s="84">
        <f t="shared" si="108"/>
        <v>10150</v>
      </c>
    </row>
    <row r="1808" spans="1:9" ht="15" customHeight="1">
      <c r="A1808" s="83">
        <v>41627</v>
      </c>
      <c r="B1808" s="84">
        <v>10000</v>
      </c>
      <c r="C1808" s="84">
        <v>10300</v>
      </c>
      <c r="D1808" s="84">
        <f t="shared" si="108"/>
        <v>10150</v>
      </c>
    </row>
    <row r="1809" spans="1:9" ht="15" customHeight="1">
      <c r="A1809" s="83">
        <v>41628</v>
      </c>
      <c r="B1809" s="84">
        <v>10000</v>
      </c>
      <c r="C1809" s="84">
        <v>10300</v>
      </c>
      <c r="D1809" s="84">
        <f t="shared" si="108"/>
        <v>10150</v>
      </c>
    </row>
    <row r="1810" spans="1:9" ht="15" customHeight="1">
      <c r="A1810" s="83">
        <v>41631</v>
      </c>
      <c r="B1810" s="84">
        <v>10000</v>
      </c>
      <c r="C1810" s="84">
        <v>10300</v>
      </c>
      <c r="D1810" s="84">
        <f t="shared" si="108"/>
        <v>10150</v>
      </c>
    </row>
    <row r="1811" spans="1:9" ht="15" customHeight="1">
      <c r="A1811" s="83">
        <v>41632</v>
      </c>
      <c r="B1811" s="84">
        <v>10000</v>
      </c>
      <c r="C1811" s="84">
        <v>10300</v>
      </c>
      <c r="D1811" s="84">
        <f t="shared" si="108"/>
        <v>10150</v>
      </c>
    </row>
    <row r="1812" spans="1:9" ht="15" customHeight="1">
      <c r="A1812" s="83">
        <v>41633</v>
      </c>
      <c r="B1812" s="1051" t="s">
        <v>112</v>
      </c>
      <c r="C1812" s="1051"/>
      <c r="D1812" s="1051"/>
    </row>
    <row r="1813" spans="1:9" ht="15" customHeight="1">
      <c r="A1813" s="83">
        <v>41634</v>
      </c>
      <c r="B1813" s="1051" t="s">
        <v>112</v>
      </c>
      <c r="C1813" s="1051"/>
      <c r="D1813" s="1051"/>
    </row>
    <row r="1814" spans="1:9" ht="15" customHeight="1">
      <c r="A1814" s="83">
        <v>41635</v>
      </c>
      <c r="B1814" s="84">
        <v>10000</v>
      </c>
      <c r="C1814" s="84">
        <v>10300</v>
      </c>
      <c r="D1814" s="84">
        <f t="shared" ref="D1814:D1821" si="109">AVERAGE(B1814:C1814)</f>
        <v>10150</v>
      </c>
    </row>
    <row r="1815" spans="1:9" ht="15" customHeight="1">
      <c r="A1815" s="93">
        <v>41638</v>
      </c>
      <c r="B1815" s="94">
        <v>10000</v>
      </c>
      <c r="C1815" s="94">
        <v>10300</v>
      </c>
      <c r="D1815" s="94">
        <f t="shared" si="109"/>
        <v>10150</v>
      </c>
      <c r="E1815" s="96"/>
      <c r="F1815" s="96"/>
      <c r="G1815" s="179"/>
      <c r="H1815" s="180"/>
      <c r="I1815" s="181"/>
    </row>
    <row r="1816" spans="1:9" ht="15" customHeight="1" thickBot="1">
      <c r="A1816" s="88">
        <v>41639</v>
      </c>
      <c r="B1816" s="89">
        <v>10000</v>
      </c>
      <c r="C1816" s="89">
        <v>10300</v>
      </c>
      <c r="D1816" s="89">
        <f t="shared" si="109"/>
        <v>10150</v>
      </c>
      <c r="E1816" s="240">
        <f>AVERAGE(D1795:D1816)</f>
        <v>10150</v>
      </c>
      <c r="F1816" s="240"/>
      <c r="G1816" s="92"/>
      <c r="H1816" s="103"/>
      <c r="I1816" s="107"/>
    </row>
    <row r="1817" spans="1:9" ht="15" customHeight="1">
      <c r="A1817" s="83">
        <v>41641</v>
      </c>
      <c r="B1817" s="94">
        <v>10000</v>
      </c>
      <c r="C1817" s="94">
        <v>10300</v>
      </c>
      <c r="D1817" s="94">
        <f t="shared" si="109"/>
        <v>10150</v>
      </c>
    </row>
    <row r="1818" spans="1:9" ht="15" customHeight="1">
      <c r="A1818" s="83">
        <v>41642</v>
      </c>
      <c r="B1818" s="84">
        <v>9300</v>
      </c>
      <c r="C1818" s="84">
        <v>9700</v>
      </c>
      <c r="D1818" s="94">
        <f t="shared" si="109"/>
        <v>9500</v>
      </c>
    </row>
    <row r="1819" spans="1:9" ht="15" customHeight="1">
      <c r="A1819" s="83">
        <v>41645</v>
      </c>
      <c r="B1819" s="84">
        <v>9300</v>
      </c>
      <c r="C1819" s="84">
        <v>9700</v>
      </c>
      <c r="D1819" s="94">
        <f t="shared" si="109"/>
        <v>9500</v>
      </c>
    </row>
    <row r="1820" spans="1:9" ht="15" customHeight="1">
      <c r="A1820" s="83">
        <v>41646</v>
      </c>
      <c r="B1820" s="84">
        <v>9300</v>
      </c>
      <c r="C1820" s="84">
        <v>9700</v>
      </c>
      <c r="D1820" s="94">
        <f t="shared" si="109"/>
        <v>9500</v>
      </c>
    </row>
    <row r="1821" spans="1:9" ht="15" customHeight="1">
      <c r="A1821" s="83">
        <v>41647</v>
      </c>
      <c r="B1821" s="84">
        <v>9300</v>
      </c>
      <c r="C1821" s="84">
        <v>9700</v>
      </c>
      <c r="D1821" s="94">
        <f t="shared" si="109"/>
        <v>9500</v>
      </c>
    </row>
    <row r="1822" spans="1:9" ht="15" customHeight="1">
      <c r="A1822" s="83">
        <v>41648</v>
      </c>
      <c r="B1822" s="84">
        <v>9300</v>
      </c>
      <c r="C1822" s="84">
        <v>9700</v>
      </c>
      <c r="D1822" s="94">
        <f>AVERAGE(B1822:C1822)</f>
        <v>9500</v>
      </c>
    </row>
    <row r="1823" spans="1:9" ht="15" customHeight="1">
      <c r="A1823" s="83">
        <v>41649</v>
      </c>
      <c r="B1823" s="84">
        <v>9300</v>
      </c>
      <c r="C1823" s="84">
        <v>9700</v>
      </c>
      <c r="D1823" s="94">
        <f>AVERAGE(B1823:C1823)</f>
        <v>9500</v>
      </c>
    </row>
    <row r="1824" spans="1:9" ht="15" customHeight="1">
      <c r="A1824" s="83">
        <v>41652</v>
      </c>
      <c r="B1824" s="84">
        <v>9300</v>
      </c>
      <c r="C1824" s="84">
        <v>9700</v>
      </c>
      <c r="D1824" s="94">
        <f t="shared" ref="D1824:D1829" si="110">AVERAGE(B1824:C1824)</f>
        <v>9500</v>
      </c>
    </row>
    <row r="1825" spans="1:9" ht="15" customHeight="1">
      <c r="A1825" s="83">
        <v>41653</v>
      </c>
      <c r="B1825" s="84">
        <v>9300</v>
      </c>
      <c r="C1825" s="84">
        <v>9700</v>
      </c>
      <c r="D1825" s="94">
        <f t="shared" si="110"/>
        <v>9500</v>
      </c>
    </row>
    <row r="1826" spans="1:9" ht="15" customHeight="1">
      <c r="A1826" s="83">
        <v>41654</v>
      </c>
      <c r="B1826" s="84">
        <v>9300</v>
      </c>
      <c r="C1826" s="84">
        <v>9700</v>
      </c>
      <c r="D1826" s="94">
        <f t="shared" si="110"/>
        <v>9500</v>
      </c>
    </row>
    <row r="1827" spans="1:9" ht="15" customHeight="1">
      <c r="A1827" s="83">
        <v>41655</v>
      </c>
      <c r="B1827" s="84">
        <v>9300</v>
      </c>
      <c r="C1827" s="84">
        <v>9700</v>
      </c>
      <c r="D1827" s="94">
        <f t="shared" si="110"/>
        <v>9500</v>
      </c>
    </row>
    <row r="1828" spans="1:9" ht="15" customHeight="1">
      <c r="A1828" s="83">
        <v>41656</v>
      </c>
      <c r="B1828" s="84">
        <v>9300</v>
      </c>
      <c r="C1828" s="84">
        <v>9700</v>
      </c>
      <c r="D1828" s="94">
        <f t="shared" si="110"/>
        <v>9500</v>
      </c>
    </row>
    <row r="1829" spans="1:9" ht="15" customHeight="1">
      <c r="A1829" s="83">
        <v>41659</v>
      </c>
      <c r="B1829" s="84">
        <v>9300</v>
      </c>
      <c r="C1829" s="84">
        <v>9700</v>
      </c>
      <c r="D1829" s="94">
        <f t="shared" si="110"/>
        <v>9500</v>
      </c>
    </row>
    <row r="1830" spans="1:9" ht="15" customHeight="1">
      <c r="A1830" s="83">
        <v>41660</v>
      </c>
      <c r="B1830" s="84">
        <v>9300</v>
      </c>
      <c r="C1830" s="84">
        <v>9700</v>
      </c>
      <c r="D1830" s="94">
        <f t="shared" ref="D1830:D1853" si="111">AVERAGE(B1830:C1830)</f>
        <v>9500</v>
      </c>
    </row>
    <row r="1831" spans="1:9" ht="15" customHeight="1">
      <c r="A1831" s="83">
        <v>41661</v>
      </c>
      <c r="B1831" s="84">
        <v>9300</v>
      </c>
      <c r="C1831" s="84">
        <v>9700</v>
      </c>
      <c r="D1831" s="94">
        <f t="shared" si="111"/>
        <v>9500</v>
      </c>
    </row>
    <row r="1832" spans="1:9" ht="15" customHeight="1">
      <c r="A1832" s="83">
        <v>41662</v>
      </c>
      <c r="B1832" s="84">
        <v>9300</v>
      </c>
      <c r="C1832" s="84">
        <v>9700</v>
      </c>
      <c r="D1832" s="94">
        <f t="shared" si="111"/>
        <v>9500</v>
      </c>
    </row>
    <row r="1833" spans="1:9" ht="15" customHeight="1">
      <c r="A1833" s="83">
        <v>41663</v>
      </c>
      <c r="B1833" s="84">
        <v>9600</v>
      </c>
      <c r="C1833" s="84">
        <v>9850</v>
      </c>
      <c r="D1833" s="84">
        <f t="shared" si="111"/>
        <v>9725</v>
      </c>
    </row>
    <row r="1834" spans="1:9" ht="15" customHeight="1">
      <c r="A1834" s="83">
        <v>41666</v>
      </c>
      <c r="B1834" s="84">
        <v>9600</v>
      </c>
      <c r="C1834" s="84">
        <v>9850</v>
      </c>
      <c r="D1834" s="84">
        <f t="shared" si="111"/>
        <v>9725</v>
      </c>
    </row>
    <row r="1835" spans="1:9" ht="15" customHeight="1">
      <c r="A1835" s="83">
        <v>41667</v>
      </c>
      <c r="B1835" s="84">
        <v>9600</v>
      </c>
      <c r="C1835" s="84">
        <v>9850</v>
      </c>
      <c r="D1835" s="84">
        <f t="shared" si="111"/>
        <v>9725</v>
      </c>
      <c r="E1835" s="96"/>
    </row>
    <row r="1836" spans="1:9" ht="15" customHeight="1">
      <c r="A1836" s="83">
        <v>41668</v>
      </c>
      <c r="B1836" s="84">
        <v>9600</v>
      </c>
      <c r="C1836" s="84">
        <v>9850</v>
      </c>
      <c r="D1836" s="84">
        <f t="shared" si="111"/>
        <v>9725</v>
      </c>
      <c r="E1836" s="96"/>
    </row>
    <row r="1837" spans="1:9" ht="15" customHeight="1">
      <c r="A1837" s="83">
        <v>41669</v>
      </c>
      <c r="B1837" s="84">
        <v>9600</v>
      </c>
      <c r="C1837" s="84">
        <v>9900</v>
      </c>
      <c r="D1837" s="84">
        <f t="shared" si="111"/>
        <v>9750</v>
      </c>
      <c r="E1837" s="96"/>
    </row>
    <row r="1838" spans="1:9" ht="15" customHeight="1" thickBot="1">
      <c r="A1838" s="88">
        <v>41670</v>
      </c>
      <c r="B1838" s="89">
        <v>9600</v>
      </c>
      <c r="C1838" s="89">
        <v>9900</v>
      </c>
      <c r="D1838" s="89">
        <f t="shared" si="111"/>
        <v>9750</v>
      </c>
      <c r="E1838" s="240">
        <f>AVERAGE(D1817:D1838)</f>
        <v>9593.181818181818</v>
      </c>
      <c r="F1838" s="240">
        <f>AVERAGE(D1817:D1838)</f>
        <v>9593.181818181818</v>
      </c>
      <c r="G1838" s="92"/>
      <c r="H1838" s="103"/>
      <c r="I1838" s="107"/>
    </row>
    <row r="1839" spans="1:9" ht="15" customHeight="1">
      <c r="A1839" s="83">
        <v>41673</v>
      </c>
      <c r="B1839" s="84">
        <v>9600</v>
      </c>
      <c r="C1839" s="84">
        <v>9900</v>
      </c>
      <c r="D1839" s="84">
        <f t="shared" si="111"/>
        <v>9750</v>
      </c>
    </row>
    <row r="1840" spans="1:9" ht="15" customHeight="1">
      <c r="A1840" s="83">
        <v>41674</v>
      </c>
      <c r="B1840" s="84">
        <v>9600</v>
      </c>
      <c r="C1840" s="84">
        <v>9900</v>
      </c>
      <c r="D1840" s="84">
        <f t="shared" si="111"/>
        <v>9750</v>
      </c>
    </row>
    <row r="1841" spans="1:4" ht="15" customHeight="1">
      <c r="A1841" s="83">
        <v>41675</v>
      </c>
      <c r="B1841" s="84">
        <v>9600</v>
      </c>
      <c r="C1841" s="84">
        <v>9900</v>
      </c>
      <c r="D1841" s="84">
        <f t="shared" si="111"/>
        <v>9750</v>
      </c>
    </row>
    <row r="1842" spans="1:4" ht="15" customHeight="1">
      <c r="A1842" s="83">
        <v>41676</v>
      </c>
      <c r="B1842" s="84">
        <v>9600</v>
      </c>
      <c r="C1842" s="84">
        <v>9900</v>
      </c>
      <c r="D1842" s="84">
        <f t="shared" si="111"/>
        <v>9750</v>
      </c>
    </row>
    <row r="1843" spans="1:4" ht="15" customHeight="1">
      <c r="A1843" s="83">
        <v>41677</v>
      </c>
      <c r="B1843" s="84">
        <v>9600</v>
      </c>
      <c r="C1843" s="84">
        <v>9900</v>
      </c>
      <c r="D1843" s="84">
        <f t="shared" si="111"/>
        <v>9750</v>
      </c>
    </row>
    <row r="1844" spans="1:4" ht="15" customHeight="1">
      <c r="A1844" s="83">
        <v>41680</v>
      </c>
      <c r="B1844" s="84">
        <v>9600</v>
      </c>
      <c r="C1844" s="84">
        <v>9900</v>
      </c>
      <c r="D1844" s="84">
        <f t="shared" si="111"/>
        <v>9750</v>
      </c>
    </row>
    <row r="1845" spans="1:4" ht="15" customHeight="1">
      <c r="A1845" s="83">
        <v>41681</v>
      </c>
      <c r="B1845" s="84">
        <v>9600</v>
      </c>
      <c r="C1845" s="84">
        <v>9900</v>
      </c>
      <c r="D1845" s="84">
        <f t="shared" si="111"/>
        <v>9750</v>
      </c>
    </row>
    <row r="1846" spans="1:4" ht="15" customHeight="1">
      <c r="A1846" s="83">
        <v>41682</v>
      </c>
      <c r="B1846" s="84">
        <v>9600</v>
      </c>
      <c r="C1846" s="84">
        <v>9900</v>
      </c>
      <c r="D1846" s="84">
        <f t="shared" si="111"/>
        <v>9750</v>
      </c>
    </row>
    <row r="1847" spans="1:4" ht="15" customHeight="1">
      <c r="A1847" s="588">
        <v>41683</v>
      </c>
      <c r="B1847" s="589">
        <v>9600</v>
      </c>
      <c r="C1847" s="589">
        <v>9900</v>
      </c>
      <c r="D1847" s="589">
        <f t="shared" si="111"/>
        <v>9750</v>
      </c>
    </row>
    <row r="1848" spans="1:4" ht="15" customHeight="1">
      <c r="A1848" s="588">
        <v>41684</v>
      </c>
      <c r="B1848" s="589">
        <v>9600</v>
      </c>
      <c r="C1848" s="589">
        <v>9900</v>
      </c>
      <c r="D1848" s="589">
        <f t="shared" si="111"/>
        <v>9750</v>
      </c>
    </row>
    <row r="1849" spans="1:4" ht="15" customHeight="1">
      <c r="A1849" s="588">
        <v>41687</v>
      </c>
      <c r="B1849" s="589">
        <v>9600</v>
      </c>
      <c r="C1849" s="589">
        <v>9900</v>
      </c>
      <c r="D1849" s="589">
        <f t="shared" si="111"/>
        <v>9750</v>
      </c>
    </row>
    <row r="1850" spans="1:4" ht="15" customHeight="1">
      <c r="A1850" s="588">
        <v>41688</v>
      </c>
      <c r="B1850" s="589">
        <v>9600</v>
      </c>
      <c r="C1850" s="589">
        <v>9900</v>
      </c>
      <c r="D1850" s="589">
        <f t="shared" si="111"/>
        <v>9750</v>
      </c>
    </row>
    <row r="1851" spans="1:4" ht="15" customHeight="1">
      <c r="A1851" s="588">
        <v>41689</v>
      </c>
      <c r="B1851" s="589">
        <v>9600</v>
      </c>
      <c r="C1851" s="589">
        <v>9900</v>
      </c>
      <c r="D1851" s="589">
        <f t="shared" si="111"/>
        <v>9750</v>
      </c>
    </row>
    <row r="1852" spans="1:4" ht="15" customHeight="1">
      <c r="A1852" s="588">
        <v>41690</v>
      </c>
      <c r="B1852" s="589">
        <v>9600</v>
      </c>
      <c r="C1852" s="84">
        <v>9800</v>
      </c>
      <c r="D1852" s="84">
        <f t="shared" si="111"/>
        <v>9700</v>
      </c>
    </row>
    <row r="1853" spans="1:4" ht="15" customHeight="1">
      <c r="A1853" s="588">
        <v>41691</v>
      </c>
      <c r="B1853" s="589">
        <v>9600</v>
      </c>
      <c r="C1853" s="589">
        <v>9800</v>
      </c>
      <c r="D1853" s="589">
        <f t="shared" si="111"/>
        <v>9700</v>
      </c>
    </row>
    <row r="1854" spans="1:4" ht="15" customHeight="1">
      <c r="A1854" s="588">
        <v>41694</v>
      </c>
      <c r="B1854" s="589">
        <v>9600</v>
      </c>
      <c r="C1854" s="589">
        <v>9800</v>
      </c>
      <c r="D1854" s="589">
        <f t="shared" ref="D1854:D1859" si="112">AVERAGE(B1854:C1854)</f>
        <v>9700</v>
      </c>
    </row>
    <row r="1855" spans="1:4" ht="15" customHeight="1">
      <c r="A1855" s="588">
        <v>41695</v>
      </c>
      <c r="B1855" s="84">
        <v>9600</v>
      </c>
      <c r="C1855" s="84">
        <v>9800</v>
      </c>
      <c r="D1855" s="84">
        <f t="shared" si="112"/>
        <v>9700</v>
      </c>
    </row>
    <row r="1856" spans="1:4" ht="15" customHeight="1">
      <c r="A1856" s="588">
        <v>41696</v>
      </c>
      <c r="B1856" s="589">
        <v>9600</v>
      </c>
      <c r="C1856" s="589">
        <v>9800</v>
      </c>
      <c r="D1856" s="589">
        <f t="shared" si="112"/>
        <v>9700</v>
      </c>
    </row>
    <row r="1857" spans="1:9" ht="15" customHeight="1">
      <c r="A1857" s="588">
        <v>41697</v>
      </c>
      <c r="B1857" s="84">
        <v>9800</v>
      </c>
      <c r="C1857" s="84">
        <v>9900</v>
      </c>
      <c r="D1857" s="84">
        <f t="shared" si="112"/>
        <v>9850</v>
      </c>
    </row>
    <row r="1858" spans="1:9" ht="15" customHeight="1" thickBot="1">
      <c r="A1858" s="88">
        <v>41698</v>
      </c>
      <c r="B1858" s="89">
        <v>9800</v>
      </c>
      <c r="C1858" s="89">
        <v>9900</v>
      </c>
      <c r="D1858" s="89">
        <f t="shared" si="112"/>
        <v>9850</v>
      </c>
      <c r="E1858" s="240">
        <f>AVERAGE(D1839:D1858)</f>
        <v>9747.5</v>
      </c>
      <c r="F1858" s="240">
        <f>AVERAGE(D1817:D1858)</f>
        <v>9666.6666666666661</v>
      </c>
      <c r="G1858" s="92"/>
      <c r="H1858" s="103"/>
      <c r="I1858" s="107"/>
    </row>
    <row r="1859" spans="1:9" ht="15" customHeight="1">
      <c r="A1859" s="83">
        <v>41701</v>
      </c>
      <c r="B1859" s="589">
        <v>9800</v>
      </c>
      <c r="C1859" s="589">
        <v>9900</v>
      </c>
      <c r="D1859" s="589">
        <f t="shared" si="112"/>
        <v>9850</v>
      </c>
    </row>
    <row r="1860" spans="1:9" ht="15" customHeight="1">
      <c r="A1860" s="588">
        <v>41702</v>
      </c>
      <c r="B1860" s="589">
        <v>9800</v>
      </c>
      <c r="C1860" s="589">
        <v>9900</v>
      </c>
      <c r="D1860" s="589">
        <f t="shared" ref="D1860:D1875" si="113">AVERAGE(B1860:C1860)</f>
        <v>9850</v>
      </c>
    </row>
    <row r="1861" spans="1:9" ht="15" customHeight="1">
      <c r="A1861" s="588">
        <v>41703</v>
      </c>
      <c r="B1861" s="589">
        <v>9800</v>
      </c>
      <c r="C1861" s="589">
        <v>9900</v>
      </c>
      <c r="D1861" s="589">
        <f t="shared" si="113"/>
        <v>9850</v>
      </c>
    </row>
    <row r="1862" spans="1:9" ht="15" customHeight="1">
      <c r="A1862" s="588">
        <v>41704</v>
      </c>
      <c r="B1862" s="589">
        <v>9800</v>
      </c>
      <c r="C1862" s="589">
        <v>9900</v>
      </c>
      <c r="D1862" s="589">
        <f t="shared" si="113"/>
        <v>9850</v>
      </c>
    </row>
    <row r="1863" spans="1:9" ht="15" customHeight="1">
      <c r="A1863" s="588">
        <v>41705</v>
      </c>
      <c r="B1863" s="589">
        <v>9800</v>
      </c>
      <c r="C1863" s="589">
        <v>9900</v>
      </c>
      <c r="D1863" s="589">
        <f t="shared" si="113"/>
        <v>9850</v>
      </c>
    </row>
    <row r="1864" spans="1:9" ht="15" customHeight="1">
      <c r="A1864" s="588">
        <v>41708</v>
      </c>
      <c r="B1864" s="589">
        <v>9800</v>
      </c>
      <c r="C1864" s="589">
        <v>9900</v>
      </c>
      <c r="D1864" s="589">
        <f t="shared" si="113"/>
        <v>9850</v>
      </c>
    </row>
    <row r="1865" spans="1:9" ht="15" customHeight="1">
      <c r="A1865" s="588">
        <v>41709</v>
      </c>
      <c r="B1865" s="589">
        <v>9800</v>
      </c>
      <c r="C1865" s="589">
        <v>9900</v>
      </c>
      <c r="D1865" s="589">
        <f t="shared" si="113"/>
        <v>9850</v>
      </c>
    </row>
    <row r="1866" spans="1:9" ht="15" customHeight="1">
      <c r="A1866" s="588">
        <v>41710</v>
      </c>
      <c r="B1866" s="589">
        <v>9800</v>
      </c>
      <c r="C1866" s="589">
        <v>9900</v>
      </c>
      <c r="D1866" s="589">
        <f t="shared" si="113"/>
        <v>9850</v>
      </c>
    </row>
    <row r="1867" spans="1:9" ht="15" customHeight="1">
      <c r="A1867" s="588">
        <v>41711</v>
      </c>
      <c r="B1867" s="84">
        <v>9500</v>
      </c>
      <c r="C1867" s="84">
        <v>9900</v>
      </c>
      <c r="D1867" s="84">
        <f t="shared" si="113"/>
        <v>9700</v>
      </c>
    </row>
    <row r="1868" spans="1:9" ht="15" customHeight="1">
      <c r="A1868" s="588">
        <v>41712</v>
      </c>
      <c r="B1868" s="589">
        <v>9500</v>
      </c>
      <c r="C1868" s="589">
        <v>9900</v>
      </c>
      <c r="D1868" s="589">
        <f t="shared" si="113"/>
        <v>9700</v>
      </c>
    </row>
    <row r="1869" spans="1:9" ht="15" customHeight="1">
      <c r="A1869" s="588">
        <v>41715</v>
      </c>
      <c r="B1869" s="589">
        <v>9500</v>
      </c>
      <c r="C1869" s="589">
        <v>9900</v>
      </c>
      <c r="D1869" s="589">
        <f t="shared" si="113"/>
        <v>9700</v>
      </c>
    </row>
    <row r="1870" spans="1:9" ht="15" customHeight="1">
      <c r="A1870" s="588">
        <v>41716</v>
      </c>
      <c r="B1870" s="589">
        <v>9500</v>
      </c>
      <c r="C1870" s="589">
        <v>9900</v>
      </c>
      <c r="D1870" s="589">
        <f t="shared" si="113"/>
        <v>9700</v>
      </c>
    </row>
    <row r="1871" spans="1:9" ht="15" customHeight="1">
      <c r="A1871" s="588">
        <v>41717</v>
      </c>
      <c r="B1871" s="589">
        <v>9500</v>
      </c>
      <c r="C1871" s="589">
        <v>9900</v>
      </c>
      <c r="D1871" s="589">
        <f t="shared" si="113"/>
        <v>9700</v>
      </c>
    </row>
    <row r="1872" spans="1:9" ht="15" customHeight="1">
      <c r="A1872" s="588">
        <v>41718</v>
      </c>
      <c r="B1872" s="589">
        <v>9500</v>
      </c>
      <c r="C1872" s="589">
        <v>9900</v>
      </c>
      <c r="D1872" s="589">
        <f t="shared" si="113"/>
        <v>9700</v>
      </c>
    </row>
    <row r="1873" spans="1:9" ht="15" customHeight="1">
      <c r="A1873" s="588">
        <v>41719</v>
      </c>
      <c r="B1873" s="589">
        <v>9500</v>
      </c>
      <c r="C1873" s="589">
        <v>9900</v>
      </c>
      <c r="D1873" s="589">
        <f t="shared" si="113"/>
        <v>9700</v>
      </c>
    </row>
    <row r="1874" spans="1:9" ht="15" customHeight="1">
      <c r="A1874" s="588">
        <v>41722</v>
      </c>
      <c r="B1874" s="589">
        <v>9500</v>
      </c>
      <c r="C1874" s="589">
        <v>9900</v>
      </c>
      <c r="D1874" s="589">
        <f t="shared" si="113"/>
        <v>9700</v>
      </c>
    </row>
    <row r="1875" spans="1:9" ht="15" customHeight="1">
      <c r="A1875" s="588">
        <v>41723</v>
      </c>
      <c r="B1875" s="589">
        <v>9500</v>
      </c>
      <c r="C1875" s="589">
        <v>9900</v>
      </c>
      <c r="D1875" s="589">
        <f t="shared" si="113"/>
        <v>9700</v>
      </c>
    </row>
    <row r="1876" spans="1:9" ht="15" customHeight="1">
      <c r="A1876" s="588">
        <v>41724</v>
      </c>
      <c r="B1876" s="589">
        <v>9500</v>
      </c>
      <c r="C1876" s="589">
        <v>9900</v>
      </c>
      <c r="D1876" s="589">
        <f t="shared" ref="D1876:D1892" si="114">AVERAGE(B1876:C1876)</f>
        <v>9700</v>
      </c>
    </row>
    <row r="1877" spans="1:9" ht="15" customHeight="1">
      <c r="A1877" s="588">
        <v>41725</v>
      </c>
      <c r="B1877" s="84">
        <v>9500</v>
      </c>
      <c r="C1877" s="84">
        <v>9900</v>
      </c>
      <c r="D1877" s="84">
        <f t="shared" si="114"/>
        <v>9700</v>
      </c>
    </row>
    <row r="1878" spans="1:9" ht="15" customHeight="1">
      <c r="A1878" s="588">
        <v>41726</v>
      </c>
      <c r="B1878" s="589">
        <v>9500</v>
      </c>
      <c r="C1878" s="589">
        <v>9900</v>
      </c>
      <c r="D1878" s="589">
        <f t="shared" si="114"/>
        <v>9700</v>
      </c>
    </row>
    <row r="1879" spans="1:9" ht="15" customHeight="1" thickBot="1">
      <c r="A1879" s="88">
        <v>41729</v>
      </c>
      <c r="B1879" s="89">
        <v>9700</v>
      </c>
      <c r="C1879" s="89">
        <v>9950</v>
      </c>
      <c r="D1879" s="89">
        <f t="shared" si="114"/>
        <v>9825</v>
      </c>
      <c r="E1879" s="240">
        <f>AVERAGE(D1859:D1879)</f>
        <v>9763.0952380952385</v>
      </c>
      <c r="F1879" s="240">
        <f>AVERAGE(D1817:D1879)</f>
        <v>9698.8095238095229</v>
      </c>
      <c r="G1879" s="92"/>
      <c r="H1879" s="103"/>
      <c r="I1879" s="107"/>
    </row>
    <row r="1880" spans="1:9" ht="15" customHeight="1">
      <c r="A1880" s="83">
        <v>41730</v>
      </c>
      <c r="B1880" s="589">
        <v>9625</v>
      </c>
      <c r="C1880" s="589">
        <v>9881</v>
      </c>
      <c r="D1880" s="589">
        <f t="shared" si="114"/>
        <v>9753</v>
      </c>
    </row>
    <row r="1881" spans="1:9" ht="15" customHeight="1">
      <c r="A1881" s="588">
        <v>41731</v>
      </c>
      <c r="B1881" s="589">
        <v>9500</v>
      </c>
      <c r="C1881" s="589">
        <v>9900</v>
      </c>
      <c r="D1881" s="589">
        <f t="shared" si="114"/>
        <v>9700</v>
      </c>
    </row>
    <row r="1882" spans="1:9" ht="15" customHeight="1">
      <c r="A1882" s="588">
        <v>41732</v>
      </c>
      <c r="B1882" s="589">
        <v>9500</v>
      </c>
      <c r="C1882" s="589">
        <v>9900</v>
      </c>
      <c r="D1882" s="589">
        <f t="shared" si="114"/>
        <v>9700</v>
      </c>
    </row>
    <row r="1883" spans="1:9" ht="15" customHeight="1">
      <c r="A1883" s="588">
        <v>41733</v>
      </c>
      <c r="B1883" s="589">
        <v>9500</v>
      </c>
      <c r="C1883" s="589">
        <v>9900</v>
      </c>
      <c r="D1883" s="589">
        <f t="shared" si="114"/>
        <v>9700</v>
      </c>
    </row>
    <row r="1884" spans="1:9" ht="15" customHeight="1">
      <c r="A1884" s="588">
        <v>41736</v>
      </c>
      <c r="B1884" s="589">
        <v>9500</v>
      </c>
      <c r="C1884" s="589">
        <v>9900</v>
      </c>
      <c r="D1884" s="589">
        <f t="shared" si="114"/>
        <v>9700</v>
      </c>
    </row>
    <row r="1885" spans="1:9" ht="15" customHeight="1">
      <c r="A1885" s="588">
        <v>41737</v>
      </c>
      <c r="B1885" s="589">
        <v>9500</v>
      </c>
      <c r="C1885" s="589">
        <v>9900</v>
      </c>
      <c r="D1885" s="589">
        <f t="shared" si="114"/>
        <v>9700</v>
      </c>
    </row>
    <row r="1886" spans="1:9" ht="15" customHeight="1">
      <c r="A1886" s="588">
        <v>41738</v>
      </c>
      <c r="B1886" s="589">
        <v>9500</v>
      </c>
      <c r="C1886" s="589">
        <v>9900</v>
      </c>
      <c r="D1886" s="589">
        <f t="shared" si="114"/>
        <v>9700</v>
      </c>
    </row>
    <row r="1887" spans="1:9" ht="15" customHeight="1">
      <c r="A1887" s="588">
        <v>41739</v>
      </c>
      <c r="B1887" s="589">
        <v>9500</v>
      </c>
      <c r="C1887" s="589">
        <v>9900</v>
      </c>
      <c r="D1887" s="589">
        <f t="shared" si="114"/>
        <v>9700</v>
      </c>
    </row>
    <row r="1888" spans="1:9" ht="15" customHeight="1">
      <c r="A1888" s="588">
        <v>41740</v>
      </c>
      <c r="B1888" s="589">
        <v>9500</v>
      </c>
      <c r="C1888" s="589">
        <v>9900</v>
      </c>
      <c r="D1888" s="589">
        <f t="shared" si="114"/>
        <v>9700</v>
      </c>
    </row>
    <row r="1889" spans="1:9" ht="15" customHeight="1">
      <c r="A1889" s="588">
        <v>41743</v>
      </c>
      <c r="B1889" s="589">
        <v>9500</v>
      </c>
      <c r="C1889" s="589">
        <v>9900</v>
      </c>
      <c r="D1889" s="589">
        <f t="shared" si="114"/>
        <v>9700</v>
      </c>
    </row>
    <row r="1890" spans="1:9" ht="15" customHeight="1">
      <c r="A1890" s="588">
        <v>41744</v>
      </c>
      <c r="B1890" s="589">
        <v>9500</v>
      </c>
      <c r="C1890" s="589">
        <v>9900</v>
      </c>
      <c r="D1890" s="589">
        <f t="shared" si="114"/>
        <v>9700</v>
      </c>
    </row>
    <row r="1891" spans="1:9" ht="15" customHeight="1">
      <c r="A1891" s="588">
        <v>41745</v>
      </c>
      <c r="B1891" s="589">
        <v>9500</v>
      </c>
      <c r="C1891" s="589">
        <v>9900</v>
      </c>
      <c r="D1891" s="589">
        <f t="shared" si="114"/>
        <v>9700</v>
      </c>
    </row>
    <row r="1892" spans="1:9" ht="15" customHeight="1">
      <c r="A1892" s="588">
        <v>41746</v>
      </c>
      <c r="B1892" s="589">
        <v>9500</v>
      </c>
      <c r="C1892" s="589">
        <v>9900</v>
      </c>
      <c r="D1892" s="589">
        <f t="shared" si="114"/>
        <v>9700</v>
      </c>
    </row>
    <row r="1893" spans="1:9" ht="15" customHeight="1">
      <c r="A1893" s="588">
        <v>41747</v>
      </c>
      <c r="C1893" s="1050" t="s">
        <v>175</v>
      </c>
      <c r="D1893" s="1050"/>
    </row>
    <row r="1894" spans="1:9" ht="15" customHeight="1">
      <c r="A1894" s="588">
        <v>41750</v>
      </c>
      <c r="C1894" s="1050"/>
      <c r="D1894" s="1050"/>
    </row>
    <row r="1895" spans="1:9" ht="15" customHeight="1">
      <c r="A1895" s="588">
        <v>41751</v>
      </c>
      <c r="B1895" s="84">
        <v>9500</v>
      </c>
      <c r="C1895" s="84">
        <v>9900</v>
      </c>
      <c r="D1895" s="589">
        <f t="shared" ref="D1895:D1903" si="115">AVERAGE(B1895:C1895)</f>
        <v>9700</v>
      </c>
    </row>
    <row r="1896" spans="1:9" ht="15" customHeight="1">
      <c r="A1896" s="588">
        <v>41752</v>
      </c>
      <c r="B1896" s="84">
        <v>9500</v>
      </c>
      <c r="C1896" s="84">
        <v>9900</v>
      </c>
      <c r="D1896" s="589">
        <f t="shared" si="115"/>
        <v>9700</v>
      </c>
    </row>
    <row r="1897" spans="1:9" ht="15" customHeight="1">
      <c r="A1897" s="588">
        <v>41753</v>
      </c>
      <c r="B1897" s="84">
        <v>9400</v>
      </c>
      <c r="C1897" s="84">
        <v>9600</v>
      </c>
      <c r="D1897" s="589">
        <f t="shared" si="115"/>
        <v>9500</v>
      </c>
    </row>
    <row r="1898" spans="1:9" ht="15" customHeight="1">
      <c r="A1898" s="588">
        <v>41754</v>
      </c>
      <c r="B1898" s="589">
        <v>9400</v>
      </c>
      <c r="C1898" s="589">
        <v>9600</v>
      </c>
      <c r="D1898" s="589">
        <f t="shared" si="115"/>
        <v>9500</v>
      </c>
    </row>
    <row r="1899" spans="1:9" ht="15" customHeight="1">
      <c r="A1899" s="588">
        <v>41757</v>
      </c>
      <c r="B1899" s="589">
        <v>9400</v>
      </c>
      <c r="C1899" s="589">
        <v>9600</v>
      </c>
      <c r="D1899" s="589">
        <f t="shared" si="115"/>
        <v>9500</v>
      </c>
    </row>
    <row r="1900" spans="1:9" ht="15" customHeight="1">
      <c r="A1900" s="588">
        <v>41758</v>
      </c>
      <c r="B1900" s="589">
        <v>9400</v>
      </c>
      <c r="C1900" s="589">
        <v>9600</v>
      </c>
      <c r="D1900" s="589">
        <f t="shared" si="115"/>
        <v>9500</v>
      </c>
    </row>
    <row r="1901" spans="1:9" ht="15" customHeight="1" thickBot="1">
      <c r="A1901" s="88">
        <v>41759</v>
      </c>
      <c r="B1901" s="89">
        <v>9400</v>
      </c>
      <c r="C1901" s="89">
        <v>9600</v>
      </c>
      <c r="D1901" s="89">
        <f t="shared" si="115"/>
        <v>9500</v>
      </c>
      <c r="E1901" s="240">
        <f>AVERAGE(D1880:D1901)</f>
        <v>9652.65</v>
      </c>
      <c r="F1901" s="240">
        <f>AVERAGE(D1817:D1901)</f>
        <v>9687.6867469879526</v>
      </c>
      <c r="G1901" s="92"/>
      <c r="H1901" s="103"/>
      <c r="I1901" s="107"/>
    </row>
    <row r="1902" spans="1:9" ht="15" customHeight="1">
      <c r="A1902" s="83">
        <v>41760</v>
      </c>
      <c r="B1902" s="589">
        <v>9400</v>
      </c>
      <c r="C1902" s="589">
        <v>9500</v>
      </c>
      <c r="D1902" s="589">
        <f t="shared" si="115"/>
        <v>9450</v>
      </c>
    </row>
    <row r="1903" spans="1:9" ht="15" customHeight="1">
      <c r="A1903" s="588">
        <v>41761</v>
      </c>
      <c r="B1903" s="589">
        <v>9400</v>
      </c>
      <c r="C1903" s="589">
        <v>9500</v>
      </c>
      <c r="D1903" s="589">
        <f t="shared" si="115"/>
        <v>9450</v>
      </c>
    </row>
    <row r="1904" spans="1:9" ht="15" customHeight="1">
      <c r="A1904" s="588"/>
      <c r="B1904" s="1051" t="s">
        <v>112</v>
      </c>
      <c r="C1904" s="1051"/>
      <c r="D1904" s="1051"/>
    </row>
    <row r="1905" spans="1:4" ht="15" customHeight="1">
      <c r="A1905" s="588">
        <v>41765</v>
      </c>
      <c r="B1905" s="589">
        <v>9400</v>
      </c>
      <c r="C1905" s="589">
        <v>9500</v>
      </c>
      <c r="D1905" s="589">
        <f>AVERAGE(B1905:C1905)</f>
        <v>9450</v>
      </c>
    </row>
    <row r="1906" spans="1:4" ht="15" customHeight="1">
      <c r="A1906" s="588">
        <v>41766</v>
      </c>
      <c r="B1906" s="589">
        <v>9400</v>
      </c>
      <c r="C1906" s="589">
        <v>9500</v>
      </c>
      <c r="D1906" s="589">
        <f>AVERAGE(B1906:C1906)</f>
        <v>9450</v>
      </c>
    </row>
    <row r="1907" spans="1:4" ht="15" customHeight="1">
      <c r="A1907" s="588">
        <v>41767</v>
      </c>
      <c r="B1907" s="589">
        <v>9400</v>
      </c>
      <c r="C1907" s="589">
        <v>9500</v>
      </c>
      <c r="D1907" s="589">
        <f>AVERAGE(B1907:C1907)</f>
        <v>9450</v>
      </c>
    </row>
    <row r="1908" spans="1:4" ht="15" customHeight="1">
      <c r="A1908" s="588">
        <v>41768</v>
      </c>
      <c r="B1908" s="589">
        <v>9400</v>
      </c>
      <c r="C1908" s="589">
        <v>9500</v>
      </c>
      <c r="D1908" s="589">
        <f>AVERAGE(B1908:C1908)</f>
        <v>9450</v>
      </c>
    </row>
    <row r="1909" spans="1:4" ht="15" customHeight="1">
      <c r="A1909" s="588">
        <v>41771</v>
      </c>
      <c r="B1909" s="589">
        <v>9400</v>
      </c>
      <c r="C1909" s="589">
        <v>9500</v>
      </c>
      <c r="D1909" s="589">
        <f>AVERAGE(B1909:C1909)</f>
        <v>9450</v>
      </c>
    </row>
    <row r="1910" spans="1:4" ht="15" customHeight="1">
      <c r="A1910" s="588">
        <v>41772</v>
      </c>
      <c r="B1910" s="84">
        <v>9400</v>
      </c>
      <c r="C1910" s="84">
        <v>9500</v>
      </c>
      <c r="D1910" s="84">
        <f t="shared" ref="D1910:D1915" si="116">AVERAGE(B1910:C1910)</f>
        <v>9450</v>
      </c>
    </row>
    <row r="1911" spans="1:4" ht="15" customHeight="1">
      <c r="A1911" s="588">
        <v>41773</v>
      </c>
      <c r="B1911" s="84">
        <v>9400</v>
      </c>
      <c r="C1911" s="84">
        <v>9500</v>
      </c>
      <c r="D1911" s="84">
        <f t="shared" si="116"/>
        <v>9450</v>
      </c>
    </row>
    <row r="1912" spans="1:4" ht="15" customHeight="1">
      <c r="A1912" s="588">
        <v>41774</v>
      </c>
      <c r="B1912" s="84">
        <v>9400</v>
      </c>
      <c r="C1912" s="84">
        <v>9500</v>
      </c>
      <c r="D1912" s="84">
        <f t="shared" si="116"/>
        <v>9450</v>
      </c>
    </row>
    <row r="1913" spans="1:4" ht="15" customHeight="1">
      <c r="A1913" s="588">
        <v>41775</v>
      </c>
      <c r="B1913" s="589">
        <v>9400</v>
      </c>
      <c r="C1913" s="589">
        <v>9500</v>
      </c>
      <c r="D1913" s="589">
        <f t="shared" si="116"/>
        <v>9450</v>
      </c>
    </row>
    <row r="1914" spans="1:4" ht="15" customHeight="1">
      <c r="A1914" s="588">
        <v>41778</v>
      </c>
      <c r="B1914" s="589">
        <v>9400</v>
      </c>
      <c r="C1914" s="589">
        <v>9500</v>
      </c>
      <c r="D1914" s="589">
        <f t="shared" si="116"/>
        <v>9450</v>
      </c>
    </row>
    <row r="1915" spans="1:4" ht="15" customHeight="1">
      <c r="A1915" s="588">
        <v>41779</v>
      </c>
      <c r="B1915" s="589">
        <v>9400</v>
      </c>
      <c r="C1915" s="589">
        <v>9500</v>
      </c>
      <c r="D1915" s="589">
        <f t="shared" si="116"/>
        <v>9450</v>
      </c>
    </row>
    <row r="1916" spans="1:4" ht="15" customHeight="1">
      <c r="A1916" s="588">
        <v>41780</v>
      </c>
      <c r="B1916" s="589">
        <v>9400</v>
      </c>
      <c r="C1916" s="589">
        <v>9500</v>
      </c>
      <c r="D1916" s="589">
        <f>AVERAGE(B1916:C1916)</f>
        <v>9450</v>
      </c>
    </row>
    <row r="1917" spans="1:4" ht="15" customHeight="1">
      <c r="A1917" s="588">
        <v>41781</v>
      </c>
      <c r="B1917" s="589">
        <v>9400</v>
      </c>
      <c r="C1917" s="589">
        <v>9500</v>
      </c>
      <c r="D1917" s="589">
        <f>AVERAGE(B1917:C1917)</f>
        <v>9450</v>
      </c>
    </row>
    <row r="1918" spans="1:4" ht="15" customHeight="1">
      <c r="A1918" s="588">
        <v>41782</v>
      </c>
      <c r="B1918" s="589">
        <v>9400</v>
      </c>
      <c r="C1918" s="589">
        <v>9500</v>
      </c>
      <c r="D1918" s="589">
        <f>AVERAGE(B1918:C1918)</f>
        <v>9450</v>
      </c>
    </row>
    <row r="1919" spans="1:4" ht="15" customHeight="1">
      <c r="A1919" s="588">
        <v>41785</v>
      </c>
      <c r="B1919" s="1051" t="s">
        <v>112</v>
      </c>
      <c r="C1919" s="1051"/>
      <c r="D1919" s="1051"/>
    </row>
    <row r="1920" spans="1:4" ht="15" customHeight="1">
      <c r="A1920" s="588">
        <v>41786</v>
      </c>
      <c r="B1920" s="589">
        <v>9400</v>
      </c>
      <c r="C1920" s="589">
        <v>9500</v>
      </c>
      <c r="D1920" s="589">
        <f t="shared" ref="D1920:D1929" si="117">AVERAGE(B1920:C1920)</f>
        <v>9450</v>
      </c>
    </row>
    <row r="1921" spans="1:9" ht="15" customHeight="1">
      <c r="A1921" s="588">
        <v>41787</v>
      </c>
      <c r="B1921" s="589">
        <v>9400</v>
      </c>
      <c r="C1921" s="589">
        <v>9500</v>
      </c>
      <c r="D1921" s="589">
        <f t="shared" si="117"/>
        <v>9450</v>
      </c>
    </row>
    <row r="1922" spans="1:9" ht="15" customHeight="1">
      <c r="A1922" s="588">
        <v>41788</v>
      </c>
      <c r="B1922" s="589">
        <v>9400</v>
      </c>
      <c r="C1922" s="589">
        <v>9500</v>
      </c>
      <c r="D1922" s="589">
        <f t="shared" si="117"/>
        <v>9450</v>
      </c>
    </row>
    <row r="1923" spans="1:9" ht="15" customHeight="1" thickBot="1">
      <c r="A1923" s="88">
        <v>41789</v>
      </c>
      <c r="B1923" s="89">
        <v>9400</v>
      </c>
      <c r="C1923" s="89">
        <v>9500</v>
      </c>
      <c r="D1923" s="89">
        <f t="shared" si="117"/>
        <v>9450</v>
      </c>
      <c r="E1923" s="240">
        <f>AVERAGE(D1902:D1923)</f>
        <v>9450</v>
      </c>
      <c r="F1923" s="240">
        <f>AVERAGE(D1817:D1923)</f>
        <v>9641.5339805825242</v>
      </c>
      <c r="G1923" s="92"/>
      <c r="H1923" s="103"/>
      <c r="I1923" s="107"/>
    </row>
    <row r="1924" spans="1:9" ht="15" customHeight="1">
      <c r="A1924" s="588">
        <v>41792</v>
      </c>
      <c r="B1924" s="589">
        <v>9400</v>
      </c>
      <c r="C1924" s="589">
        <v>9500</v>
      </c>
      <c r="D1924" s="589">
        <f t="shared" si="117"/>
        <v>9450</v>
      </c>
    </row>
    <row r="1925" spans="1:9" ht="15" customHeight="1">
      <c r="A1925" s="588">
        <v>41793</v>
      </c>
      <c r="B1925" s="589">
        <v>9400</v>
      </c>
      <c r="C1925" s="589">
        <v>9500</v>
      </c>
      <c r="D1925" s="589">
        <f t="shared" si="117"/>
        <v>9450</v>
      </c>
    </row>
    <row r="1926" spans="1:9" ht="15" customHeight="1">
      <c r="A1926" s="588">
        <v>41794</v>
      </c>
      <c r="B1926" s="589">
        <v>9400</v>
      </c>
      <c r="C1926" s="589">
        <v>9500</v>
      </c>
      <c r="D1926" s="589">
        <f t="shared" si="117"/>
        <v>9450</v>
      </c>
    </row>
    <row r="1927" spans="1:9" ht="15" customHeight="1">
      <c r="A1927" s="588">
        <v>41795</v>
      </c>
      <c r="B1927" s="589">
        <v>9400</v>
      </c>
      <c r="C1927" s="589">
        <v>9500</v>
      </c>
      <c r="D1927" s="589">
        <f t="shared" si="117"/>
        <v>9450</v>
      </c>
    </row>
    <row r="1928" spans="1:9" ht="15" customHeight="1">
      <c r="A1928" s="588">
        <v>41796</v>
      </c>
      <c r="B1928" s="589">
        <v>9400</v>
      </c>
      <c r="C1928" s="589">
        <v>9500</v>
      </c>
      <c r="D1928" s="589">
        <f t="shared" si="117"/>
        <v>9450</v>
      </c>
    </row>
    <row r="1929" spans="1:9" ht="15" customHeight="1">
      <c r="A1929" s="588">
        <v>41799</v>
      </c>
      <c r="B1929" s="84">
        <v>9400</v>
      </c>
      <c r="C1929" s="84">
        <v>9700</v>
      </c>
      <c r="D1929" s="84">
        <f t="shared" si="117"/>
        <v>9550</v>
      </c>
    </row>
    <row r="1930" spans="1:9" ht="15" customHeight="1">
      <c r="A1930" s="588">
        <v>41800</v>
      </c>
      <c r="B1930" s="589">
        <v>9400</v>
      </c>
      <c r="C1930" s="589">
        <v>9700</v>
      </c>
      <c r="D1930" s="589">
        <f t="shared" ref="D1930" si="118">AVERAGE(B1930:C1930)</f>
        <v>9550</v>
      </c>
    </row>
    <row r="1931" spans="1:9" ht="15" customHeight="1">
      <c r="A1931" s="588">
        <v>41801</v>
      </c>
      <c r="B1931" s="589">
        <v>9400</v>
      </c>
      <c r="C1931" s="589">
        <v>9700</v>
      </c>
      <c r="D1931" s="589">
        <f t="shared" ref="D1931" si="119">AVERAGE(B1931:C1931)</f>
        <v>9550</v>
      </c>
    </row>
    <row r="1932" spans="1:9" ht="15" customHeight="1">
      <c r="A1932" s="588">
        <v>41802</v>
      </c>
      <c r="B1932" s="589">
        <v>9400</v>
      </c>
      <c r="C1932" s="589">
        <v>9700</v>
      </c>
      <c r="D1932" s="589">
        <f t="shared" ref="D1932:D1943" si="120">AVERAGE(B1932:C1932)</f>
        <v>9550</v>
      </c>
    </row>
    <row r="1933" spans="1:9" ht="15" customHeight="1">
      <c r="A1933" s="588">
        <v>41803</v>
      </c>
      <c r="B1933" s="84">
        <v>9500</v>
      </c>
      <c r="C1933" s="84">
        <v>9700</v>
      </c>
      <c r="D1933" s="84">
        <f t="shared" si="120"/>
        <v>9600</v>
      </c>
    </row>
    <row r="1934" spans="1:9" ht="15" customHeight="1">
      <c r="A1934" s="83">
        <v>41806</v>
      </c>
      <c r="B1934" s="84">
        <v>9500</v>
      </c>
      <c r="C1934" s="84">
        <v>9700</v>
      </c>
      <c r="D1934" s="84">
        <f t="shared" si="120"/>
        <v>9600</v>
      </c>
    </row>
    <row r="1935" spans="1:9" ht="15" customHeight="1">
      <c r="A1935" s="588">
        <v>41807</v>
      </c>
      <c r="B1935" s="84">
        <v>9500</v>
      </c>
      <c r="C1935" s="84">
        <v>9700</v>
      </c>
      <c r="D1935" s="84">
        <f t="shared" si="120"/>
        <v>9600</v>
      </c>
    </row>
    <row r="1936" spans="1:9" ht="15" customHeight="1">
      <c r="A1936" s="588">
        <v>41808</v>
      </c>
      <c r="B1936" s="84">
        <v>9500</v>
      </c>
      <c r="C1936" s="84">
        <v>9700</v>
      </c>
      <c r="D1936" s="84">
        <f t="shared" si="120"/>
        <v>9600</v>
      </c>
    </row>
    <row r="1937" spans="1:10" ht="15" customHeight="1">
      <c r="A1937" s="588">
        <v>41809</v>
      </c>
      <c r="B1937" s="84">
        <v>9500</v>
      </c>
      <c r="C1937" s="84">
        <v>9700</v>
      </c>
      <c r="D1937" s="84">
        <f t="shared" si="120"/>
        <v>9600</v>
      </c>
    </row>
    <row r="1938" spans="1:10" ht="15" customHeight="1">
      <c r="A1938" s="588">
        <v>41810</v>
      </c>
      <c r="B1938" s="84">
        <v>9500</v>
      </c>
      <c r="C1938" s="84">
        <v>9700</v>
      </c>
      <c r="D1938" s="84">
        <f t="shared" si="120"/>
        <v>9600</v>
      </c>
    </row>
    <row r="1939" spans="1:10" ht="15" customHeight="1">
      <c r="A1939" s="588">
        <v>41813</v>
      </c>
      <c r="B1939" s="84">
        <v>9500</v>
      </c>
      <c r="C1939" s="84">
        <v>9700</v>
      </c>
      <c r="D1939" s="84">
        <f t="shared" si="120"/>
        <v>9600</v>
      </c>
    </row>
    <row r="1940" spans="1:10" ht="15" customHeight="1">
      <c r="A1940" s="588">
        <v>41814</v>
      </c>
      <c r="B1940" s="84">
        <v>9500</v>
      </c>
      <c r="C1940" s="84">
        <v>9700</v>
      </c>
      <c r="D1940" s="84">
        <f t="shared" si="120"/>
        <v>9600</v>
      </c>
    </row>
    <row r="1941" spans="1:10" ht="15" customHeight="1">
      <c r="A1941" s="588">
        <v>41815</v>
      </c>
      <c r="B1941" s="84">
        <v>9500</v>
      </c>
      <c r="C1941" s="84">
        <v>9700</v>
      </c>
      <c r="D1941" s="84">
        <f t="shared" si="120"/>
        <v>9600</v>
      </c>
    </row>
    <row r="1942" spans="1:10" ht="15" customHeight="1">
      <c r="A1942" s="588">
        <v>41816</v>
      </c>
      <c r="B1942" s="84">
        <v>9500</v>
      </c>
      <c r="C1942" s="84">
        <v>9700</v>
      </c>
      <c r="D1942" s="84">
        <f t="shared" si="120"/>
        <v>9600</v>
      </c>
    </row>
    <row r="1943" spans="1:10" ht="15" customHeight="1">
      <c r="A1943" s="588">
        <v>41817</v>
      </c>
      <c r="B1943" s="84">
        <v>9500</v>
      </c>
      <c r="C1943" s="84">
        <v>9700</v>
      </c>
      <c r="D1943" s="84">
        <f t="shared" si="120"/>
        <v>9600</v>
      </c>
    </row>
    <row r="1944" spans="1:10" ht="15" customHeight="1" thickBot="1">
      <c r="A1944" s="88">
        <v>41820</v>
      </c>
      <c r="B1944" s="89">
        <v>9500</v>
      </c>
      <c r="C1944" s="89">
        <v>9700</v>
      </c>
      <c r="D1944" s="89">
        <f t="shared" ref="D1944:D1947" si="121">AVERAGE(B1944:C1944)</f>
        <v>9600</v>
      </c>
      <c r="E1944" s="240">
        <f>AVERAGE(D1924:D1944)</f>
        <v>9554.7619047619046</v>
      </c>
      <c r="F1944" s="240">
        <f>AVERAGE(D1817:D1944)</f>
        <v>9626.8387096774186</v>
      </c>
      <c r="G1944" s="92"/>
      <c r="H1944" s="103"/>
      <c r="I1944" s="107"/>
    </row>
    <row r="1945" spans="1:10" ht="15" customHeight="1">
      <c r="A1945" s="845">
        <v>41821</v>
      </c>
      <c r="B1945" s="158">
        <v>9500</v>
      </c>
      <c r="C1945" s="158">
        <v>9700</v>
      </c>
      <c r="D1945" s="158">
        <f t="shared" si="121"/>
        <v>9600</v>
      </c>
      <c r="E1945" s="163"/>
      <c r="F1945" s="163"/>
      <c r="G1945" s="227"/>
      <c r="H1945" s="228"/>
      <c r="I1945" s="229"/>
      <c r="J1945" s="231"/>
    </row>
    <row r="1946" spans="1:10" ht="15" customHeight="1">
      <c r="A1946" s="846">
        <v>41822</v>
      </c>
      <c r="B1946" s="590">
        <v>9500</v>
      </c>
      <c r="C1946" s="590">
        <v>9700</v>
      </c>
      <c r="D1946" s="590">
        <f t="shared" si="121"/>
        <v>9600</v>
      </c>
      <c r="E1946" s="96"/>
      <c r="F1946" s="96"/>
      <c r="G1946" s="179"/>
      <c r="H1946" s="180"/>
      <c r="I1946" s="181"/>
      <c r="J1946" s="231"/>
    </row>
    <row r="1947" spans="1:10" ht="15" customHeight="1">
      <c r="A1947" s="846">
        <v>41823</v>
      </c>
      <c r="B1947" s="590">
        <v>9500</v>
      </c>
      <c r="C1947" s="590">
        <v>9700</v>
      </c>
      <c r="D1947" s="590">
        <f t="shared" si="121"/>
        <v>9600</v>
      </c>
      <c r="E1947" s="96"/>
      <c r="F1947" s="96"/>
      <c r="G1947" s="179"/>
      <c r="H1947" s="180"/>
      <c r="I1947" s="181"/>
      <c r="J1947" s="231"/>
    </row>
    <row r="1948" spans="1:10" ht="15" customHeight="1">
      <c r="A1948" s="846">
        <v>41824</v>
      </c>
      <c r="B1948" s="590">
        <v>9500</v>
      </c>
      <c r="C1948" s="590">
        <v>9700</v>
      </c>
      <c r="D1948" s="590">
        <f t="shared" ref="D1948:D1957" si="122">AVERAGE(B1948:C1948)</f>
        <v>9600</v>
      </c>
      <c r="E1948" s="96"/>
      <c r="F1948" s="96"/>
      <c r="G1948" s="179"/>
      <c r="H1948" s="180"/>
      <c r="I1948" s="181"/>
      <c r="J1948" s="231"/>
    </row>
    <row r="1949" spans="1:10" ht="15" customHeight="1">
      <c r="A1949" s="846">
        <v>41827</v>
      </c>
      <c r="B1949" s="590">
        <v>9500</v>
      </c>
      <c r="C1949" s="590">
        <v>9700</v>
      </c>
      <c r="D1949" s="590">
        <f t="shared" si="122"/>
        <v>9600</v>
      </c>
      <c r="E1949" s="96"/>
      <c r="F1949" s="96"/>
      <c r="G1949" s="179"/>
      <c r="H1949" s="180"/>
      <c r="I1949" s="181"/>
      <c r="J1949" s="231"/>
    </row>
    <row r="1950" spans="1:10" ht="15" customHeight="1">
      <c r="A1950" s="846">
        <v>41828</v>
      </c>
      <c r="B1950" s="590">
        <v>9500</v>
      </c>
      <c r="C1950" s="590">
        <v>9700</v>
      </c>
      <c r="D1950" s="590">
        <f t="shared" si="122"/>
        <v>9600</v>
      </c>
      <c r="E1950" s="96"/>
      <c r="F1950" s="96"/>
      <c r="G1950" s="179"/>
      <c r="H1950" s="180"/>
      <c r="I1950" s="181"/>
      <c r="J1950" s="231"/>
    </row>
    <row r="1951" spans="1:10" ht="15" customHeight="1">
      <c r="A1951" s="846">
        <v>41829</v>
      </c>
      <c r="B1951" s="590">
        <v>9500</v>
      </c>
      <c r="C1951" s="590">
        <v>9700</v>
      </c>
      <c r="D1951" s="590">
        <f t="shared" si="122"/>
        <v>9600</v>
      </c>
      <c r="E1951" s="96"/>
      <c r="F1951" s="96"/>
      <c r="G1951" s="179"/>
      <c r="H1951" s="180"/>
      <c r="I1951" s="181"/>
      <c r="J1951" s="231"/>
    </row>
    <row r="1952" spans="1:10" ht="15" customHeight="1">
      <c r="A1952" s="846">
        <v>41830</v>
      </c>
      <c r="B1952" s="590">
        <v>9300</v>
      </c>
      <c r="C1952" s="590">
        <v>9500</v>
      </c>
      <c r="D1952" s="590">
        <f t="shared" si="122"/>
        <v>9400</v>
      </c>
      <c r="E1952" s="96"/>
      <c r="F1952" s="96"/>
      <c r="G1952" s="179"/>
      <c r="H1952" s="180"/>
      <c r="I1952" s="181"/>
      <c r="J1952" s="231"/>
    </row>
    <row r="1953" spans="1:10" ht="15" customHeight="1">
      <c r="A1953" s="846">
        <v>41831</v>
      </c>
      <c r="B1953" s="590">
        <v>9300</v>
      </c>
      <c r="C1953" s="590">
        <v>9500</v>
      </c>
      <c r="D1953" s="590">
        <f t="shared" si="122"/>
        <v>9400</v>
      </c>
      <c r="E1953" s="96"/>
      <c r="F1953" s="96"/>
      <c r="G1953" s="179"/>
      <c r="H1953" s="180"/>
      <c r="I1953" s="181"/>
      <c r="J1953" s="231"/>
    </row>
    <row r="1954" spans="1:10" ht="15" customHeight="1">
      <c r="A1954" s="846">
        <v>41834</v>
      </c>
      <c r="B1954" s="590">
        <v>9300</v>
      </c>
      <c r="C1954" s="590">
        <v>9500</v>
      </c>
      <c r="D1954" s="590">
        <f t="shared" si="122"/>
        <v>9400</v>
      </c>
      <c r="E1954" s="96"/>
      <c r="F1954" s="96"/>
      <c r="G1954" s="179"/>
      <c r="H1954" s="180"/>
      <c r="I1954" s="181"/>
      <c r="J1954" s="231"/>
    </row>
    <row r="1955" spans="1:10" ht="15" customHeight="1">
      <c r="A1955" s="846">
        <v>41835</v>
      </c>
      <c r="B1955" s="590">
        <v>9300</v>
      </c>
      <c r="C1955" s="590">
        <v>9500</v>
      </c>
      <c r="D1955" s="590">
        <f t="shared" si="122"/>
        <v>9400</v>
      </c>
      <c r="E1955" s="96"/>
      <c r="F1955" s="96"/>
      <c r="G1955" s="179"/>
      <c r="H1955" s="180"/>
      <c r="I1955" s="181"/>
      <c r="J1955" s="231"/>
    </row>
    <row r="1956" spans="1:10" ht="15" customHeight="1">
      <c r="A1956" s="846">
        <v>41836</v>
      </c>
      <c r="B1956" s="590">
        <v>9300</v>
      </c>
      <c r="C1956" s="590">
        <v>9500</v>
      </c>
      <c r="D1956" s="590">
        <f t="shared" si="122"/>
        <v>9400</v>
      </c>
      <c r="E1956" s="96"/>
      <c r="F1956" s="96"/>
      <c r="G1956" s="179"/>
      <c r="H1956" s="180"/>
      <c r="I1956" s="181"/>
      <c r="J1956" s="231"/>
    </row>
    <row r="1957" spans="1:10" ht="15" customHeight="1">
      <c r="A1957" s="846">
        <v>41837</v>
      </c>
      <c r="B1957" s="590">
        <v>9300</v>
      </c>
      <c r="C1957" s="590">
        <v>9500</v>
      </c>
      <c r="D1957" s="590">
        <f t="shared" si="122"/>
        <v>9400</v>
      </c>
      <c r="E1957" s="96"/>
      <c r="F1957" s="96"/>
      <c r="G1957" s="179"/>
      <c r="H1957" s="180"/>
      <c r="I1957" s="181"/>
      <c r="J1957" s="231"/>
    </row>
    <row r="1958" spans="1:10" ht="15" customHeight="1">
      <c r="A1958" s="846">
        <v>41838</v>
      </c>
      <c r="B1958" s="590">
        <v>9300</v>
      </c>
      <c r="C1958" s="590">
        <v>9500</v>
      </c>
      <c r="D1958" s="590">
        <f t="shared" ref="D1958" si="123">AVERAGE(B1958:C1958)</f>
        <v>9400</v>
      </c>
      <c r="E1958" s="96"/>
      <c r="F1958" s="96"/>
      <c r="G1958" s="179"/>
      <c r="H1958" s="180"/>
      <c r="I1958" s="181"/>
      <c r="J1958" s="231"/>
    </row>
    <row r="1959" spans="1:10" ht="15" customHeight="1">
      <c r="A1959" s="846">
        <v>41841</v>
      </c>
      <c r="B1959" s="590">
        <v>9300</v>
      </c>
      <c r="C1959" s="590">
        <v>9500</v>
      </c>
      <c r="D1959" s="590">
        <f t="shared" ref="D1959:D1983" si="124">AVERAGE(B1959:C1959)</f>
        <v>9400</v>
      </c>
      <c r="E1959" s="96"/>
      <c r="F1959" s="96"/>
      <c r="G1959" s="179"/>
      <c r="H1959" s="180"/>
      <c r="I1959" s="181"/>
      <c r="J1959" s="231"/>
    </row>
    <row r="1960" spans="1:10" ht="15" customHeight="1">
      <c r="A1960" s="846">
        <v>41842</v>
      </c>
      <c r="B1960" s="590">
        <v>9300</v>
      </c>
      <c r="C1960" s="590">
        <v>9500</v>
      </c>
      <c r="D1960" s="590">
        <f t="shared" si="124"/>
        <v>9400</v>
      </c>
      <c r="E1960" s="96"/>
      <c r="F1960" s="96"/>
      <c r="G1960" s="179"/>
      <c r="H1960" s="180"/>
      <c r="I1960" s="181"/>
      <c r="J1960" s="231"/>
    </row>
    <row r="1961" spans="1:10" ht="15" customHeight="1">
      <c r="A1961" s="846">
        <v>41843</v>
      </c>
      <c r="B1961" s="590">
        <v>9300</v>
      </c>
      <c r="C1961" s="590">
        <v>9500</v>
      </c>
      <c r="D1961" s="590">
        <f t="shared" si="124"/>
        <v>9400</v>
      </c>
      <c r="E1961" s="96"/>
      <c r="F1961" s="96"/>
      <c r="G1961" s="179"/>
      <c r="H1961" s="180"/>
      <c r="I1961" s="181"/>
      <c r="J1961" s="231"/>
    </row>
    <row r="1962" spans="1:10" ht="15" customHeight="1">
      <c r="A1962" s="846">
        <v>41844</v>
      </c>
      <c r="B1962" s="590">
        <v>9300</v>
      </c>
      <c r="C1962" s="590">
        <v>9500</v>
      </c>
      <c r="D1962" s="590">
        <f t="shared" si="124"/>
        <v>9400</v>
      </c>
      <c r="E1962" s="96"/>
      <c r="F1962" s="96"/>
      <c r="G1962" s="179"/>
      <c r="H1962" s="180"/>
      <c r="I1962" s="181"/>
      <c r="J1962" s="231"/>
    </row>
    <row r="1963" spans="1:10" ht="15" customHeight="1">
      <c r="A1963" s="846">
        <v>41845</v>
      </c>
      <c r="B1963" s="590">
        <v>9300</v>
      </c>
      <c r="C1963" s="590">
        <v>9500</v>
      </c>
      <c r="D1963" s="590">
        <f t="shared" si="124"/>
        <v>9400</v>
      </c>
      <c r="E1963" s="96"/>
      <c r="F1963" s="96"/>
      <c r="G1963" s="179"/>
      <c r="H1963" s="180"/>
      <c r="I1963" s="181"/>
      <c r="J1963" s="231"/>
    </row>
    <row r="1964" spans="1:10" ht="15" customHeight="1">
      <c r="A1964" s="846">
        <v>41848</v>
      </c>
      <c r="B1964" s="590">
        <v>9300</v>
      </c>
      <c r="C1964" s="590">
        <v>9500</v>
      </c>
      <c r="D1964" s="590">
        <f t="shared" si="124"/>
        <v>9400</v>
      </c>
      <c r="E1964" s="96"/>
      <c r="F1964" s="96"/>
      <c r="G1964" s="179"/>
      <c r="H1964" s="180"/>
      <c r="I1964" s="181"/>
      <c r="J1964" s="231"/>
    </row>
    <row r="1965" spans="1:10" ht="15" customHeight="1">
      <c r="A1965" s="846">
        <v>41849</v>
      </c>
      <c r="B1965" s="590">
        <v>9300</v>
      </c>
      <c r="C1965" s="590">
        <v>9500</v>
      </c>
      <c r="D1965" s="590">
        <f t="shared" si="124"/>
        <v>9400</v>
      </c>
      <c r="E1965" s="96"/>
      <c r="F1965" s="96"/>
      <c r="G1965" s="179"/>
      <c r="H1965" s="180"/>
      <c r="I1965" s="181"/>
      <c r="J1965" s="231"/>
    </row>
    <row r="1966" spans="1:10" ht="15" customHeight="1">
      <c r="A1966" s="846">
        <v>41850</v>
      </c>
      <c r="B1966" s="590">
        <v>9300</v>
      </c>
      <c r="C1966" s="590">
        <v>9500</v>
      </c>
      <c r="D1966" s="590">
        <f t="shared" si="124"/>
        <v>9400</v>
      </c>
      <c r="E1966" s="96"/>
      <c r="F1966" s="96"/>
      <c r="G1966" s="179"/>
      <c r="H1966" s="180"/>
      <c r="I1966" s="181"/>
      <c r="J1966" s="231"/>
    </row>
    <row r="1967" spans="1:10" ht="15" customHeight="1" thickBot="1">
      <c r="A1967" s="847">
        <v>41851</v>
      </c>
      <c r="B1967" s="89">
        <v>9300</v>
      </c>
      <c r="C1967" s="89">
        <v>9500</v>
      </c>
      <c r="D1967" s="89">
        <f t="shared" si="124"/>
        <v>9400</v>
      </c>
      <c r="E1967" s="240">
        <f>AVERAGE(D1945:D1967)</f>
        <v>9460.8695652173919</v>
      </c>
      <c r="F1967" s="240">
        <f>AVERAGE(D1817:D1967)</f>
        <v>9600.8707482993195</v>
      </c>
      <c r="G1967" s="92"/>
      <c r="H1967" s="103"/>
      <c r="I1967" s="107"/>
      <c r="J1967" s="231"/>
    </row>
    <row r="1968" spans="1:10" ht="15" customHeight="1">
      <c r="A1968" s="83">
        <v>41852</v>
      </c>
      <c r="B1968" s="84">
        <v>9300</v>
      </c>
      <c r="C1968" s="84">
        <v>9500</v>
      </c>
      <c r="D1968" s="84">
        <f t="shared" si="124"/>
        <v>9400</v>
      </c>
      <c r="J1968" s="231"/>
    </row>
    <row r="1969" spans="1:6" ht="15" customHeight="1">
      <c r="A1969" s="588">
        <v>41855</v>
      </c>
      <c r="B1969" s="84">
        <v>9300</v>
      </c>
      <c r="C1969" s="84">
        <v>9600</v>
      </c>
      <c r="D1969" s="84">
        <f t="shared" si="124"/>
        <v>9450</v>
      </c>
    </row>
    <row r="1970" spans="1:6" ht="15" customHeight="1">
      <c r="A1970" s="588">
        <v>41856</v>
      </c>
      <c r="B1970" s="84">
        <v>9300</v>
      </c>
      <c r="C1970" s="84">
        <v>9600</v>
      </c>
      <c r="D1970" s="84">
        <f t="shared" si="124"/>
        <v>9450</v>
      </c>
    </row>
    <row r="1971" spans="1:6" ht="15" customHeight="1">
      <c r="A1971" s="588">
        <v>41857</v>
      </c>
      <c r="B1971" s="84">
        <v>9300</v>
      </c>
      <c r="C1971" s="84">
        <v>9600</v>
      </c>
      <c r="D1971" s="84">
        <f t="shared" si="124"/>
        <v>9450</v>
      </c>
    </row>
    <row r="1972" spans="1:6" ht="15" customHeight="1">
      <c r="A1972" s="588">
        <v>41858</v>
      </c>
      <c r="B1972" s="84">
        <v>9300</v>
      </c>
      <c r="C1972" s="84">
        <v>9600</v>
      </c>
      <c r="D1972" s="84">
        <f t="shared" si="124"/>
        <v>9450</v>
      </c>
    </row>
    <row r="1973" spans="1:6" ht="15" customHeight="1">
      <c r="A1973" s="588">
        <v>41859</v>
      </c>
      <c r="B1973" s="84">
        <v>9300</v>
      </c>
      <c r="C1973" s="84">
        <v>9600</v>
      </c>
      <c r="D1973" s="84">
        <f t="shared" si="124"/>
        <v>9450</v>
      </c>
    </row>
    <row r="1974" spans="1:6" ht="15" customHeight="1">
      <c r="A1974" s="588">
        <v>41862</v>
      </c>
      <c r="B1974" s="84">
        <v>9300</v>
      </c>
      <c r="C1974" s="84">
        <v>9600</v>
      </c>
      <c r="D1974" s="84">
        <f t="shared" si="124"/>
        <v>9450</v>
      </c>
    </row>
    <row r="1975" spans="1:6" ht="15" customHeight="1">
      <c r="A1975" s="588">
        <v>41863</v>
      </c>
      <c r="B1975" s="84">
        <v>9300</v>
      </c>
      <c r="C1975" s="84">
        <v>9600</v>
      </c>
      <c r="D1975" s="84">
        <f t="shared" si="124"/>
        <v>9450</v>
      </c>
    </row>
    <row r="1976" spans="1:6" ht="15" customHeight="1">
      <c r="A1976" s="588">
        <v>41864</v>
      </c>
      <c r="B1976" s="84">
        <v>9300</v>
      </c>
      <c r="C1976" s="84">
        <v>9600</v>
      </c>
      <c r="D1976" s="84">
        <f t="shared" si="124"/>
        <v>9450</v>
      </c>
    </row>
    <row r="1977" spans="1:6" ht="15" customHeight="1">
      <c r="A1977" s="588">
        <v>41865</v>
      </c>
      <c r="B1977" s="84">
        <v>9300</v>
      </c>
      <c r="C1977" s="84">
        <v>9600</v>
      </c>
      <c r="D1977" s="84">
        <f t="shared" si="124"/>
        <v>9450</v>
      </c>
    </row>
    <row r="1978" spans="1:6" ht="15" customHeight="1">
      <c r="A1978" s="588">
        <v>41866</v>
      </c>
      <c r="B1978" s="84">
        <v>9300</v>
      </c>
      <c r="C1978" s="84">
        <v>9600</v>
      </c>
      <c r="D1978" s="84">
        <f t="shared" si="124"/>
        <v>9450</v>
      </c>
    </row>
    <row r="1979" spans="1:6" ht="15" customHeight="1">
      <c r="A1979" s="588">
        <v>41869</v>
      </c>
      <c r="B1979" s="84">
        <v>9300</v>
      </c>
      <c r="C1979" s="84">
        <v>9600</v>
      </c>
      <c r="D1979" s="84">
        <f t="shared" si="124"/>
        <v>9450</v>
      </c>
    </row>
    <row r="1980" spans="1:6" ht="15" customHeight="1">
      <c r="A1980" s="588">
        <v>41870</v>
      </c>
      <c r="B1980" s="589">
        <v>9300</v>
      </c>
      <c r="C1980" s="84">
        <v>9600</v>
      </c>
      <c r="D1980" s="84">
        <f t="shared" si="124"/>
        <v>9450</v>
      </c>
    </row>
    <row r="1981" spans="1:6" ht="15" customHeight="1">
      <c r="A1981" s="588">
        <v>41871</v>
      </c>
      <c r="B1981" s="84">
        <v>9300</v>
      </c>
      <c r="C1981" s="84">
        <v>9600</v>
      </c>
      <c r="D1981" s="84">
        <f t="shared" si="124"/>
        <v>9450</v>
      </c>
    </row>
    <row r="1982" spans="1:6" ht="15" customHeight="1">
      <c r="A1982" s="588">
        <v>41872</v>
      </c>
      <c r="B1982" s="84">
        <v>9300</v>
      </c>
      <c r="C1982" s="84">
        <v>9600</v>
      </c>
      <c r="D1982" s="84">
        <f t="shared" si="124"/>
        <v>9450</v>
      </c>
    </row>
    <row r="1983" spans="1:6" ht="15" customHeight="1">
      <c r="A1983" s="588">
        <v>41873</v>
      </c>
      <c r="B1983" s="84">
        <v>9300</v>
      </c>
      <c r="C1983" s="84">
        <v>9600</v>
      </c>
      <c r="D1983" s="84">
        <f t="shared" si="124"/>
        <v>9450</v>
      </c>
    </row>
    <row r="1984" spans="1:6" ht="15" customHeight="1">
      <c r="A1984" s="588">
        <v>41876</v>
      </c>
      <c r="B1984" s="1051" t="s">
        <v>182</v>
      </c>
      <c r="C1984" s="1051"/>
      <c r="D1984" s="1051"/>
      <c r="E1984" s="96"/>
      <c r="F1984" s="96"/>
    </row>
    <row r="1985" spans="1:9" ht="15" customHeight="1">
      <c r="A1985" s="588">
        <v>41877</v>
      </c>
      <c r="B1985" s="84">
        <v>9300</v>
      </c>
      <c r="C1985" s="84">
        <v>9500</v>
      </c>
      <c r="D1985" s="84">
        <f t="shared" ref="D1985:D2018" si="125">AVERAGE(B1985:C1985)</f>
        <v>9400</v>
      </c>
    </row>
    <row r="1986" spans="1:9" ht="15" customHeight="1">
      <c r="A1986" s="588">
        <v>41878</v>
      </c>
      <c r="B1986" s="589">
        <v>9300</v>
      </c>
      <c r="C1986" s="589">
        <v>9500</v>
      </c>
      <c r="D1986" s="589">
        <f t="shared" si="125"/>
        <v>9400</v>
      </c>
    </row>
    <row r="1987" spans="1:9" ht="15" customHeight="1">
      <c r="A1987" s="588">
        <v>41879</v>
      </c>
      <c r="B1987" s="589">
        <v>9300</v>
      </c>
      <c r="C1987" s="589">
        <v>9500</v>
      </c>
      <c r="D1987" s="589">
        <f t="shared" si="125"/>
        <v>9400</v>
      </c>
    </row>
    <row r="1988" spans="1:9" ht="15" customHeight="1" thickBot="1">
      <c r="A1988" s="88">
        <v>41880</v>
      </c>
      <c r="B1988" s="89">
        <v>9300</v>
      </c>
      <c r="C1988" s="89">
        <v>9500</v>
      </c>
      <c r="D1988" s="89">
        <f t="shared" si="125"/>
        <v>9400</v>
      </c>
      <c r="E1988" s="505">
        <f>AVERAGE(D1968:D1988)</f>
        <v>9437.5</v>
      </c>
      <c r="F1988" s="240">
        <f>AVERAGE(D1817:D1988)</f>
        <v>9581.3053892215576</v>
      </c>
      <c r="G1988" s="92"/>
      <c r="H1988" s="103"/>
      <c r="I1988" s="107"/>
    </row>
    <row r="1989" spans="1:9" ht="15" customHeight="1">
      <c r="A1989" s="588">
        <v>41883</v>
      </c>
      <c r="B1989" s="84">
        <v>9300</v>
      </c>
      <c r="C1989" s="84">
        <v>9600</v>
      </c>
      <c r="D1989" s="84">
        <f t="shared" si="125"/>
        <v>9450</v>
      </c>
      <c r="E1989" s="163"/>
    </row>
    <row r="1990" spans="1:9" ht="15" customHeight="1">
      <c r="A1990" s="588">
        <v>41884</v>
      </c>
      <c r="B1990" s="84">
        <v>9300</v>
      </c>
      <c r="C1990" s="84">
        <v>9600</v>
      </c>
      <c r="D1990" s="84">
        <f t="shared" si="125"/>
        <v>9450</v>
      </c>
    </row>
    <row r="1991" spans="1:9" ht="15" customHeight="1">
      <c r="A1991" s="588">
        <v>41885</v>
      </c>
      <c r="B1991" s="84">
        <v>9300</v>
      </c>
      <c r="C1991" s="84">
        <v>9600</v>
      </c>
      <c r="D1991" s="84">
        <f t="shared" si="125"/>
        <v>9450</v>
      </c>
    </row>
    <row r="1992" spans="1:9" ht="15" customHeight="1">
      <c r="A1992" s="588">
        <v>41886</v>
      </c>
      <c r="B1992" s="84">
        <v>9300</v>
      </c>
      <c r="C1992" s="84">
        <v>9600</v>
      </c>
      <c r="D1992" s="84">
        <f t="shared" si="125"/>
        <v>9450</v>
      </c>
    </row>
    <row r="1993" spans="1:9" ht="15" customHeight="1">
      <c r="A1993" s="588">
        <v>41887</v>
      </c>
      <c r="B1993" s="84">
        <v>9300</v>
      </c>
      <c r="C1993" s="84">
        <v>9600</v>
      </c>
      <c r="D1993" s="84">
        <f t="shared" si="125"/>
        <v>9450</v>
      </c>
    </row>
    <row r="1994" spans="1:9" ht="15" customHeight="1">
      <c r="A1994" s="588">
        <v>41890</v>
      </c>
      <c r="B1994" s="84">
        <v>9300</v>
      </c>
      <c r="C1994" s="84">
        <v>9600</v>
      </c>
      <c r="D1994" s="84">
        <f t="shared" si="125"/>
        <v>9450</v>
      </c>
    </row>
    <row r="1995" spans="1:9" ht="15" customHeight="1">
      <c r="A1995" s="588">
        <v>41891</v>
      </c>
      <c r="B1995" s="84">
        <v>9400</v>
      </c>
      <c r="C1995" s="84">
        <v>9600</v>
      </c>
      <c r="D1995" s="84">
        <f t="shared" si="125"/>
        <v>9500</v>
      </c>
    </row>
    <row r="1996" spans="1:9" ht="15" customHeight="1">
      <c r="A1996" s="588">
        <v>41892</v>
      </c>
      <c r="B1996" s="84">
        <v>9400</v>
      </c>
      <c r="C1996" s="84">
        <v>9600</v>
      </c>
      <c r="D1996" s="84">
        <f t="shared" si="125"/>
        <v>9500</v>
      </c>
    </row>
    <row r="1997" spans="1:9" ht="15" customHeight="1">
      <c r="A1997" s="588">
        <v>41893</v>
      </c>
      <c r="B1997" s="84">
        <v>9400</v>
      </c>
      <c r="C1997" s="84">
        <v>9600</v>
      </c>
      <c r="D1997" s="84">
        <f t="shared" si="125"/>
        <v>9500</v>
      </c>
    </row>
    <row r="1998" spans="1:9" ht="15" customHeight="1">
      <c r="A1998" s="588">
        <v>41894</v>
      </c>
      <c r="B1998" s="84">
        <v>9400</v>
      </c>
      <c r="C1998" s="84">
        <v>9600</v>
      </c>
      <c r="D1998" s="84">
        <f t="shared" si="125"/>
        <v>9500</v>
      </c>
    </row>
    <row r="1999" spans="1:9" ht="15" customHeight="1">
      <c r="A1999" s="588">
        <v>41897</v>
      </c>
      <c r="B1999" s="84">
        <v>9400</v>
      </c>
      <c r="C1999" s="84">
        <v>9600</v>
      </c>
      <c r="D1999" s="84">
        <f t="shared" si="125"/>
        <v>9500</v>
      </c>
    </row>
    <row r="2000" spans="1:9" ht="15" customHeight="1">
      <c r="A2000" s="588">
        <v>41898</v>
      </c>
      <c r="B2000" s="84">
        <v>9400</v>
      </c>
      <c r="C2000" s="84">
        <v>9600</v>
      </c>
      <c r="D2000" s="84">
        <f t="shared" si="125"/>
        <v>9500</v>
      </c>
    </row>
    <row r="2001" spans="1:9" ht="15" customHeight="1">
      <c r="A2001" s="588">
        <v>41899</v>
      </c>
      <c r="B2001" s="84">
        <v>9400</v>
      </c>
      <c r="C2001" s="84">
        <v>9600</v>
      </c>
      <c r="D2001" s="84">
        <f t="shared" si="125"/>
        <v>9500</v>
      </c>
    </row>
    <row r="2002" spans="1:9" ht="15" customHeight="1">
      <c r="A2002" s="588">
        <v>41900</v>
      </c>
      <c r="B2002" s="84">
        <v>9400</v>
      </c>
      <c r="C2002" s="84">
        <v>9600</v>
      </c>
      <c r="D2002" s="84">
        <f t="shared" si="125"/>
        <v>9500</v>
      </c>
    </row>
    <row r="2003" spans="1:9" ht="15" customHeight="1">
      <c r="A2003" s="588">
        <v>41901</v>
      </c>
      <c r="B2003" s="84">
        <v>9400</v>
      </c>
      <c r="C2003" s="84">
        <v>9600</v>
      </c>
      <c r="D2003" s="84">
        <f t="shared" si="125"/>
        <v>9500</v>
      </c>
    </row>
    <row r="2004" spans="1:9" ht="15" customHeight="1">
      <c r="A2004" s="588">
        <v>41904</v>
      </c>
      <c r="B2004" s="84">
        <v>9300</v>
      </c>
      <c r="C2004" s="84">
        <v>9500</v>
      </c>
      <c r="D2004" s="84">
        <f t="shared" si="125"/>
        <v>9400</v>
      </c>
    </row>
    <row r="2005" spans="1:9" ht="15" customHeight="1">
      <c r="A2005" s="588">
        <v>41905</v>
      </c>
      <c r="B2005" s="84">
        <v>9300</v>
      </c>
      <c r="C2005" s="84">
        <v>9500</v>
      </c>
      <c r="D2005" s="84">
        <f t="shared" si="125"/>
        <v>9400</v>
      </c>
    </row>
    <row r="2006" spans="1:9" ht="15" customHeight="1">
      <c r="A2006" s="588">
        <v>41906</v>
      </c>
      <c r="B2006" s="84">
        <v>9300</v>
      </c>
      <c r="C2006" s="84">
        <v>9500</v>
      </c>
      <c r="D2006" s="84">
        <f t="shared" si="125"/>
        <v>9400</v>
      </c>
    </row>
    <row r="2007" spans="1:9" ht="15" customHeight="1">
      <c r="A2007" s="588">
        <v>41907</v>
      </c>
      <c r="B2007" s="84">
        <v>9300</v>
      </c>
      <c r="C2007" s="84">
        <v>9500</v>
      </c>
      <c r="D2007" s="84">
        <f t="shared" si="125"/>
        <v>9400</v>
      </c>
    </row>
    <row r="2008" spans="1:9" ht="15" customHeight="1">
      <c r="A2008" s="588">
        <v>41908</v>
      </c>
      <c r="B2008" s="84">
        <v>9300</v>
      </c>
      <c r="C2008" s="84">
        <v>9500</v>
      </c>
      <c r="D2008" s="84">
        <f t="shared" si="125"/>
        <v>9400</v>
      </c>
    </row>
    <row r="2009" spans="1:9" ht="15" customHeight="1">
      <c r="A2009" s="588">
        <v>41911</v>
      </c>
      <c r="B2009" s="84">
        <v>9300</v>
      </c>
      <c r="C2009" s="84">
        <v>9500</v>
      </c>
      <c r="D2009" s="84">
        <f t="shared" si="125"/>
        <v>9400</v>
      </c>
    </row>
    <row r="2010" spans="1:9" ht="15" customHeight="1" thickBot="1">
      <c r="A2010" s="88">
        <v>41912</v>
      </c>
      <c r="B2010" s="89">
        <v>9300</v>
      </c>
      <c r="C2010" s="89">
        <v>9500</v>
      </c>
      <c r="D2010" s="89">
        <f t="shared" si="125"/>
        <v>9400</v>
      </c>
      <c r="E2010" s="240">
        <f>AVERAGE(D1989:D2010)</f>
        <v>9454.545454545454</v>
      </c>
      <c r="F2010" s="240">
        <f>AVERAGE(D1817:D2010)</f>
        <v>9566.5502645502638</v>
      </c>
      <c r="G2010" s="92"/>
      <c r="H2010" s="103"/>
      <c r="I2010" s="107"/>
    </row>
    <row r="2011" spans="1:9" ht="15" customHeight="1">
      <c r="A2011" s="83">
        <v>41913</v>
      </c>
      <c r="B2011" s="84">
        <v>9300</v>
      </c>
      <c r="C2011" s="84">
        <v>9500</v>
      </c>
      <c r="D2011" s="84">
        <f t="shared" si="125"/>
        <v>9400</v>
      </c>
    </row>
    <row r="2012" spans="1:9" ht="15" customHeight="1">
      <c r="A2012" s="588">
        <v>41914</v>
      </c>
      <c r="B2012" s="84">
        <v>9300</v>
      </c>
      <c r="C2012" s="84">
        <v>9500</v>
      </c>
      <c r="D2012" s="84">
        <f t="shared" si="125"/>
        <v>9400</v>
      </c>
      <c r="E2012" s="96"/>
      <c r="F2012" s="96"/>
    </row>
    <row r="2013" spans="1:9" ht="15" customHeight="1">
      <c r="A2013" s="588">
        <v>41915</v>
      </c>
      <c r="B2013" s="84">
        <v>9300</v>
      </c>
      <c r="C2013" s="84">
        <v>9500</v>
      </c>
      <c r="D2013" s="84">
        <f t="shared" si="125"/>
        <v>9400</v>
      </c>
    </row>
    <row r="2014" spans="1:9" ht="15" customHeight="1">
      <c r="A2014" s="588">
        <v>41918</v>
      </c>
      <c r="B2014" s="84">
        <v>9300</v>
      </c>
      <c r="C2014" s="84">
        <v>9400</v>
      </c>
      <c r="D2014" s="84">
        <f t="shared" si="125"/>
        <v>9350</v>
      </c>
    </row>
    <row r="2015" spans="1:9" ht="15" customHeight="1">
      <c r="A2015" s="588">
        <v>41919</v>
      </c>
      <c r="B2015" s="84">
        <v>9300</v>
      </c>
      <c r="C2015" s="84">
        <v>9400</v>
      </c>
      <c r="D2015" s="84">
        <f t="shared" si="125"/>
        <v>9350</v>
      </c>
    </row>
    <row r="2016" spans="1:9" ht="15" customHeight="1">
      <c r="A2016" s="588">
        <v>41920</v>
      </c>
      <c r="B2016" s="84">
        <v>9300</v>
      </c>
      <c r="C2016" s="84">
        <v>9400</v>
      </c>
      <c r="D2016" s="84">
        <f t="shared" si="125"/>
        <v>9350</v>
      </c>
    </row>
    <row r="2017" spans="1:4" ht="15" customHeight="1">
      <c r="A2017" s="588">
        <v>41921</v>
      </c>
      <c r="B2017" s="84">
        <v>9300</v>
      </c>
      <c r="C2017" s="84">
        <v>9400</v>
      </c>
      <c r="D2017" s="84">
        <f t="shared" si="125"/>
        <v>9350</v>
      </c>
    </row>
    <row r="2018" spans="1:4" ht="15" customHeight="1">
      <c r="A2018" s="588">
        <v>41922</v>
      </c>
      <c r="B2018" s="84">
        <v>9300</v>
      </c>
      <c r="C2018" s="84">
        <v>9400</v>
      </c>
      <c r="D2018" s="84">
        <f t="shared" si="125"/>
        <v>9350</v>
      </c>
    </row>
    <row r="2019" spans="1:4" ht="15" customHeight="1">
      <c r="A2019" s="588">
        <v>41925</v>
      </c>
      <c r="B2019" s="589">
        <v>9300</v>
      </c>
      <c r="C2019" s="589">
        <v>9400</v>
      </c>
      <c r="D2019" s="589">
        <f t="shared" ref="D2019:D2047" si="126">AVERAGE(B2019:C2019)</f>
        <v>9350</v>
      </c>
    </row>
    <row r="2020" spans="1:4" ht="15" customHeight="1">
      <c r="A2020" s="588">
        <v>41926</v>
      </c>
      <c r="B2020" s="84">
        <v>9300</v>
      </c>
      <c r="C2020" s="84">
        <v>9500</v>
      </c>
      <c r="D2020" s="84">
        <f t="shared" si="126"/>
        <v>9400</v>
      </c>
    </row>
    <row r="2021" spans="1:4" ht="15" customHeight="1">
      <c r="A2021" s="588">
        <v>41927</v>
      </c>
      <c r="B2021" s="84">
        <v>9300</v>
      </c>
      <c r="C2021" s="84">
        <v>9500</v>
      </c>
      <c r="D2021" s="84">
        <f t="shared" si="126"/>
        <v>9400</v>
      </c>
    </row>
    <row r="2022" spans="1:4" ht="15" customHeight="1">
      <c r="A2022" s="588">
        <v>41928</v>
      </c>
      <c r="B2022" s="84">
        <v>9300</v>
      </c>
      <c r="C2022" s="84">
        <v>9500</v>
      </c>
      <c r="D2022" s="84">
        <f t="shared" si="126"/>
        <v>9400</v>
      </c>
    </row>
    <row r="2023" spans="1:4" ht="15" customHeight="1">
      <c r="A2023" s="588">
        <v>41929</v>
      </c>
      <c r="B2023" s="84">
        <v>9300</v>
      </c>
      <c r="C2023" s="84">
        <v>9500</v>
      </c>
      <c r="D2023" s="84">
        <f t="shared" si="126"/>
        <v>9400</v>
      </c>
    </row>
    <row r="2024" spans="1:4" ht="15" customHeight="1">
      <c r="A2024" s="588">
        <v>41932</v>
      </c>
      <c r="B2024" s="84">
        <v>9300</v>
      </c>
      <c r="C2024" s="84">
        <v>9500</v>
      </c>
      <c r="D2024" s="84">
        <f t="shared" si="126"/>
        <v>9400</v>
      </c>
    </row>
    <row r="2025" spans="1:4" ht="15" customHeight="1">
      <c r="A2025" s="588">
        <v>41933</v>
      </c>
      <c r="B2025" s="84">
        <v>9300</v>
      </c>
      <c r="C2025" s="84">
        <v>9500</v>
      </c>
      <c r="D2025" s="84">
        <f t="shared" si="126"/>
        <v>9400</v>
      </c>
    </row>
    <row r="2026" spans="1:4" ht="15" customHeight="1">
      <c r="A2026" s="588">
        <v>41934</v>
      </c>
      <c r="B2026" s="84">
        <v>9300</v>
      </c>
      <c r="C2026" s="84">
        <v>9500</v>
      </c>
      <c r="D2026" s="84">
        <f t="shared" si="126"/>
        <v>9400</v>
      </c>
    </row>
    <row r="2027" spans="1:4" ht="15" customHeight="1">
      <c r="A2027" s="588">
        <v>41935</v>
      </c>
      <c r="B2027" s="84">
        <v>9300</v>
      </c>
      <c r="C2027" s="84">
        <v>9500</v>
      </c>
      <c r="D2027" s="84">
        <f t="shared" si="126"/>
        <v>9400</v>
      </c>
    </row>
    <row r="2028" spans="1:4" ht="15" customHeight="1">
      <c r="A2028" s="588">
        <v>41936</v>
      </c>
      <c r="B2028" s="84">
        <v>9300</v>
      </c>
      <c r="C2028" s="84">
        <v>9500</v>
      </c>
      <c r="D2028" s="84">
        <f t="shared" si="126"/>
        <v>9400</v>
      </c>
    </row>
    <row r="2029" spans="1:4" ht="15" customHeight="1">
      <c r="A2029" s="588">
        <v>41939</v>
      </c>
      <c r="B2029" s="84">
        <v>9300</v>
      </c>
      <c r="C2029" s="84">
        <v>9500</v>
      </c>
      <c r="D2029" s="84">
        <f t="shared" si="126"/>
        <v>9400</v>
      </c>
    </row>
    <row r="2030" spans="1:4" ht="15" customHeight="1">
      <c r="A2030" s="588">
        <v>41940</v>
      </c>
      <c r="B2030" s="84">
        <v>9300</v>
      </c>
      <c r="C2030" s="84">
        <v>9500</v>
      </c>
      <c r="D2030" s="84">
        <f t="shared" si="126"/>
        <v>9400</v>
      </c>
    </row>
    <row r="2031" spans="1:4" ht="15" customHeight="1">
      <c r="A2031" s="588">
        <v>41941</v>
      </c>
      <c r="B2031" s="84">
        <v>9300</v>
      </c>
      <c r="C2031" s="84">
        <v>9500</v>
      </c>
      <c r="D2031" s="84">
        <f t="shared" si="126"/>
        <v>9400</v>
      </c>
    </row>
    <row r="2032" spans="1:4" ht="15" customHeight="1">
      <c r="A2032" s="588">
        <v>41942</v>
      </c>
      <c r="B2032" s="84">
        <v>9300</v>
      </c>
      <c r="C2032" s="84">
        <v>9500</v>
      </c>
      <c r="D2032" s="84">
        <f t="shared" si="126"/>
        <v>9400</v>
      </c>
    </row>
    <row r="2033" spans="1:9" ht="15" customHeight="1" thickBot="1">
      <c r="A2033" s="88">
        <v>41943</v>
      </c>
      <c r="B2033" s="89">
        <v>9300</v>
      </c>
      <c r="C2033" s="89">
        <v>9500</v>
      </c>
      <c r="D2033" s="89">
        <f t="shared" si="126"/>
        <v>9400</v>
      </c>
      <c r="E2033" s="240">
        <f>AVERAGE(D2011:D2033)</f>
        <v>9386.95652173913</v>
      </c>
      <c r="F2033" s="240">
        <f>AVERAGE(D1817:D2033)</f>
        <v>9547.066037735849</v>
      </c>
      <c r="G2033" s="92"/>
      <c r="H2033" s="103"/>
      <c r="I2033" s="107"/>
    </row>
    <row r="2034" spans="1:9" ht="15" customHeight="1">
      <c r="A2034" s="83">
        <v>41946</v>
      </c>
      <c r="B2034" s="84">
        <v>8900</v>
      </c>
      <c r="C2034" s="84">
        <v>9200</v>
      </c>
      <c r="D2034" s="84">
        <f t="shared" si="126"/>
        <v>9050</v>
      </c>
    </row>
    <row r="2035" spans="1:9" ht="15" customHeight="1">
      <c r="A2035" s="588">
        <v>41947</v>
      </c>
      <c r="B2035" s="84">
        <v>8900</v>
      </c>
      <c r="C2035" s="84">
        <v>9200</v>
      </c>
      <c r="D2035" s="84">
        <f t="shared" si="126"/>
        <v>9050</v>
      </c>
    </row>
    <row r="2036" spans="1:9" ht="15" customHeight="1">
      <c r="A2036" s="588">
        <v>41948</v>
      </c>
      <c r="B2036" s="84">
        <v>8900</v>
      </c>
      <c r="C2036" s="84">
        <v>9200</v>
      </c>
      <c r="D2036" s="84">
        <f t="shared" si="126"/>
        <v>9050</v>
      </c>
    </row>
    <row r="2037" spans="1:9" ht="15" customHeight="1">
      <c r="A2037" s="588">
        <v>41949</v>
      </c>
      <c r="B2037" s="84">
        <v>8900</v>
      </c>
      <c r="C2037" s="84">
        <v>9200</v>
      </c>
      <c r="D2037" s="84">
        <f t="shared" si="126"/>
        <v>9050</v>
      </c>
    </row>
    <row r="2038" spans="1:9" ht="15" customHeight="1">
      <c r="A2038" s="588">
        <v>41950</v>
      </c>
      <c r="B2038" s="84">
        <v>8900</v>
      </c>
      <c r="C2038" s="84">
        <v>9200</v>
      </c>
      <c r="D2038" s="84">
        <f t="shared" si="126"/>
        <v>9050</v>
      </c>
    </row>
    <row r="2039" spans="1:9" ht="15" customHeight="1">
      <c r="A2039" s="588">
        <v>41953</v>
      </c>
      <c r="B2039" s="84">
        <v>8900</v>
      </c>
      <c r="C2039" s="84">
        <v>9200</v>
      </c>
      <c r="D2039" s="84">
        <f t="shared" si="126"/>
        <v>9050</v>
      </c>
    </row>
    <row r="2040" spans="1:9" ht="15" customHeight="1">
      <c r="A2040" s="588">
        <v>41954</v>
      </c>
      <c r="B2040" s="84">
        <v>8900</v>
      </c>
      <c r="C2040" s="84">
        <v>9200</v>
      </c>
      <c r="D2040" s="84">
        <f t="shared" si="126"/>
        <v>9050</v>
      </c>
    </row>
    <row r="2041" spans="1:9" ht="15" customHeight="1">
      <c r="A2041" s="588">
        <v>41955</v>
      </c>
      <c r="B2041" s="84">
        <v>8900</v>
      </c>
      <c r="C2041" s="84">
        <v>9200</v>
      </c>
      <c r="D2041" s="84">
        <f t="shared" si="126"/>
        <v>9050</v>
      </c>
    </row>
    <row r="2042" spans="1:9" ht="15" customHeight="1">
      <c r="A2042" s="588">
        <v>41956</v>
      </c>
      <c r="B2042" s="84">
        <v>8900</v>
      </c>
      <c r="C2042" s="84">
        <v>9200</v>
      </c>
      <c r="D2042" s="84">
        <f t="shared" si="126"/>
        <v>9050</v>
      </c>
    </row>
    <row r="2043" spans="1:9" ht="15" customHeight="1">
      <c r="A2043" s="588">
        <v>41957</v>
      </c>
      <c r="B2043" s="84">
        <v>8900</v>
      </c>
      <c r="C2043" s="84">
        <v>9200</v>
      </c>
      <c r="D2043" s="84">
        <f t="shared" si="126"/>
        <v>9050</v>
      </c>
    </row>
    <row r="2044" spans="1:9" ht="15" customHeight="1">
      <c r="A2044" s="588">
        <v>41960</v>
      </c>
      <c r="B2044" s="84">
        <v>8900</v>
      </c>
      <c r="C2044" s="84">
        <v>9200</v>
      </c>
      <c r="D2044" s="84">
        <f t="shared" si="126"/>
        <v>9050</v>
      </c>
    </row>
    <row r="2045" spans="1:9" ht="15" customHeight="1">
      <c r="A2045" s="588">
        <v>41961</v>
      </c>
      <c r="B2045" s="84">
        <v>8900</v>
      </c>
      <c r="C2045" s="84">
        <v>9200</v>
      </c>
      <c r="D2045" s="84">
        <f t="shared" si="126"/>
        <v>9050</v>
      </c>
    </row>
    <row r="2046" spans="1:9" ht="15" customHeight="1">
      <c r="A2046" s="588">
        <v>41962</v>
      </c>
      <c r="B2046" s="84">
        <v>8900</v>
      </c>
      <c r="C2046" s="84">
        <v>9200</v>
      </c>
      <c r="D2046" s="84">
        <f t="shared" si="126"/>
        <v>9050</v>
      </c>
    </row>
    <row r="2047" spans="1:9" ht="15" customHeight="1">
      <c r="A2047" s="588">
        <v>41963</v>
      </c>
      <c r="B2047" s="84">
        <v>8900</v>
      </c>
      <c r="C2047" s="84">
        <v>9200</v>
      </c>
      <c r="D2047" s="84">
        <f t="shared" si="126"/>
        <v>9050</v>
      </c>
    </row>
    <row r="2048" spans="1:9" ht="15" customHeight="1">
      <c r="A2048" s="588">
        <v>41964</v>
      </c>
      <c r="B2048" s="589">
        <v>8900</v>
      </c>
      <c r="C2048" s="589">
        <v>9200</v>
      </c>
      <c r="D2048" s="589">
        <f t="shared" ref="D2048" si="127">AVERAGE(B2048:C2048)</f>
        <v>9050</v>
      </c>
    </row>
    <row r="2049" spans="1:9" ht="15" customHeight="1">
      <c r="A2049" s="588">
        <v>41967</v>
      </c>
      <c r="B2049" s="589">
        <v>8900</v>
      </c>
      <c r="C2049" s="589">
        <v>9200</v>
      </c>
      <c r="D2049" s="589">
        <f t="shared" ref="D2049" si="128">AVERAGE(B2049:C2049)</f>
        <v>9050</v>
      </c>
    </row>
    <row r="2050" spans="1:9" ht="15" customHeight="1">
      <c r="A2050" s="588">
        <v>41968</v>
      </c>
      <c r="B2050" s="589">
        <v>8900</v>
      </c>
      <c r="C2050" s="589">
        <v>9200</v>
      </c>
      <c r="D2050" s="589">
        <f t="shared" ref="D2050:D2071" si="129">AVERAGE(B2050:C2050)</f>
        <v>9050</v>
      </c>
    </row>
    <row r="2051" spans="1:9" ht="15" customHeight="1">
      <c r="A2051" s="588">
        <v>41969</v>
      </c>
      <c r="B2051" s="84">
        <v>8900</v>
      </c>
      <c r="C2051" s="84">
        <v>9200</v>
      </c>
      <c r="D2051" s="84">
        <f t="shared" si="129"/>
        <v>9050</v>
      </c>
    </row>
    <row r="2052" spans="1:9" ht="15" customHeight="1">
      <c r="A2052" s="588">
        <v>41970</v>
      </c>
      <c r="B2052" s="84">
        <v>8900</v>
      </c>
      <c r="C2052" s="84">
        <v>9200</v>
      </c>
      <c r="D2052" s="84">
        <f t="shared" si="129"/>
        <v>9050</v>
      </c>
    </row>
    <row r="2053" spans="1:9" ht="15" customHeight="1" thickBot="1">
      <c r="A2053" s="88">
        <v>41971</v>
      </c>
      <c r="B2053" s="89">
        <v>8900</v>
      </c>
      <c r="C2053" s="89">
        <v>9200</v>
      </c>
      <c r="D2053" s="89">
        <f t="shared" si="129"/>
        <v>9050</v>
      </c>
      <c r="E2053" s="240">
        <f>AVERAGE(D2034:D2053)</f>
        <v>9050</v>
      </c>
      <c r="F2053" s="240">
        <f>AVERAGE(D1817:D2053)</f>
        <v>9504.2155172413786</v>
      </c>
      <c r="G2053" s="92"/>
      <c r="H2053" s="103"/>
      <c r="I2053" s="107"/>
    </row>
    <row r="2054" spans="1:9" ht="15" customHeight="1">
      <c r="A2054" s="588">
        <v>41974</v>
      </c>
      <c r="B2054" s="84">
        <v>8900</v>
      </c>
      <c r="C2054" s="84">
        <v>9200</v>
      </c>
      <c r="D2054" s="84">
        <f t="shared" si="129"/>
        <v>9050</v>
      </c>
    </row>
    <row r="2055" spans="1:9" ht="15" customHeight="1">
      <c r="A2055" s="588">
        <v>41975</v>
      </c>
      <c r="B2055" s="84">
        <v>8900</v>
      </c>
      <c r="C2055" s="84">
        <v>9200</v>
      </c>
      <c r="D2055" s="84">
        <f t="shared" si="129"/>
        <v>9050</v>
      </c>
    </row>
    <row r="2056" spans="1:9" ht="15" customHeight="1">
      <c r="A2056" s="588">
        <v>41976</v>
      </c>
      <c r="B2056" s="84">
        <v>8900</v>
      </c>
      <c r="C2056" s="84">
        <v>9200</v>
      </c>
      <c r="D2056" s="84">
        <f t="shared" si="129"/>
        <v>9050</v>
      </c>
    </row>
    <row r="2057" spans="1:9" ht="15" customHeight="1">
      <c r="A2057" s="588">
        <v>41977</v>
      </c>
      <c r="B2057" s="84">
        <v>8900</v>
      </c>
      <c r="C2057" s="84">
        <v>9200</v>
      </c>
      <c r="D2057" s="84">
        <f t="shared" si="129"/>
        <v>9050</v>
      </c>
    </row>
    <row r="2058" spans="1:9" ht="15" customHeight="1">
      <c r="A2058" s="588">
        <v>41978</v>
      </c>
      <c r="B2058" s="84">
        <v>8900</v>
      </c>
      <c r="C2058" s="84">
        <v>9200</v>
      </c>
      <c r="D2058" s="84">
        <f t="shared" si="129"/>
        <v>9050</v>
      </c>
    </row>
    <row r="2059" spans="1:9" ht="15" customHeight="1">
      <c r="A2059" s="588">
        <v>41981</v>
      </c>
      <c r="B2059" s="84">
        <v>8900</v>
      </c>
      <c r="C2059" s="84">
        <v>9200</v>
      </c>
      <c r="D2059" s="84">
        <f t="shared" si="129"/>
        <v>9050</v>
      </c>
    </row>
    <row r="2060" spans="1:9" ht="15" customHeight="1">
      <c r="A2060" s="588">
        <v>41982</v>
      </c>
      <c r="B2060" s="84">
        <v>8900</v>
      </c>
      <c r="C2060" s="84">
        <v>9200</v>
      </c>
      <c r="D2060" s="84">
        <f t="shared" si="129"/>
        <v>9050</v>
      </c>
    </row>
    <row r="2061" spans="1:9" ht="15" customHeight="1">
      <c r="A2061" s="588">
        <v>41983</v>
      </c>
      <c r="B2061" s="84">
        <v>8900</v>
      </c>
      <c r="C2061" s="84">
        <v>9200</v>
      </c>
      <c r="D2061" s="84">
        <f t="shared" si="129"/>
        <v>9050</v>
      </c>
    </row>
    <row r="2062" spans="1:9" ht="15" customHeight="1">
      <c r="A2062" s="588">
        <v>41984</v>
      </c>
      <c r="B2062" s="84">
        <v>8900</v>
      </c>
      <c r="C2062" s="84">
        <v>9200</v>
      </c>
      <c r="D2062" s="84">
        <f t="shared" si="129"/>
        <v>9050</v>
      </c>
    </row>
    <row r="2063" spans="1:9" ht="15" customHeight="1">
      <c r="A2063" s="588">
        <v>41985</v>
      </c>
      <c r="B2063" s="84">
        <v>8900</v>
      </c>
      <c r="C2063" s="84">
        <v>9200</v>
      </c>
      <c r="D2063" s="84">
        <f t="shared" si="129"/>
        <v>9050</v>
      </c>
    </row>
    <row r="2064" spans="1:9" ht="15" customHeight="1">
      <c r="A2064" s="588">
        <v>41988</v>
      </c>
      <c r="B2064" s="84">
        <v>8900</v>
      </c>
      <c r="C2064" s="84">
        <v>9200</v>
      </c>
      <c r="D2064" s="84">
        <f t="shared" si="129"/>
        <v>9050</v>
      </c>
    </row>
    <row r="2065" spans="1:9" ht="15" customHeight="1">
      <c r="A2065" s="588">
        <v>41989</v>
      </c>
      <c r="B2065" s="84">
        <v>8900</v>
      </c>
      <c r="C2065" s="84">
        <v>9200</v>
      </c>
      <c r="D2065" s="84">
        <f t="shared" si="129"/>
        <v>9050</v>
      </c>
    </row>
    <row r="2066" spans="1:9" ht="15" customHeight="1">
      <c r="A2066" s="588">
        <v>41990</v>
      </c>
      <c r="B2066" s="84">
        <v>8900</v>
      </c>
      <c r="C2066" s="84">
        <v>9200</v>
      </c>
      <c r="D2066" s="84">
        <f t="shared" si="129"/>
        <v>9050</v>
      </c>
    </row>
    <row r="2067" spans="1:9" ht="15" customHeight="1">
      <c r="A2067" s="588">
        <v>41991</v>
      </c>
      <c r="B2067" s="84">
        <v>8900</v>
      </c>
      <c r="C2067" s="84">
        <v>9200</v>
      </c>
      <c r="D2067" s="84">
        <f t="shared" si="129"/>
        <v>9050</v>
      </c>
    </row>
    <row r="2068" spans="1:9" ht="15" customHeight="1">
      <c r="A2068" s="588">
        <v>41992</v>
      </c>
      <c r="B2068" s="84">
        <v>8900</v>
      </c>
      <c r="C2068" s="84">
        <v>9200</v>
      </c>
      <c r="D2068" s="84">
        <f t="shared" si="129"/>
        <v>9050</v>
      </c>
    </row>
    <row r="2069" spans="1:9" ht="15" customHeight="1">
      <c r="A2069" s="588">
        <v>41995</v>
      </c>
      <c r="B2069" s="84">
        <v>8900</v>
      </c>
      <c r="C2069" s="84">
        <v>9200</v>
      </c>
      <c r="D2069" s="84">
        <f t="shared" si="129"/>
        <v>9050</v>
      </c>
    </row>
    <row r="2070" spans="1:9" ht="15" customHeight="1">
      <c r="A2070" s="588">
        <v>41996</v>
      </c>
      <c r="B2070" s="84">
        <v>8900</v>
      </c>
      <c r="C2070" s="84">
        <v>9200</v>
      </c>
      <c r="D2070" s="84">
        <f t="shared" si="129"/>
        <v>9050</v>
      </c>
    </row>
    <row r="2071" spans="1:9" ht="15" customHeight="1">
      <c r="A2071" s="588">
        <v>41997</v>
      </c>
      <c r="B2071" s="84">
        <v>8900</v>
      </c>
      <c r="C2071" s="84">
        <v>9200</v>
      </c>
      <c r="D2071" s="84">
        <f t="shared" si="129"/>
        <v>9050</v>
      </c>
    </row>
    <row r="2072" spans="1:9" ht="15" customHeight="1">
      <c r="A2072" s="588">
        <v>41998</v>
      </c>
      <c r="B2072" s="1051" t="s">
        <v>190</v>
      </c>
      <c r="C2072" s="1051"/>
      <c r="D2072" s="1051"/>
    </row>
    <row r="2073" spans="1:9" ht="15" customHeight="1">
      <c r="A2073" s="588">
        <v>41999</v>
      </c>
      <c r="B2073" s="1051"/>
      <c r="C2073" s="1051"/>
      <c r="D2073" s="1051"/>
    </row>
    <row r="2074" spans="1:9" ht="15" customHeight="1">
      <c r="A2074" s="588">
        <v>42002</v>
      </c>
      <c r="B2074" s="84">
        <v>8900</v>
      </c>
      <c r="C2074" s="84">
        <v>9200</v>
      </c>
      <c r="D2074" s="589">
        <f t="shared" ref="D2074:D2080" si="130">AVERAGE(B2074:C2074)</f>
        <v>9050</v>
      </c>
    </row>
    <row r="2075" spans="1:9" ht="15" customHeight="1">
      <c r="A2075" s="588">
        <v>42003</v>
      </c>
      <c r="B2075" s="84">
        <v>8900</v>
      </c>
      <c r="C2075" s="84">
        <v>9200</v>
      </c>
      <c r="D2075" s="84">
        <f t="shared" si="130"/>
        <v>9050</v>
      </c>
    </row>
    <row r="2076" spans="1:9" ht="15" customHeight="1" thickBot="1">
      <c r="A2076" s="88">
        <v>42004</v>
      </c>
      <c r="B2076" s="89">
        <v>8900</v>
      </c>
      <c r="C2076" s="89">
        <v>9200</v>
      </c>
      <c r="D2076" s="89">
        <f t="shared" si="130"/>
        <v>9050</v>
      </c>
      <c r="E2076" s="240">
        <f>AVERAGE(D2054:D2076)</f>
        <v>9050</v>
      </c>
      <c r="F2076" s="240">
        <f>AVERAGE(D1817:D2076)</f>
        <v>9466.5138339920941</v>
      </c>
      <c r="G2076" s="92"/>
      <c r="H2076" s="103"/>
      <c r="I2076" s="107"/>
    </row>
    <row r="2077" spans="1:9" ht="15" customHeight="1">
      <c r="A2077" s="588">
        <v>42006</v>
      </c>
      <c r="B2077" s="84">
        <v>8900</v>
      </c>
      <c r="C2077" s="84">
        <v>9200</v>
      </c>
      <c r="D2077" s="590">
        <f t="shared" si="130"/>
        <v>9050</v>
      </c>
    </row>
    <row r="2078" spans="1:9" ht="15" customHeight="1">
      <c r="A2078" s="588">
        <v>42009</v>
      </c>
      <c r="B2078" s="84">
        <v>8900</v>
      </c>
      <c r="C2078" s="84">
        <v>9200</v>
      </c>
      <c r="D2078" s="590">
        <f t="shared" si="130"/>
        <v>9050</v>
      </c>
    </row>
    <row r="2079" spans="1:9" ht="15" customHeight="1">
      <c r="A2079" s="588">
        <v>42010</v>
      </c>
      <c r="B2079" s="84">
        <v>8900</v>
      </c>
      <c r="C2079" s="84">
        <v>9200</v>
      </c>
      <c r="D2079" s="84">
        <f t="shared" si="130"/>
        <v>9050</v>
      </c>
    </row>
    <row r="2080" spans="1:9" ht="15" customHeight="1">
      <c r="A2080" s="588">
        <v>42011</v>
      </c>
      <c r="B2080" s="84">
        <v>8900</v>
      </c>
      <c r="C2080" s="84">
        <v>9200</v>
      </c>
      <c r="D2080" s="84">
        <f t="shared" si="130"/>
        <v>9050</v>
      </c>
      <c r="E2080" s="505">
        <f>AVERAGE(D2077:D2080)</f>
        <v>9050</v>
      </c>
      <c r="F2080" s="505">
        <f>AVERAGE(D2077:D2080)</f>
        <v>9050</v>
      </c>
    </row>
  </sheetData>
  <mergeCells count="43">
    <mergeCell ref="B2072:D2073"/>
    <mergeCell ref="B1984:D1984"/>
    <mergeCell ref="B1114:I1115"/>
    <mergeCell ref="B1552:D1552"/>
    <mergeCell ref="A1:G1"/>
    <mergeCell ref="B313:G314"/>
    <mergeCell ref="B344:I344"/>
    <mergeCell ref="B359:I359"/>
    <mergeCell ref="B68:D69"/>
    <mergeCell ref="B603:I603"/>
    <mergeCell ref="B587:I588"/>
    <mergeCell ref="B618:I618"/>
    <mergeCell ref="B1465:I1465"/>
    <mergeCell ref="A103:D103"/>
    <mergeCell ref="B424:I424"/>
    <mergeCell ref="B511:K512"/>
    <mergeCell ref="B840:I841"/>
    <mergeCell ref="B1140:I1140"/>
    <mergeCell ref="B1119:I1119"/>
    <mergeCell ref="B1620:D1620"/>
    <mergeCell ref="B771:I772"/>
    <mergeCell ref="B880:I880"/>
    <mergeCell ref="B1030:I1031"/>
    <mergeCell ref="B945:I945"/>
    <mergeCell ref="B1364:I1365"/>
    <mergeCell ref="B1405:I1406"/>
    <mergeCell ref="B1385:I1385"/>
    <mergeCell ref="B1295:I1295"/>
    <mergeCell ref="B1205:I1205"/>
    <mergeCell ref="B1035:I1035"/>
    <mergeCell ref="B1120:I1120"/>
    <mergeCell ref="C1893:D1894"/>
    <mergeCell ref="B1551:D1551"/>
    <mergeCell ref="B1619:D1619"/>
    <mergeCell ref="B1290:I1291"/>
    <mergeCell ref="B1919:D1919"/>
    <mergeCell ref="B1904:D1904"/>
    <mergeCell ref="B1813:D1813"/>
    <mergeCell ref="B1725:D1725"/>
    <mergeCell ref="B1660:D1660"/>
    <mergeCell ref="B1812:D1812"/>
    <mergeCell ref="B1556:D1556"/>
    <mergeCell ref="B1645:D1645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FF00"/>
  </sheetPr>
  <dimension ref="A1:P94"/>
  <sheetViews>
    <sheetView topLeftCell="A46" workbookViewId="0">
      <selection activeCell="D83" sqref="D83"/>
    </sheetView>
  </sheetViews>
  <sheetFormatPr defaultRowHeight="13.5"/>
  <cols>
    <col min="1" max="1" width="10.6640625" customWidth="1"/>
    <col min="5" max="5" width="9.6640625" style="494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1057" t="s">
        <v>150</v>
      </c>
      <c r="B1" s="1057"/>
      <c r="C1" s="1057"/>
      <c r="D1" s="1057"/>
      <c r="E1" s="1057"/>
      <c r="F1" s="1057"/>
      <c r="G1" s="1057"/>
    </row>
    <row r="2" spans="1:9">
      <c r="A2" s="74" t="s">
        <v>3</v>
      </c>
      <c r="B2" s="491" t="s">
        <v>15</v>
      </c>
      <c r="C2" s="491" t="s">
        <v>16</v>
      </c>
      <c r="D2" s="491" t="s">
        <v>17</v>
      </c>
      <c r="E2" s="491" t="s">
        <v>158</v>
      </c>
      <c r="F2" s="76" t="s">
        <v>19</v>
      </c>
      <c r="G2" s="77" t="s">
        <v>20</v>
      </c>
    </row>
    <row r="3" spans="1:9">
      <c r="A3" s="83">
        <v>41641</v>
      </c>
      <c r="B3" s="84">
        <v>24</v>
      </c>
      <c r="C3" s="84">
        <v>28</v>
      </c>
      <c r="D3" s="94">
        <f>AVERAGE(B3:C3)</f>
        <v>26</v>
      </c>
      <c r="E3" s="494">
        <v>57320.234924778211</v>
      </c>
      <c r="F3" s="86"/>
      <c r="G3" s="87"/>
      <c r="H3" s="79"/>
      <c r="I3" s="80"/>
    </row>
    <row r="4" spans="1:9">
      <c r="A4" s="83">
        <v>41642</v>
      </c>
      <c r="B4" s="84">
        <v>24</v>
      </c>
      <c r="C4" s="84">
        <v>28</v>
      </c>
      <c r="D4" s="94">
        <f t="shared" ref="D4:D13" si="0">AVERAGE(B4:C4)</f>
        <v>26</v>
      </c>
      <c r="E4" s="494">
        <v>57320.234924778211</v>
      </c>
      <c r="F4" s="86"/>
      <c r="G4" s="87"/>
      <c r="H4" s="79"/>
      <c r="I4" s="80"/>
    </row>
    <row r="5" spans="1:9">
      <c r="A5" s="83">
        <v>41645</v>
      </c>
      <c r="B5" s="84">
        <v>24</v>
      </c>
      <c r="C5" s="84">
        <v>28</v>
      </c>
      <c r="D5" s="94">
        <f t="shared" si="0"/>
        <v>26</v>
      </c>
      <c r="E5" s="494">
        <v>57320.234924778211</v>
      </c>
      <c r="F5" s="86"/>
      <c r="G5" s="87"/>
      <c r="H5" s="79"/>
      <c r="I5" s="80"/>
    </row>
    <row r="6" spans="1:9">
      <c r="A6" s="83">
        <v>41646</v>
      </c>
      <c r="B6" s="84">
        <v>24</v>
      </c>
      <c r="C6" s="84">
        <v>28</v>
      </c>
      <c r="D6" s="94">
        <f t="shared" si="0"/>
        <v>26</v>
      </c>
      <c r="E6" s="494">
        <v>57320.234924778211</v>
      </c>
      <c r="F6" s="86"/>
      <c r="G6" s="87"/>
      <c r="H6" s="79"/>
      <c r="I6" s="80"/>
    </row>
    <row r="7" spans="1:9">
      <c r="A7" s="83">
        <v>41647</v>
      </c>
      <c r="B7" s="84">
        <v>24</v>
      </c>
      <c r="C7" s="84">
        <v>28</v>
      </c>
      <c r="D7" s="94">
        <f t="shared" si="0"/>
        <v>26</v>
      </c>
      <c r="E7" s="494">
        <v>57320.234924778211</v>
      </c>
      <c r="F7" s="86"/>
      <c r="G7" s="87"/>
      <c r="H7" s="79"/>
      <c r="I7" s="80"/>
    </row>
    <row r="8" spans="1:9">
      <c r="A8" s="83">
        <v>41648</v>
      </c>
      <c r="B8" s="84">
        <v>24</v>
      </c>
      <c r="C8" s="84">
        <v>28</v>
      </c>
      <c r="D8" s="94">
        <f t="shared" si="0"/>
        <v>26</v>
      </c>
      <c r="E8" s="494">
        <v>57320.234924778211</v>
      </c>
      <c r="F8" s="86"/>
      <c r="G8" s="87"/>
      <c r="H8" s="79"/>
      <c r="I8" s="80"/>
    </row>
    <row r="9" spans="1:9">
      <c r="A9" s="83">
        <v>41649</v>
      </c>
      <c r="B9" s="84">
        <v>24</v>
      </c>
      <c r="C9" s="84">
        <v>28</v>
      </c>
      <c r="D9" s="94">
        <f t="shared" si="0"/>
        <v>26</v>
      </c>
      <c r="E9" s="494">
        <v>57320.234924778211</v>
      </c>
      <c r="F9" s="86"/>
      <c r="G9" s="87"/>
      <c r="H9" s="79"/>
      <c r="I9" s="80"/>
    </row>
    <row r="10" spans="1:9">
      <c r="A10" s="83">
        <v>41652</v>
      </c>
      <c r="B10" s="84">
        <v>24</v>
      </c>
      <c r="C10" s="84">
        <v>28</v>
      </c>
      <c r="D10" s="94">
        <f t="shared" si="0"/>
        <v>26</v>
      </c>
      <c r="E10" s="494">
        <v>57320.234924778211</v>
      </c>
      <c r="F10" s="86"/>
      <c r="G10" s="87"/>
      <c r="H10" s="79"/>
      <c r="I10" s="80"/>
    </row>
    <row r="11" spans="1:9">
      <c r="A11" s="83">
        <v>41653</v>
      </c>
      <c r="B11" s="84">
        <v>24</v>
      </c>
      <c r="C11" s="84">
        <v>28</v>
      </c>
      <c r="D11" s="94">
        <f t="shared" si="0"/>
        <v>26</v>
      </c>
      <c r="E11" s="494">
        <v>57320.234924778211</v>
      </c>
      <c r="F11" s="86"/>
      <c r="G11" s="87"/>
      <c r="H11" s="79"/>
      <c r="I11" s="80"/>
    </row>
    <row r="12" spans="1:9">
      <c r="A12" s="83">
        <v>41654</v>
      </c>
      <c r="B12" s="84">
        <v>24</v>
      </c>
      <c r="C12" s="84">
        <v>28</v>
      </c>
      <c r="D12" s="94">
        <f t="shared" si="0"/>
        <v>26</v>
      </c>
      <c r="E12" s="494">
        <v>57320.234924778211</v>
      </c>
      <c r="F12" s="86"/>
      <c r="G12" s="87"/>
      <c r="H12" s="79"/>
      <c r="I12" s="80"/>
    </row>
    <row r="13" spans="1:9">
      <c r="A13" s="83">
        <v>41655</v>
      </c>
      <c r="B13" s="84">
        <v>24</v>
      </c>
      <c r="C13" s="84">
        <v>28</v>
      </c>
      <c r="D13" s="94">
        <f t="shared" si="0"/>
        <v>26</v>
      </c>
      <c r="E13" s="494">
        <v>57320.234924778211</v>
      </c>
      <c r="G13" s="87"/>
      <c r="H13" s="79"/>
      <c r="I13" s="80"/>
    </row>
    <row r="14" spans="1:9">
      <c r="A14" s="83">
        <v>41656</v>
      </c>
      <c r="B14" s="84">
        <v>24</v>
      </c>
      <c r="C14" s="84">
        <v>28</v>
      </c>
      <c r="D14" s="94">
        <f t="shared" ref="D14:D60" si="1">AVERAGE(B14:C14)</f>
        <v>26</v>
      </c>
      <c r="E14" s="494">
        <v>57320.234924778211</v>
      </c>
    </row>
    <row r="15" spans="1:9">
      <c r="A15" s="83">
        <v>41659</v>
      </c>
      <c r="B15" s="84">
        <v>24</v>
      </c>
      <c r="C15" s="84">
        <v>28</v>
      </c>
      <c r="D15" s="94">
        <f t="shared" si="1"/>
        <v>26</v>
      </c>
      <c r="E15" s="494">
        <v>57320.234924778211</v>
      </c>
    </row>
    <row r="16" spans="1:9">
      <c r="A16" s="83">
        <v>41660</v>
      </c>
      <c r="B16" s="84">
        <v>24</v>
      </c>
      <c r="C16" s="84">
        <v>28</v>
      </c>
      <c r="D16" s="94">
        <f t="shared" si="1"/>
        <v>26</v>
      </c>
      <c r="E16" s="494">
        <v>57320.234924778211</v>
      </c>
    </row>
    <row r="17" spans="1:7">
      <c r="A17" s="83">
        <v>41661</v>
      </c>
      <c r="B17" s="84">
        <v>24</v>
      </c>
      <c r="C17" s="84">
        <v>28</v>
      </c>
      <c r="D17" s="94">
        <f t="shared" si="1"/>
        <v>26</v>
      </c>
      <c r="E17" s="494">
        <v>57320.234924778211</v>
      </c>
    </row>
    <row r="18" spans="1:7">
      <c r="A18" s="83">
        <v>41662</v>
      </c>
      <c r="B18" s="84">
        <v>24</v>
      </c>
      <c r="C18" s="84">
        <v>28</v>
      </c>
      <c r="D18" s="94">
        <f t="shared" si="1"/>
        <v>26</v>
      </c>
      <c r="E18" s="494">
        <v>57320.234924778211</v>
      </c>
    </row>
    <row r="19" spans="1:7">
      <c r="A19" s="83">
        <v>41663</v>
      </c>
      <c r="B19" s="84">
        <v>24</v>
      </c>
      <c r="C19" s="84">
        <v>28</v>
      </c>
      <c r="D19" s="94">
        <f t="shared" si="1"/>
        <v>26</v>
      </c>
      <c r="E19" s="494">
        <v>57320.234924778211</v>
      </c>
    </row>
    <row r="20" spans="1:7">
      <c r="A20" s="83">
        <v>41666</v>
      </c>
      <c r="B20" s="84">
        <v>24</v>
      </c>
      <c r="C20" s="84">
        <v>28</v>
      </c>
      <c r="D20" s="94">
        <f t="shared" si="1"/>
        <v>26</v>
      </c>
      <c r="E20" s="494">
        <v>57320.234924778211</v>
      </c>
    </row>
    <row r="21" spans="1:7">
      <c r="A21" s="83">
        <v>41667</v>
      </c>
      <c r="B21" s="84">
        <v>24</v>
      </c>
      <c r="C21" s="84">
        <v>28</v>
      </c>
      <c r="D21" s="94">
        <f t="shared" si="1"/>
        <v>26</v>
      </c>
      <c r="E21" s="494">
        <v>57320.234924778211</v>
      </c>
    </row>
    <row r="22" spans="1:7">
      <c r="A22" s="83">
        <v>41668</v>
      </c>
      <c r="B22" s="84">
        <v>24</v>
      </c>
      <c r="C22" s="84">
        <v>28</v>
      </c>
      <c r="D22" s="94">
        <f t="shared" si="1"/>
        <v>26</v>
      </c>
      <c r="E22" s="494">
        <v>57320.234924778211</v>
      </c>
    </row>
    <row r="23" spans="1:7">
      <c r="A23" s="83">
        <v>41669</v>
      </c>
      <c r="B23" s="84">
        <v>24</v>
      </c>
      <c r="C23" s="84">
        <v>28</v>
      </c>
      <c r="D23" s="94">
        <f t="shared" si="1"/>
        <v>26</v>
      </c>
      <c r="E23" s="494">
        <v>57320.234924778211</v>
      </c>
    </row>
    <row r="24" spans="1:7" ht="14.25" thickBot="1">
      <c r="A24" s="88">
        <v>41670</v>
      </c>
      <c r="B24" s="89">
        <v>24</v>
      </c>
      <c r="C24" s="89">
        <v>28</v>
      </c>
      <c r="D24" s="89">
        <f t="shared" si="1"/>
        <v>26</v>
      </c>
      <c r="E24" s="524">
        <v>57320.234924778211</v>
      </c>
      <c r="F24" s="240">
        <f>AVERAGE(E3:E24)</f>
        <v>57320.234924778204</v>
      </c>
      <c r="G24" s="524"/>
    </row>
    <row r="25" spans="1:7">
      <c r="A25" s="83">
        <v>41673</v>
      </c>
      <c r="B25" s="84">
        <v>24</v>
      </c>
      <c r="C25" s="84">
        <v>28</v>
      </c>
      <c r="D25" s="94">
        <f t="shared" si="1"/>
        <v>26</v>
      </c>
      <c r="E25" s="494">
        <v>57320.234924778211</v>
      </c>
    </row>
    <row r="26" spans="1:7">
      <c r="A26" s="83">
        <v>41674</v>
      </c>
      <c r="B26" s="84">
        <v>24</v>
      </c>
      <c r="C26" s="84">
        <v>28</v>
      </c>
      <c r="D26" s="94">
        <f t="shared" si="1"/>
        <v>26</v>
      </c>
      <c r="E26" s="494">
        <v>57320.234924778211</v>
      </c>
    </row>
    <row r="27" spans="1:7">
      <c r="A27" s="83">
        <v>41675</v>
      </c>
      <c r="B27" s="84">
        <v>24</v>
      </c>
      <c r="C27" s="84">
        <v>28</v>
      </c>
      <c r="D27" s="94">
        <f t="shared" si="1"/>
        <v>26</v>
      </c>
      <c r="E27" s="494">
        <v>57320.234924778211</v>
      </c>
    </row>
    <row r="28" spans="1:7">
      <c r="A28" s="83">
        <v>41676</v>
      </c>
      <c r="B28" s="84">
        <v>24</v>
      </c>
      <c r="C28" s="84">
        <v>28</v>
      </c>
      <c r="D28" s="94">
        <f t="shared" si="1"/>
        <v>26</v>
      </c>
      <c r="E28" s="494">
        <v>57320.234924778211</v>
      </c>
    </row>
    <row r="29" spans="1:7">
      <c r="A29" s="83">
        <v>41677</v>
      </c>
      <c r="B29" s="84">
        <v>24</v>
      </c>
      <c r="C29" s="84">
        <v>28</v>
      </c>
      <c r="D29" s="94">
        <f t="shared" si="1"/>
        <v>26</v>
      </c>
      <c r="E29" s="494">
        <v>57320.234924778211</v>
      </c>
    </row>
    <row r="30" spans="1:7">
      <c r="A30" s="83">
        <v>41680</v>
      </c>
      <c r="B30" s="84">
        <v>24</v>
      </c>
      <c r="C30" s="84">
        <v>28</v>
      </c>
      <c r="D30" s="94">
        <f t="shared" si="1"/>
        <v>26</v>
      </c>
      <c r="E30" s="494">
        <v>57320.234924778211</v>
      </c>
    </row>
    <row r="31" spans="1:7">
      <c r="A31" s="83">
        <v>41681</v>
      </c>
      <c r="B31" s="84">
        <v>24</v>
      </c>
      <c r="C31" s="84">
        <v>28</v>
      </c>
      <c r="D31" s="94">
        <f t="shared" si="1"/>
        <v>26</v>
      </c>
      <c r="E31" s="494">
        <v>57320.234924778211</v>
      </c>
    </row>
    <row r="32" spans="1:7">
      <c r="A32" s="83">
        <v>41682</v>
      </c>
      <c r="B32" s="84">
        <v>24</v>
      </c>
      <c r="C32" s="84">
        <v>28</v>
      </c>
      <c r="D32" s="94">
        <f t="shared" si="1"/>
        <v>26</v>
      </c>
      <c r="E32" s="494">
        <v>57320.234924778211</v>
      </c>
    </row>
    <row r="33" spans="1:16">
      <c r="A33" s="588">
        <v>41683</v>
      </c>
      <c r="B33" s="589">
        <v>24</v>
      </c>
      <c r="C33" s="589">
        <v>28</v>
      </c>
      <c r="D33" s="590">
        <f t="shared" si="1"/>
        <v>26</v>
      </c>
      <c r="E33" s="581">
        <v>57320.234924778211</v>
      </c>
    </row>
    <row r="34" spans="1:16">
      <c r="A34" s="588">
        <v>41684</v>
      </c>
      <c r="B34" s="589">
        <v>25</v>
      </c>
      <c r="C34" s="580">
        <v>28.5</v>
      </c>
      <c r="D34" s="608">
        <f t="shared" si="1"/>
        <v>26.75</v>
      </c>
      <c r="E34" s="581">
        <v>58973.7</v>
      </c>
    </row>
    <row r="35" spans="1:16">
      <c r="A35" s="588">
        <v>41687</v>
      </c>
      <c r="B35" s="589">
        <v>25</v>
      </c>
      <c r="C35" s="580">
        <v>28.5</v>
      </c>
      <c r="D35" s="608">
        <f t="shared" si="1"/>
        <v>26.75</v>
      </c>
      <c r="E35" s="581">
        <v>58973.7</v>
      </c>
    </row>
    <row r="36" spans="1:16">
      <c r="A36" s="588">
        <v>41688</v>
      </c>
      <c r="B36" s="589">
        <v>25</v>
      </c>
      <c r="C36" s="580">
        <v>28.5</v>
      </c>
      <c r="D36" s="608">
        <f t="shared" si="1"/>
        <v>26.75</v>
      </c>
      <c r="E36" s="581">
        <v>58973.7</v>
      </c>
    </row>
    <row r="37" spans="1:16" ht="14.25" thickBot="1">
      <c r="A37" s="588">
        <v>41689</v>
      </c>
      <c r="B37" s="580">
        <v>25.5</v>
      </c>
      <c r="C37" s="580">
        <v>28.5</v>
      </c>
      <c r="D37" s="608">
        <f t="shared" si="1"/>
        <v>27</v>
      </c>
      <c r="E37" s="581">
        <v>59524.86</v>
      </c>
    </row>
    <row r="38" spans="1:16">
      <c r="A38" s="588">
        <v>41690</v>
      </c>
      <c r="B38" s="580">
        <v>25.5</v>
      </c>
      <c r="C38" s="580">
        <v>28.5</v>
      </c>
      <c r="D38" s="608">
        <f t="shared" si="1"/>
        <v>27</v>
      </c>
      <c r="E38" s="494">
        <v>59524.86</v>
      </c>
      <c r="J38" s="1061" t="s">
        <v>151</v>
      </c>
      <c r="K38" s="1062"/>
      <c r="L38" s="500" t="s">
        <v>152</v>
      </c>
      <c r="M38" s="500" t="s">
        <v>153</v>
      </c>
      <c r="N38" s="500" t="s">
        <v>154</v>
      </c>
      <c r="O38" s="500" t="s">
        <v>155</v>
      </c>
      <c r="P38" s="501" t="s">
        <v>156</v>
      </c>
    </row>
    <row r="39" spans="1:16" ht="14.25" thickBot="1">
      <c r="A39" s="588">
        <v>41691</v>
      </c>
      <c r="B39" s="580">
        <v>25.5</v>
      </c>
      <c r="C39" s="580">
        <v>29</v>
      </c>
      <c r="D39" s="608">
        <f t="shared" si="1"/>
        <v>27.25</v>
      </c>
      <c r="E39" s="581">
        <v>60076.02</v>
      </c>
      <c r="J39" s="1063"/>
      <c r="K39" s="1064"/>
      <c r="L39" s="498">
        <v>25</v>
      </c>
      <c r="M39" s="498">
        <v>28</v>
      </c>
      <c r="N39" s="497">
        <f>(L39+M39)/2</f>
        <v>26.5</v>
      </c>
      <c r="O39" s="497">
        <f>N39/P45</f>
        <v>58.422547134870101</v>
      </c>
      <c r="P39" s="499">
        <f>O39*1000</f>
        <v>58422.547134870103</v>
      </c>
    </row>
    <row r="40" spans="1:16">
      <c r="A40" s="588">
        <v>41694</v>
      </c>
      <c r="B40" s="580">
        <v>25.5</v>
      </c>
      <c r="C40" s="580">
        <v>29</v>
      </c>
      <c r="D40" s="608">
        <f t="shared" si="1"/>
        <v>27.25</v>
      </c>
      <c r="E40" s="581">
        <v>60076.02</v>
      </c>
      <c r="J40" s="502"/>
      <c r="K40" s="502"/>
      <c r="L40" s="503"/>
      <c r="M40" s="503"/>
      <c r="N40" s="495"/>
      <c r="O40" s="495"/>
      <c r="P40" s="504"/>
    </row>
    <row r="41" spans="1:16">
      <c r="A41" s="588">
        <v>41695</v>
      </c>
      <c r="B41" s="580">
        <v>25.5</v>
      </c>
      <c r="C41" s="580">
        <v>29</v>
      </c>
      <c r="D41" s="608">
        <f t="shared" si="1"/>
        <v>27.25</v>
      </c>
      <c r="E41" s="581">
        <v>60076.02</v>
      </c>
      <c r="J41" s="494"/>
      <c r="K41" s="494"/>
      <c r="L41" s="494"/>
      <c r="M41" s="494"/>
      <c r="N41" s="494"/>
      <c r="O41" s="494"/>
      <c r="P41" s="494"/>
    </row>
    <row r="42" spans="1:16">
      <c r="A42" s="588">
        <v>41696</v>
      </c>
      <c r="B42" s="580">
        <v>25.5</v>
      </c>
      <c r="C42" s="580">
        <v>29</v>
      </c>
      <c r="D42" s="608">
        <f t="shared" si="1"/>
        <v>27.25</v>
      </c>
      <c r="E42" s="581">
        <v>60076.02</v>
      </c>
      <c r="J42" s="494"/>
      <c r="K42" s="494"/>
      <c r="L42" s="494"/>
      <c r="M42" s="494"/>
      <c r="N42" s="494"/>
      <c r="O42" s="494"/>
      <c r="P42" s="494"/>
    </row>
    <row r="43" spans="1:16">
      <c r="A43" s="588">
        <v>41697</v>
      </c>
      <c r="B43" s="580">
        <v>25.5</v>
      </c>
      <c r="C43" s="580">
        <v>29</v>
      </c>
      <c r="D43" s="608">
        <f t="shared" si="1"/>
        <v>27.25</v>
      </c>
      <c r="E43" s="581">
        <v>60076.02</v>
      </c>
      <c r="J43" s="494"/>
      <c r="K43" s="494"/>
      <c r="L43" s="494"/>
      <c r="M43" s="494"/>
      <c r="N43" s="494"/>
      <c r="O43" s="494"/>
      <c r="P43" s="494"/>
    </row>
    <row r="44" spans="1:16" ht="14.25" thickBot="1">
      <c r="A44" s="88">
        <v>41698</v>
      </c>
      <c r="B44" s="638">
        <v>25.5</v>
      </c>
      <c r="C44" s="638">
        <v>29</v>
      </c>
      <c r="D44" s="639">
        <f t="shared" si="1"/>
        <v>27.25</v>
      </c>
      <c r="E44" s="524">
        <v>60076.02</v>
      </c>
      <c r="F44" s="240">
        <f>AVERAGE(E25:E44)</f>
        <v>58615.45271615019</v>
      </c>
      <c r="G44" s="240">
        <f>AVERAGE(E3:E44)</f>
        <v>57937.00530162199</v>
      </c>
      <c r="J44" s="494"/>
      <c r="K44" s="494"/>
      <c r="L44" s="494"/>
      <c r="M44" s="494"/>
      <c r="N44" s="494"/>
      <c r="O44" s="494"/>
      <c r="P44" s="494" t="s">
        <v>157</v>
      </c>
    </row>
    <row r="45" spans="1:16">
      <c r="A45" s="588">
        <v>41701</v>
      </c>
      <c r="B45" s="580">
        <v>25.5</v>
      </c>
      <c r="C45" s="580">
        <v>29</v>
      </c>
      <c r="D45" s="608">
        <f t="shared" si="1"/>
        <v>27.25</v>
      </c>
      <c r="E45" s="581">
        <v>60076.02</v>
      </c>
      <c r="J45" s="494"/>
      <c r="K45" s="494"/>
      <c r="L45" s="494"/>
      <c r="M45" s="494"/>
      <c r="N45" s="494"/>
      <c r="O45" s="494"/>
      <c r="P45" s="496">
        <v>0.453592</v>
      </c>
    </row>
    <row r="46" spans="1:16">
      <c r="A46" s="588">
        <v>41702</v>
      </c>
      <c r="B46" s="580">
        <v>25.5</v>
      </c>
      <c r="C46" s="580">
        <v>29</v>
      </c>
      <c r="D46" s="608">
        <f t="shared" si="1"/>
        <v>27.25</v>
      </c>
      <c r="E46" s="581">
        <v>60076.02</v>
      </c>
    </row>
    <row r="47" spans="1:16">
      <c r="A47" s="588">
        <v>41703</v>
      </c>
      <c r="B47" s="580">
        <v>25.5</v>
      </c>
      <c r="C47" s="580">
        <v>29</v>
      </c>
      <c r="D47" s="608">
        <f t="shared" si="1"/>
        <v>27.25</v>
      </c>
      <c r="E47" s="581">
        <v>60076.02</v>
      </c>
    </row>
    <row r="48" spans="1:16">
      <c r="A48" s="588">
        <v>41704</v>
      </c>
      <c r="B48" s="580">
        <v>25.5</v>
      </c>
      <c r="C48" s="580">
        <v>29</v>
      </c>
      <c r="D48" s="608">
        <f t="shared" si="1"/>
        <v>27.25</v>
      </c>
      <c r="E48" s="581">
        <v>60076.02</v>
      </c>
    </row>
    <row r="49" spans="1:7">
      <c r="A49" s="588">
        <v>41705</v>
      </c>
      <c r="B49" s="580">
        <v>25.5</v>
      </c>
      <c r="C49" s="580">
        <v>29</v>
      </c>
      <c r="D49" s="608">
        <f t="shared" si="1"/>
        <v>27.25</v>
      </c>
      <c r="E49" s="581">
        <v>60076.02</v>
      </c>
    </row>
    <row r="50" spans="1:7">
      <c r="A50" s="588">
        <v>41708</v>
      </c>
      <c r="B50" s="580">
        <v>25.5</v>
      </c>
      <c r="C50" s="580">
        <v>29</v>
      </c>
      <c r="D50" s="608">
        <f t="shared" si="1"/>
        <v>27.25</v>
      </c>
      <c r="E50" s="581">
        <v>60076.02</v>
      </c>
    </row>
    <row r="51" spans="1:7">
      <c r="A51" s="588">
        <v>41709</v>
      </c>
      <c r="B51" s="580">
        <v>25.5</v>
      </c>
      <c r="C51" s="580">
        <v>29</v>
      </c>
      <c r="D51" s="608">
        <f t="shared" si="1"/>
        <v>27.25</v>
      </c>
      <c r="E51" s="581">
        <v>60076.02</v>
      </c>
    </row>
    <row r="52" spans="1:7">
      <c r="A52" s="588">
        <v>41710</v>
      </c>
      <c r="B52" s="580">
        <v>25.5</v>
      </c>
      <c r="C52" s="580">
        <v>29</v>
      </c>
      <c r="D52" s="608">
        <f t="shared" si="1"/>
        <v>27.25</v>
      </c>
      <c r="E52" s="581">
        <v>60076.02</v>
      </c>
    </row>
    <row r="53" spans="1:7">
      <c r="A53" s="588">
        <v>41711</v>
      </c>
      <c r="B53" s="580">
        <v>25.5</v>
      </c>
      <c r="C53" s="580">
        <v>29</v>
      </c>
      <c r="D53" s="608">
        <f t="shared" si="1"/>
        <v>27.25</v>
      </c>
      <c r="E53" s="581">
        <v>60076.02</v>
      </c>
    </row>
    <row r="54" spans="1:7">
      <c r="A54" s="588">
        <v>41712</v>
      </c>
      <c r="B54" s="580">
        <v>25.5</v>
      </c>
      <c r="C54" s="580">
        <v>29</v>
      </c>
      <c r="D54" s="608">
        <f t="shared" si="1"/>
        <v>27.25</v>
      </c>
      <c r="E54" s="581">
        <v>60076.02</v>
      </c>
    </row>
    <row r="55" spans="1:7">
      <c r="A55" s="588">
        <v>41715</v>
      </c>
      <c r="B55" s="580">
        <v>25.5</v>
      </c>
      <c r="C55" s="580">
        <v>28.5</v>
      </c>
      <c r="D55" s="608">
        <f t="shared" si="1"/>
        <v>27</v>
      </c>
      <c r="E55" s="581">
        <v>59524.86</v>
      </c>
    </row>
    <row r="56" spans="1:7">
      <c r="A56" s="588">
        <v>41716</v>
      </c>
      <c r="B56" s="580">
        <v>25.5</v>
      </c>
      <c r="C56" s="580">
        <v>28.5</v>
      </c>
      <c r="D56" s="608">
        <f t="shared" si="1"/>
        <v>27</v>
      </c>
      <c r="E56" s="581">
        <v>59524.86</v>
      </c>
    </row>
    <row r="57" spans="1:7">
      <c r="A57" s="588">
        <v>41717</v>
      </c>
      <c r="B57" s="580">
        <v>25</v>
      </c>
      <c r="C57" s="580">
        <v>28</v>
      </c>
      <c r="D57" s="608">
        <f t="shared" si="1"/>
        <v>26.5</v>
      </c>
      <c r="E57" s="581">
        <v>58422.55</v>
      </c>
    </row>
    <row r="58" spans="1:7">
      <c r="A58" s="588">
        <v>41718</v>
      </c>
      <c r="B58" s="580">
        <v>25</v>
      </c>
      <c r="C58" s="580">
        <v>28</v>
      </c>
      <c r="D58" s="608">
        <f t="shared" si="1"/>
        <v>26.5</v>
      </c>
      <c r="E58" s="581">
        <v>58422.55</v>
      </c>
    </row>
    <row r="59" spans="1:7">
      <c r="A59" s="588">
        <v>41719</v>
      </c>
      <c r="B59" s="580">
        <v>25</v>
      </c>
      <c r="C59" s="580">
        <v>28</v>
      </c>
      <c r="D59" s="608">
        <f t="shared" si="1"/>
        <v>26.5</v>
      </c>
      <c r="E59" s="581">
        <v>58422.55</v>
      </c>
    </row>
    <row r="60" spans="1:7">
      <c r="A60" s="588">
        <v>41722</v>
      </c>
      <c r="B60" s="580">
        <v>25</v>
      </c>
      <c r="C60" s="580">
        <v>28</v>
      </c>
      <c r="D60" s="608">
        <f t="shared" si="1"/>
        <v>26.5</v>
      </c>
      <c r="E60" s="581">
        <v>58422.55</v>
      </c>
    </row>
    <row r="61" spans="1:7">
      <c r="A61" s="588">
        <v>41723</v>
      </c>
      <c r="B61" s="580">
        <v>25</v>
      </c>
      <c r="C61" s="580">
        <v>28</v>
      </c>
      <c r="D61" s="608">
        <f>AVERAGE(B61:C61)</f>
        <v>26.5</v>
      </c>
      <c r="E61" s="581">
        <v>58422.55</v>
      </c>
    </row>
    <row r="62" spans="1:7">
      <c r="A62" s="588">
        <v>41724</v>
      </c>
      <c r="B62" s="580">
        <v>25</v>
      </c>
      <c r="C62" s="580">
        <v>28</v>
      </c>
      <c r="D62" s="608">
        <f>AVERAGE(B62:C62)</f>
        <v>26.5</v>
      </c>
      <c r="E62" s="581">
        <v>58422.55</v>
      </c>
    </row>
    <row r="63" spans="1:7" ht="14.25" thickBot="1">
      <c r="A63" s="588">
        <v>41725</v>
      </c>
      <c r="B63" s="580">
        <v>25</v>
      </c>
      <c r="C63" s="580">
        <v>28</v>
      </c>
      <c r="D63" s="608">
        <f>AVERAGE(B63:C63)</f>
        <v>26.5</v>
      </c>
      <c r="E63" s="581">
        <v>58422.55</v>
      </c>
      <c r="F63" s="240">
        <f>AVERAGE(E45:E63)</f>
        <v>59408.830000000016</v>
      </c>
      <c r="G63" s="240">
        <f>AVERAGE(E3:E63)</f>
        <v>58395.442502756101</v>
      </c>
    </row>
    <row r="64" spans="1:7">
      <c r="A64" s="588"/>
      <c r="B64" s="580"/>
      <c r="C64" s="580"/>
      <c r="D64" s="608"/>
      <c r="E64" s="581"/>
    </row>
    <row r="65" spans="1:5">
      <c r="A65" s="588"/>
      <c r="B65" s="580"/>
      <c r="C65" s="580"/>
      <c r="D65" s="608"/>
      <c r="E65" s="581"/>
    </row>
    <row r="66" spans="1:5">
      <c r="A66" s="588"/>
      <c r="B66" s="580"/>
      <c r="C66" s="580"/>
      <c r="D66" s="608"/>
      <c r="E66" s="581"/>
    </row>
    <row r="67" spans="1:5">
      <c r="A67" s="588"/>
      <c r="B67" s="580"/>
      <c r="C67" s="580"/>
      <c r="D67" s="608"/>
      <c r="E67" s="581"/>
    </row>
    <row r="68" spans="1:5">
      <c r="A68" s="588"/>
      <c r="B68" s="580"/>
      <c r="C68" s="580"/>
      <c r="D68" s="608"/>
      <c r="E68" s="581"/>
    </row>
    <row r="69" spans="1:5">
      <c r="A69" s="588"/>
      <c r="B69" s="580"/>
      <c r="C69" s="580"/>
      <c r="D69" s="608"/>
      <c r="E69" s="581"/>
    </row>
    <row r="70" spans="1:5">
      <c r="A70" s="588"/>
      <c r="B70" s="580"/>
      <c r="C70" s="580"/>
      <c r="D70" s="608"/>
      <c r="E70" s="581"/>
    </row>
    <row r="71" spans="1:5">
      <c r="A71" s="588"/>
      <c r="B71" s="580"/>
      <c r="C71" s="580"/>
      <c r="D71" s="608"/>
      <c r="E71" s="581"/>
    </row>
    <row r="72" spans="1:5">
      <c r="A72" s="588"/>
      <c r="B72" s="580"/>
      <c r="C72" s="580"/>
      <c r="D72" s="608"/>
      <c r="E72" s="581"/>
    </row>
    <row r="73" spans="1:5">
      <c r="A73" s="588"/>
      <c r="B73" s="580"/>
      <c r="C73" s="580"/>
      <c r="D73" s="608"/>
      <c r="E73" s="581"/>
    </row>
    <row r="74" spans="1:5">
      <c r="A74" s="588"/>
      <c r="B74" s="580"/>
      <c r="C74" s="580"/>
      <c r="D74" s="608"/>
      <c r="E74" s="581"/>
    </row>
    <row r="75" spans="1:5">
      <c r="A75" s="588"/>
      <c r="B75" s="580"/>
      <c r="C75" s="580"/>
      <c r="D75" s="608"/>
      <c r="E75" s="581"/>
    </row>
    <row r="76" spans="1:5">
      <c r="A76" s="588"/>
      <c r="B76" s="580"/>
      <c r="C76" s="580"/>
      <c r="D76" s="608"/>
      <c r="E76" s="581"/>
    </row>
    <row r="77" spans="1:5">
      <c r="A77" s="588"/>
      <c r="B77" s="580"/>
      <c r="C77" s="580"/>
      <c r="D77" s="608"/>
      <c r="E77" s="581"/>
    </row>
    <row r="78" spans="1:5">
      <c r="A78" s="588"/>
      <c r="B78" s="580"/>
      <c r="C78" s="580"/>
      <c r="D78" s="608"/>
      <c r="E78" s="581"/>
    </row>
    <row r="79" spans="1:5">
      <c r="A79" s="588"/>
      <c r="B79" s="580"/>
      <c r="C79" s="580"/>
      <c r="D79" s="608"/>
      <c r="E79" s="581"/>
    </row>
    <row r="80" spans="1:5">
      <c r="A80" s="588"/>
      <c r="B80" s="580"/>
      <c r="C80" s="580"/>
      <c r="D80" s="608"/>
      <c r="E80" s="581"/>
    </row>
    <row r="81" spans="1:5">
      <c r="A81" s="588"/>
      <c r="B81" s="580"/>
      <c r="C81" s="580"/>
      <c r="D81" s="608"/>
      <c r="E81" s="581"/>
    </row>
    <row r="82" spans="1:5">
      <c r="A82" s="588"/>
      <c r="B82" s="580"/>
      <c r="C82" s="580"/>
      <c r="D82" s="608"/>
      <c r="E82" s="581"/>
    </row>
    <row r="83" spans="1:5">
      <c r="A83" s="588"/>
      <c r="B83" s="580"/>
      <c r="C83" s="580"/>
      <c r="D83" s="608"/>
      <c r="E83" s="581"/>
    </row>
    <row r="84" spans="1:5">
      <c r="A84" s="588"/>
      <c r="B84" s="580"/>
      <c r="C84" s="580"/>
      <c r="D84" s="608"/>
      <c r="E84" s="581"/>
    </row>
    <row r="85" spans="1:5">
      <c r="A85" s="588"/>
      <c r="B85" s="580"/>
      <c r="C85" s="580"/>
      <c r="D85" s="608"/>
      <c r="E85" s="581"/>
    </row>
    <row r="86" spans="1:5">
      <c r="A86" s="588"/>
      <c r="B86" s="580"/>
      <c r="C86" s="580"/>
      <c r="D86" s="608"/>
      <c r="E86" s="581"/>
    </row>
    <row r="87" spans="1:5">
      <c r="A87" s="588"/>
      <c r="B87" s="580"/>
      <c r="C87" s="580"/>
      <c r="D87" s="608"/>
      <c r="E87" s="581"/>
    </row>
    <row r="88" spans="1:5">
      <c r="A88" s="588"/>
      <c r="B88" s="580"/>
      <c r="C88" s="580"/>
      <c r="D88" s="608"/>
      <c r="E88" s="581"/>
    </row>
    <row r="89" spans="1:5">
      <c r="A89" s="588"/>
      <c r="B89" s="580"/>
      <c r="C89" s="580"/>
      <c r="D89" s="608"/>
      <c r="E89" s="581"/>
    </row>
    <row r="90" spans="1:5">
      <c r="A90" s="588"/>
      <c r="B90" s="580"/>
      <c r="C90" s="580"/>
      <c r="D90" s="608"/>
      <c r="E90" s="581"/>
    </row>
    <row r="91" spans="1:5">
      <c r="B91" s="580"/>
      <c r="C91" s="580"/>
      <c r="D91" s="608"/>
      <c r="E91" s="581"/>
    </row>
    <row r="92" spans="1:5">
      <c r="B92" s="580"/>
      <c r="C92" s="580"/>
      <c r="D92" s="608"/>
      <c r="E92" s="581"/>
    </row>
    <row r="93" spans="1:5">
      <c r="B93" s="580"/>
      <c r="C93" s="580"/>
      <c r="D93" s="608"/>
      <c r="E93" s="581"/>
    </row>
    <row r="94" spans="1:5">
      <c r="B94" s="580"/>
      <c r="C94" s="580"/>
      <c r="D94" s="608"/>
      <c r="E94" s="581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enableFormatConditionsCalculation="0">
    <tabColor indexed="25"/>
  </sheetPr>
  <dimension ref="A1:P1307"/>
  <sheetViews>
    <sheetView zoomScaleNormal="100" workbookViewId="0">
      <pane xSplit="8" ySplit="2" topLeftCell="I1296" activePane="bottomRight" state="frozen"/>
      <selection pane="topRight" activeCell="I1" sqref="I1"/>
      <selection pane="bottomLeft" activeCell="A23" sqref="A23"/>
      <selection pane="bottomRight" activeCell="G1319" sqref="G1319"/>
    </sheetView>
  </sheetViews>
  <sheetFormatPr defaultRowHeight="15" customHeight="1"/>
  <cols>
    <col min="1" max="1" width="8.88671875" style="123"/>
    <col min="2" max="2" width="8.88671875" style="132"/>
    <col min="3" max="3" width="9.44140625" style="137" bestFit="1" customWidth="1"/>
    <col min="4" max="4" width="9.21875" style="136" bestFit="1" customWidth="1"/>
    <col min="5" max="5" width="8.88671875" style="123"/>
    <col min="6" max="6" width="9.21875" style="134" bestFit="1" customWidth="1"/>
    <col min="7" max="7" width="8.88671875" style="134" customWidth="1"/>
    <col min="8" max="8" width="14.44140625" style="135" customWidth="1"/>
    <col min="9" max="16384" width="8.88671875" style="123"/>
  </cols>
  <sheetData>
    <row r="1" spans="1:8" ht="15" customHeight="1">
      <c r="A1" s="1023" t="s">
        <v>3</v>
      </c>
      <c r="B1" s="5" t="s">
        <v>2</v>
      </c>
      <c r="C1" s="1078" t="s">
        <v>1</v>
      </c>
      <c r="D1" s="1022" t="s">
        <v>0</v>
      </c>
      <c r="E1" s="1080" t="s">
        <v>189</v>
      </c>
      <c r="F1" s="1022" t="s">
        <v>78</v>
      </c>
      <c r="G1" s="1074" t="s">
        <v>79</v>
      </c>
      <c r="H1" s="146" t="s">
        <v>11</v>
      </c>
    </row>
    <row r="2" spans="1:8" ht="15" customHeight="1" thickBot="1">
      <c r="A2" s="1024"/>
      <c r="B2" s="14" t="s">
        <v>5</v>
      </c>
      <c r="C2" s="1079"/>
      <c r="D2" s="1076"/>
      <c r="E2" s="1081"/>
      <c r="F2" s="1076"/>
      <c r="G2" s="1075"/>
      <c r="H2" s="43" t="s">
        <v>6</v>
      </c>
    </row>
    <row r="3" spans="1:8" ht="15" customHeight="1">
      <c r="A3" s="36">
        <v>40182</v>
      </c>
      <c r="B3" s="38">
        <v>158424</v>
      </c>
      <c r="C3" s="198">
        <v>18855</v>
      </c>
      <c r="D3" s="199">
        <v>18975</v>
      </c>
      <c r="E3" s="199"/>
      <c r="F3" s="199"/>
      <c r="G3" s="207">
        <f>AVERAGE(C3:C262)</f>
        <v>21808.003952569168</v>
      </c>
      <c r="H3" s="196"/>
    </row>
    <row r="4" spans="1:8" ht="15" customHeight="1">
      <c r="A4" s="3">
        <v>40183</v>
      </c>
      <c r="B4" s="5">
        <v>158424</v>
      </c>
      <c r="C4" s="191">
        <v>18615</v>
      </c>
      <c r="D4" s="124">
        <v>18670</v>
      </c>
      <c r="E4" s="124">
        <f>+C4-C3</f>
        <v>-240</v>
      </c>
      <c r="F4" s="124"/>
      <c r="G4" s="200"/>
      <c r="H4" s="194"/>
    </row>
    <row r="5" spans="1:8" ht="15" customHeight="1">
      <c r="A5" s="3">
        <v>40184</v>
      </c>
      <c r="B5" s="5">
        <v>128388</v>
      </c>
      <c r="C5" s="191">
        <v>18955</v>
      </c>
      <c r="D5" s="124">
        <v>19050</v>
      </c>
      <c r="E5" s="124">
        <f t="shared" ref="E5:E66" si="0">+C5-C4</f>
        <v>340</v>
      </c>
      <c r="F5" s="124"/>
      <c r="G5" s="200"/>
      <c r="H5" s="194"/>
    </row>
    <row r="6" spans="1:8" ht="15" customHeight="1">
      <c r="A6" s="3">
        <v>40185</v>
      </c>
      <c r="B6" s="5">
        <v>158814</v>
      </c>
      <c r="C6" s="191">
        <v>18750</v>
      </c>
      <c r="D6" s="124">
        <v>18850</v>
      </c>
      <c r="E6" s="124">
        <f t="shared" si="0"/>
        <v>-205</v>
      </c>
      <c r="F6" s="124"/>
      <c r="G6" s="200"/>
      <c r="H6" s="194"/>
    </row>
    <row r="7" spans="1:8" ht="15" customHeight="1">
      <c r="A7" s="3">
        <v>40186</v>
      </c>
      <c r="B7" s="5">
        <v>158982</v>
      </c>
      <c r="C7" s="191">
        <v>18125</v>
      </c>
      <c r="D7" s="124">
        <v>18135</v>
      </c>
      <c r="E7" s="124">
        <f t="shared" si="0"/>
        <v>-625</v>
      </c>
      <c r="F7" s="124"/>
      <c r="G7" s="200"/>
      <c r="H7" s="194"/>
    </row>
    <row r="8" spans="1:8" ht="15" customHeight="1">
      <c r="A8" s="3">
        <v>40189</v>
      </c>
      <c r="B8" s="5">
        <v>129792</v>
      </c>
      <c r="C8" s="191">
        <v>18300</v>
      </c>
      <c r="D8" s="124">
        <v>18350</v>
      </c>
      <c r="E8" s="124">
        <f t="shared" si="0"/>
        <v>175</v>
      </c>
      <c r="F8" s="124"/>
      <c r="G8" s="200"/>
      <c r="H8" s="194"/>
    </row>
    <row r="9" spans="1:8" ht="15" customHeight="1">
      <c r="A9" s="3">
        <v>40190</v>
      </c>
      <c r="B9" s="5">
        <v>159726</v>
      </c>
      <c r="C9" s="191">
        <v>17765</v>
      </c>
      <c r="D9" s="124">
        <v>17850</v>
      </c>
      <c r="E9" s="124">
        <f t="shared" si="0"/>
        <v>-535</v>
      </c>
      <c r="F9" s="124"/>
      <c r="G9" s="200"/>
      <c r="H9" s="194"/>
    </row>
    <row r="10" spans="1:8" ht="15" customHeight="1">
      <c r="A10" s="3">
        <v>40191</v>
      </c>
      <c r="B10" s="5">
        <v>159648</v>
      </c>
      <c r="C10" s="191">
        <v>17735</v>
      </c>
      <c r="D10" s="124">
        <v>17800</v>
      </c>
      <c r="E10" s="124">
        <f t="shared" si="0"/>
        <v>-30</v>
      </c>
      <c r="F10" s="124"/>
      <c r="G10" s="200"/>
      <c r="H10" s="194"/>
    </row>
    <row r="11" spans="1:8" ht="15" customHeight="1">
      <c r="A11" s="3">
        <v>40192</v>
      </c>
      <c r="B11" s="5">
        <v>161550</v>
      </c>
      <c r="C11" s="191">
        <v>18350</v>
      </c>
      <c r="D11" s="124">
        <v>18400</v>
      </c>
      <c r="E11" s="124">
        <f t="shared" si="0"/>
        <v>615</v>
      </c>
      <c r="F11" s="124"/>
      <c r="G11" s="200"/>
      <c r="H11" s="194"/>
    </row>
    <row r="12" spans="1:8" ht="15" customHeight="1">
      <c r="A12" s="3">
        <v>40193</v>
      </c>
      <c r="B12" s="5">
        <v>161994</v>
      </c>
      <c r="C12" s="191">
        <v>18325</v>
      </c>
      <c r="D12" s="124">
        <v>18350</v>
      </c>
      <c r="E12" s="124">
        <f t="shared" si="0"/>
        <v>-25</v>
      </c>
      <c r="F12" s="124"/>
      <c r="G12" s="200"/>
      <c r="H12" s="194"/>
    </row>
    <row r="13" spans="1:8" ht="15" customHeight="1">
      <c r="A13" s="3">
        <v>40196</v>
      </c>
      <c r="B13" s="5">
        <v>161664</v>
      </c>
      <c r="C13" s="191">
        <v>18635</v>
      </c>
      <c r="D13" s="124">
        <v>18750</v>
      </c>
      <c r="E13" s="124">
        <f t="shared" si="0"/>
        <v>310</v>
      </c>
      <c r="F13" s="124"/>
      <c r="G13" s="200"/>
      <c r="H13" s="194"/>
    </row>
    <row r="14" spans="1:8" ht="15" customHeight="1">
      <c r="A14" s="3">
        <v>40197</v>
      </c>
      <c r="B14" s="5">
        <v>161622</v>
      </c>
      <c r="C14" s="191">
        <v>18645</v>
      </c>
      <c r="D14" s="124">
        <v>18660</v>
      </c>
      <c r="E14" s="124">
        <f t="shared" si="0"/>
        <v>10</v>
      </c>
      <c r="F14" s="124"/>
      <c r="G14" s="200"/>
      <c r="H14" s="194"/>
    </row>
    <row r="15" spans="1:8" ht="15" customHeight="1">
      <c r="A15" s="3">
        <v>40198</v>
      </c>
      <c r="B15" s="5">
        <v>161292</v>
      </c>
      <c r="C15" s="191">
        <v>18985</v>
      </c>
      <c r="D15" s="124">
        <v>19060</v>
      </c>
      <c r="E15" s="124">
        <f t="shared" si="0"/>
        <v>340</v>
      </c>
      <c r="F15" s="124"/>
      <c r="G15" s="200"/>
      <c r="H15" s="194"/>
    </row>
    <row r="16" spans="1:8" ht="15" customHeight="1">
      <c r="A16" s="3">
        <v>40199</v>
      </c>
      <c r="B16" s="5">
        <v>161706</v>
      </c>
      <c r="C16" s="191">
        <v>18805</v>
      </c>
      <c r="D16" s="124">
        <v>18900</v>
      </c>
      <c r="E16" s="124">
        <f t="shared" si="0"/>
        <v>-180</v>
      </c>
      <c r="F16" s="124"/>
      <c r="G16" s="200"/>
      <c r="H16" s="194"/>
    </row>
    <row r="17" spans="1:8" ht="15" customHeight="1">
      <c r="A17" s="3">
        <v>40200</v>
      </c>
      <c r="B17" s="5">
        <v>162270</v>
      </c>
      <c r="C17" s="191">
        <v>18455</v>
      </c>
      <c r="D17" s="124">
        <v>18510</v>
      </c>
      <c r="E17" s="124">
        <f t="shared" si="0"/>
        <v>-350</v>
      </c>
      <c r="F17" s="124"/>
      <c r="G17" s="200"/>
      <c r="H17" s="194"/>
    </row>
    <row r="18" spans="1:8" ht="15" customHeight="1">
      <c r="A18" s="3">
        <v>40203</v>
      </c>
      <c r="B18" s="5">
        <v>162786</v>
      </c>
      <c r="C18" s="191">
        <v>18375</v>
      </c>
      <c r="D18" s="124">
        <v>18450</v>
      </c>
      <c r="E18" s="124">
        <f t="shared" si="0"/>
        <v>-80</v>
      </c>
      <c r="F18" s="124"/>
      <c r="G18" s="200"/>
      <c r="H18" s="194"/>
    </row>
    <row r="19" spans="1:8" ht="15" customHeight="1">
      <c r="A19" s="3">
        <v>40204</v>
      </c>
      <c r="B19" s="5">
        <v>162588</v>
      </c>
      <c r="C19" s="191">
        <v>18295</v>
      </c>
      <c r="D19" s="124">
        <v>18300</v>
      </c>
      <c r="E19" s="124">
        <f t="shared" si="0"/>
        <v>-80</v>
      </c>
      <c r="F19" s="124"/>
      <c r="G19" s="200"/>
      <c r="H19" s="194"/>
    </row>
    <row r="20" spans="1:8" ht="15" customHeight="1">
      <c r="A20" s="3">
        <v>40205</v>
      </c>
      <c r="B20" s="5">
        <v>163704</v>
      </c>
      <c r="C20" s="191">
        <v>17935</v>
      </c>
      <c r="D20" s="124">
        <v>17990</v>
      </c>
      <c r="E20" s="124">
        <f t="shared" si="0"/>
        <v>-360</v>
      </c>
      <c r="F20" s="124"/>
      <c r="G20" s="200"/>
      <c r="H20" s="194"/>
    </row>
    <row r="21" spans="1:8" ht="15" customHeight="1">
      <c r="A21" s="3">
        <v>40206</v>
      </c>
      <c r="B21" s="5">
        <v>163518</v>
      </c>
      <c r="C21" s="191">
        <v>18150</v>
      </c>
      <c r="D21" s="124">
        <v>18200</v>
      </c>
      <c r="E21" s="124">
        <f t="shared" si="0"/>
        <v>215</v>
      </c>
      <c r="F21" s="124"/>
      <c r="G21" s="200"/>
      <c r="H21" s="194"/>
    </row>
    <row r="22" spans="1:8" ht="15" customHeight="1" thickBot="1">
      <c r="A22" s="12">
        <v>40207</v>
      </c>
      <c r="B22" s="14">
        <v>164808</v>
      </c>
      <c r="C22" s="197">
        <v>18730</v>
      </c>
      <c r="D22" s="193">
        <v>18750</v>
      </c>
      <c r="E22" s="193">
        <f t="shared" si="0"/>
        <v>580</v>
      </c>
      <c r="F22" s="203">
        <f>AVERAGE(C3:C22)</f>
        <v>18439.25</v>
      </c>
      <c r="G22" s="204">
        <f>AVERAGE(C3:C22)</f>
        <v>18439.25</v>
      </c>
      <c r="H22" s="195"/>
    </row>
    <row r="23" spans="1:8" ht="15" customHeight="1">
      <c r="A23" s="36">
        <v>40210</v>
      </c>
      <c r="B23" s="38">
        <v>165870</v>
      </c>
      <c r="C23" s="198">
        <v>18025</v>
      </c>
      <c r="D23" s="199">
        <v>18150</v>
      </c>
      <c r="E23" s="199">
        <f t="shared" si="0"/>
        <v>-705</v>
      </c>
      <c r="F23" s="199"/>
      <c r="G23" s="201"/>
      <c r="H23" s="196"/>
    </row>
    <row r="24" spans="1:8" ht="15" customHeight="1">
      <c r="A24" s="3">
        <v>40211</v>
      </c>
      <c r="B24" s="5">
        <v>165828</v>
      </c>
      <c r="C24" s="191">
        <v>18125</v>
      </c>
      <c r="D24" s="124">
        <v>18150</v>
      </c>
      <c r="E24" s="124">
        <f t="shared" si="0"/>
        <v>100</v>
      </c>
      <c r="F24" s="124"/>
      <c r="G24" s="200"/>
      <c r="H24" s="194"/>
    </row>
    <row r="25" spans="1:8" ht="15" customHeight="1">
      <c r="A25" s="3">
        <v>40212</v>
      </c>
      <c r="B25" s="5">
        <v>165726</v>
      </c>
      <c r="C25" s="191">
        <v>18060</v>
      </c>
      <c r="D25" s="124">
        <v>18200</v>
      </c>
      <c r="E25" s="124">
        <f t="shared" si="0"/>
        <v>-65</v>
      </c>
      <c r="F25" s="124"/>
      <c r="G25" s="200"/>
      <c r="H25" s="194"/>
    </row>
    <row r="26" spans="1:8" ht="15" customHeight="1">
      <c r="A26" s="3">
        <v>40213</v>
      </c>
      <c r="B26" s="5">
        <v>166224</v>
      </c>
      <c r="C26" s="191">
        <v>18255</v>
      </c>
      <c r="D26" s="124">
        <v>18330</v>
      </c>
      <c r="E26" s="124">
        <f t="shared" si="0"/>
        <v>195</v>
      </c>
      <c r="F26" s="124"/>
      <c r="G26" s="200"/>
      <c r="H26" s="194"/>
    </row>
    <row r="27" spans="1:8" ht="15" customHeight="1">
      <c r="A27" s="3">
        <v>40214</v>
      </c>
      <c r="B27" s="5">
        <v>166386</v>
      </c>
      <c r="C27" s="191">
        <v>17350</v>
      </c>
      <c r="D27" s="124">
        <v>17450</v>
      </c>
      <c r="E27" s="124">
        <f t="shared" si="0"/>
        <v>-905</v>
      </c>
      <c r="F27" s="124"/>
      <c r="G27" s="200"/>
      <c r="H27" s="194"/>
    </row>
    <row r="28" spans="1:8" ht="15" customHeight="1">
      <c r="A28" s="3">
        <v>40217</v>
      </c>
      <c r="B28" s="5">
        <v>166476</v>
      </c>
      <c r="C28" s="191">
        <v>17035</v>
      </c>
      <c r="D28" s="124">
        <v>17125</v>
      </c>
      <c r="E28" s="124">
        <f t="shared" si="0"/>
        <v>-315</v>
      </c>
      <c r="F28" s="124"/>
      <c r="G28" s="200"/>
      <c r="H28" s="194"/>
    </row>
    <row r="29" spans="1:8" ht="15" customHeight="1">
      <c r="A29" s="3">
        <v>40218</v>
      </c>
      <c r="B29" s="5">
        <v>166188</v>
      </c>
      <c r="C29" s="191">
        <v>17425</v>
      </c>
      <c r="D29" s="124">
        <v>17405</v>
      </c>
      <c r="E29" s="124">
        <f t="shared" si="0"/>
        <v>390</v>
      </c>
      <c r="F29" s="124"/>
      <c r="G29" s="200"/>
      <c r="H29" s="194"/>
    </row>
    <row r="30" spans="1:8" ht="15" customHeight="1">
      <c r="A30" s="3">
        <v>40219</v>
      </c>
      <c r="B30" s="5">
        <v>166026</v>
      </c>
      <c r="C30" s="191">
        <v>17850</v>
      </c>
      <c r="D30" s="124">
        <v>17925</v>
      </c>
      <c r="E30" s="124">
        <f t="shared" si="0"/>
        <v>425</v>
      </c>
      <c r="F30" s="124"/>
      <c r="G30" s="200"/>
      <c r="H30" s="194"/>
    </row>
    <row r="31" spans="1:8" ht="15" customHeight="1">
      <c r="A31" s="3">
        <v>40220</v>
      </c>
      <c r="B31" s="5">
        <v>166356</v>
      </c>
      <c r="C31" s="191">
        <v>17945</v>
      </c>
      <c r="D31" s="124">
        <v>18005</v>
      </c>
      <c r="E31" s="124">
        <f t="shared" si="0"/>
        <v>95</v>
      </c>
      <c r="F31" s="124"/>
      <c r="G31" s="200"/>
      <c r="H31" s="194"/>
    </row>
    <row r="32" spans="1:8" ht="15" customHeight="1">
      <c r="A32" s="3">
        <v>40221</v>
      </c>
      <c r="B32" s="5">
        <v>165462</v>
      </c>
      <c r="C32" s="191">
        <v>18455</v>
      </c>
      <c r="D32" s="124">
        <v>18500</v>
      </c>
      <c r="E32" s="124">
        <f t="shared" si="0"/>
        <v>510</v>
      </c>
      <c r="F32" s="124"/>
      <c r="G32" s="200"/>
      <c r="H32" s="194"/>
    </row>
    <row r="33" spans="1:8" ht="15" customHeight="1">
      <c r="A33" s="3">
        <v>40224</v>
      </c>
      <c r="B33" s="5">
        <v>165084</v>
      </c>
      <c r="C33" s="191">
        <v>19000</v>
      </c>
      <c r="D33" s="124">
        <v>19070</v>
      </c>
      <c r="E33" s="124">
        <f t="shared" si="0"/>
        <v>545</v>
      </c>
      <c r="F33" s="124"/>
      <c r="G33" s="200"/>
      <c r="H33" s="194"/>
    </row>
    <row r="34" spans="1:8" ht="15" customHeight="1">
      <c r="A34" s="3">
        <v>40225</v>
      </c>
      <c r="B34" s="5">
        <v>164856</v>
      </c>
      <c r="C34" s="191">
        <v>19600</v>
      </c>
      <c r="D34" s="124">
        <v>19710</v>
      </c>
      <c r="E34" s="124">
        <f t="shared" si="0"/>
        <v>600</v>
      </c>
      <c r="F34" s="124"/>
      <c r="G34" s="200"/>
      <c r="H34" s="194"/>
    </row>
    <row r="35" spans="1:8" ht="15" customHeight="1">
      <c r="A35" s="3">
        <v>40226</v>
      </c>
      <c r="B35" s="5">
        <v>164478</v>
      </c>
      <c r="C35" s="191">
        <v>20150</v>
      </c>
      <c r="D35" s="124">
        <v>20225</v>
      </c>
      <c r="E35" s="124">
        <f t="shared" si="0"/>
        <v>550</v>
      </c>
      <c r="F35" s="124"/>
      <c r="G35" s="200"/>
      <c r="H35" s="194"/>
    </row>
    <row r="36" spans="1:8" ht="15" customHeight="1">
      <c r="A36" s="3">
        <v>40227</v>
      </c>
      <c r="B36" s="5">
        <v>163818</v>
      </c>
      <c r="C36" s="191">
        <v>20235</v>
      </c>
      <c r="D36" s="124">
        <v>20325</v>
      </c>
      <c r="E36" s="124">
        <f t="shared" si="0"/>
        <v>85</v>
      </c>
      <c r="F36" s="124"/>
      <c r="G36" s="200"/>
      <c r="H36" s="194"/>
    </row>
    <row r="37" spans="1:8" ht="15" customHeight="1">
      <c r="A37" s="3">
        <v>40228</v>
      </c>
      <c r="B37" s="5">
        <v>163542</v>
      </c>
      <c r="C37" s="191">
        <v>20210</v>
      </c>
      <c r="D37" s="124">
        <v>20310</v>
      </c>
      <c r="E37" s="124">
        <f t="shared" si="0"/>
        <v>-25</v>
      </c>
      <c r="F37" s="124"/>
      <c r="G37" s="200"/>
      <c r="H37" s="194"/>
    </row>
    <row r="38" spans="1:8" ht="15" customHeight="1">
      <c r="A38" s="3">
        <v>40231</v>
      </c>
      <c r="B38" s="5">
        <v>162474</v>
      </c>
      <c r="C38" s="191">
        <v>20535</v>
      </c>
      <c r="D38" s="124">
        <v>20650</v>
      </c>
      <c r="E38" s="124">
        <f t="shared" si="0"/>
        <v>325</v>
      </c>
      <c r="F38" s="124"/>
      <c r="G38" s="200"/>
      <c r="H38" s="194"/>
    </row>
    <row r="39" spans="1:8" ht="15" customHeight="1">
      <c r="A39" s="3">
        <v>40232</v>
      </c>
      <c r="B39" s="5">
        <v>161178</v>
      </c>
      <c r="C39" s="191">
        <v>20430</v>
      </c>
      <c r="D39" s="124">
        <v>20460</v>
      </c>
      <c r="E39" s="124">
        <f t="shared" si="0"/>
        <v>-105</v>
      </c>
      <c r="F39" s="124"/>
      <c r="G39" s="200"/>
      <c r="H39" s="194"/>
    </row>
    <row r="40" spans="1:8" ht="15" customHeight="1">
      <c r="A40" s="3">
        <v>40233</v>
      </c>
      <c r="B40" s="5">
        <v>160830</v>
      </c>
      <c r="C40" s="191">
        <v>20065</v>
      </c>
      <c r="D40" s="124">
        <v>20150</v>
      </c>
      <c r="E40" s="124">
        <f t="shared" si="0"/>
        <v>-365</v>
      </c>
      <c r="F40" s="124"/>
      <c r="G40" s="200"/>
      <c r="H40" s="194"/>
    </row>
    <row r="41" spans="1:8" ht="15" customHeight="1">
      <c r="A41" s="3">
        <v>40234</v>
      </c>
      <c r="B41" s="5">
        <v>161742</v>
      </c>
      <c r="C41" s="191">
        <v>20275</v>
      </c>
      <c r="D41" s="124">
        <v>20350</v>
      </c>
      <c r="E41" s="124">
        <f t="shared" si="0"/>
        <v>210</v>
      </c>
      <c r="F41" s="124"/>
      <c r="G41" s="200"/>
      <c r="H41" s="194"/>
    </row>
    <row r="42" spans="1:8" ht="15" customHeight="1" thickBot="1">
      <c r="A42" s="12">
        <v>40235</v>
      </c>
      <c r="B42" s="14">
        <v>162666</v>
      </c>
      <c r="C42" s="197">
        <v>20495</v>
      </c>
      <c r="D42" s="193">
        <v>20550</v>
      </c>
      <c r="E42" s="193">
        <f t="shared" si="0"/>
        <v>220</v>
      </c>
      <c r="F42" s="203">
        <f>AVERAGE(C23:C42)</f>
        <v>18976</v>
      </c>
      <c r="G42" s="204">
        <f>AVERAGE(C3:C42)</f>
        <v>18707.625</v>
      </c>
      <c r="H42" s="195"/>
    </row>
    <row r="43" spans="1:8" ht="15" customHeight="1">
      <c r="A43" s="3">
        <v>40238</v>
      </c>
      <c r="B43" s="5">
        <v>163224</v>
      </c>
      <c r="C43" s="191">
        <v>21370</v>
      </c>
      <c r="D43" s="124">
        <v>21445</v>
      </c>
      <c r="E43" s="124">
        <f t="shared" si="0"/>
        <v>875</v>
      </c>
      <c r="F43" s="124"/>
      <c r="G43" s="200"/>
      <c r="H43" s="194"/>
    </row>
    <row r="44" spans="1:8" ht="15" customHeight="1">
      <c r="A44" s="3">
        <v>40239</v>
      </c>
      <c r="B44" s="5">
        <v>162840</v>
      </c>
      <c r="C44" s="191">
        <v>21505</v>
      </c>
      <c r="D44" s="124">
        <v>21630</v>
      </c>
      <c r="E44" s="124">
        <f t="shared" si="0"/>
        <v>135</v>
      </c>
      <c r="F44" s="124"/>
      <c r="G44" s="200"/>
      <c r="H44" s="194"/>
    </row>
    <row r="45" spans="1:8" ht="15" customHeight="1">
      <c r="A45" s="3">
        <v>40240</v>
      </c>
      <c r="B45" s="5">
        <v>162096</v>
      </c>
      <c r="C45" s="191">
        <v>22555</v>
      </c>
      <c r="D45" s="124">
        <v>22635</v>
      </c>
      <c r="E45" s="124">
        <f t="shared" si="0"/>
        <v>1050</v>
      </c>
      <c r="F45" s="124"/>
      <c r="G45" s="200"/>
      <c r="H45" s="194"/>
    </row>
    <row r="46" spans="1:8" ht="15" customHeight="1">
      <c r="A46" s="3">
        <v>40241</v>
      </c>
      <c r="B46" s="5">
        <v>161598</v>
      </c>
      <c r="C46" s="191">
        <v>22875</v>
      </c>
      <c r="D46" s="124">
        <v>22975</v>
      </c>
      <c r="E46" s="124">
        <f t="shared" si="0"/>
        <v>320</v>
      </c>
      <c r="F46" s="124"/>
      <c r="G46" s="200"/>
      <c r="H46" s="194"/>
    </row>
    <row r="47" spans="1:8" ht="15" customHeight="1">
      <c r="A47" s="3">
        <v>40242</v>
      </c>
      <c r="B47" s="5">
        <v>160884</v>
      </c>
      <c r="C47" s="191">
        <v>22500</v>
      </c>
      <c r="D47" s="124">
        <v>22550</v>
      </c>
      <c r="E47" s="124">
        <f t="shared" si="0"/>
        <v>-375</v>
      </c>
      <c r="F47" s="124"/>
      <c r="G47" s="200"/>
      <c r="H47" s="194"/>
    </row>
    <row r="48" spans="1:8" ht="15" customHeight="1">
      <c r="A48" s="3">
        <v>40245</v>
      </c>
      <c r="B48" s="5">
        <v>160224</v>
      </c>
      <c r="C48" s="191">
        <v>22550</v>
      </c>
      <c r="D48" s="124">
        <v>22650</v>
      </c>
      <c r="E48" s="124">
        <f t="shared" si="0"/>
        <v>50</v>
      </c>
      <c r="F48" s="124"/>
      <c r="G48" s="200"/>
      <c r="H48" s="194"/>
    </row>
    <row r="49" spans="1:8" ht="15" customHeight="1">
      <c r="A49" s="3">
        <v>40246</v>
      </c>
      <c r="B49" s="5">
        <v>159912</v>
      </c>
      <c r="C49" s="191">
        <v>21945</v>
      </c>
      <c r="D49" s="124">
        <v>22000</v>
      </c>
      <c r="E49" s="124">
        <f t="shared" si="0"/>
        <v>-605</v>
      </c>
      <c r="F49" s="124"/>
      <c r="G49" s="200"/>
      <c r="H49" s="194"/>
    </row>
    <row r="50" spans="1:8" ht="15" customHeight="1">
      <c r="A50" s="3">
        <v>40247</v>
      </c>
      <c r="B50" s="5">
        <v>159702</v>
      </c>
      <c r="C50" s="191">
        <v>21995</v>
      </c>
      <c r="D50" s="124">
        <v>22080</v>
      </c>
      <c r="E50" s="124">
        <f t="shared" si="0"/>
        <v>50</v>
      </c>
      <c r="F50" s="124"/>
      <c r="G50" s="200"/>
      <c r="H50" s="194"/>
    </row>
    <row r="51" spans="1:8" ht="15" customHeight="1">
      <c r="A51" s="3">
        <v>40248</v>
      </c>
      <c r="B51" s="5">
        <v>159384</v>
      </c>
      <c r="C51" s="191">
        <v>21325</v>
      </c>
      <c r="D51" s="124">
        <v>21400</v>
      </c>
      <c r="E51" s="124">
        <f t="shared" si="0"/>
        <v>-670</v>
      </c>
      <c r="F51" s="124"/>
      <c r="G51" s="200"/>
      <c r="H51" s="194"/>
    </row>
    <row r="52" spans="1:8" ht="15" customHeight="1">
      <c r="A52" s="3">
        <v>40249</v>
      </c>
      <c r="B52" s="5">
        <v>158940</v>
      </c>
      <c r="C52" s="191">
        <v>21800</v>
      </c>
      <c r="D52" s="124">
        <v>21795</v>
      </c>
      <c r="E52" s="124">
        <f t="shared" si="0"/>
        <v>475</v>
      </c>
      <c r="F52" s="124"/>
      <c r="G52" s="200"/>
      <c r="H52" s="194"/>
    </row>
    <row r="53" spans="1:8" ht="15" customHeight="1">
      <c r="A53" s="3">
        <v>40252</v>
      </c>
      <c r="B53" s="5">
        <v>158598</v>
      </c>
      <c r="C53" s="191">
        <v>21300</v>
      </c>
      <c r="D53" s="124">
        <v>21450</v>
      </c>
      <c r="E53" s="124">
        <f t="shared" si="0"/>
        <v>-500</v>
      </c>
      <c r="F53" s="124"/>
      <c r="G53" s="200"/>
      <c r="H53" s="194"/>
    </row>
    <row r="54" spans="1:8" ht="15" customHeight="1">
      <c r="A54" s="3">
        <v>40253</v>
      </c>
      <c r="B54" s="5">
        <v>158382</v>
      </c>
      <c r="C54" s="191">
        <v>22000</v>
      </c>
      <c r="D54" s="124">
        <v>22100</v>
      </c>
      <c r="E54" s="124">
        <f t="shared" si="0"/>
        <v>700</v>
      </c>
      <c r="F54" s="124"/>
      <c r="G54" s="200"/>
      <c r="H54" s="194"/>
    </row>
    <row r="55" spans="1:8" ht="15" customHeight="1">
      <c r="A55" s="3">
        <v>40254</v>
      </c>
      <c r="B55" s="5">
        <v>158364</v>
      </c>
      <c r="C55" s="191">
        <v>22125</v>
      </c>
      <c r="D55" s="124">
        <v>22175</v>
      </c>
      <c r="E55" s="124">
        <f t="shared" si="0"/>
        <v>125</v>
      </c>
      <c r="F55" s="124"/>
      <c r="G55" s="200"/>
      <c r="H55" s="194"/>
    </row>
    <row r="56" spans="1:8" ht="15" customHeight="1">
      <c r="A56" s="3">
        <v>40255</v>
      </c>
      <c r="B56" s="5">
        <v>158478</v>
      </c>
      <c r="C56" s="191">
        <v>22250</v>
      </c>
      <c r="D56" s="124">
        <v>22305</v>
      </c>
      <c r="E56" s="124">
        <f t="shared" si="0"/>
        <v>125</v>
      </c>
      <c r="F56" s="124"/>
      <c r="G56" s="200"/>
      <c r="H56" s="194"/>
    </row>
    <row r="57" spans="1:8" ht="15" customHeight="1">
      <c r="A57" s="3">
        <v>40256</v>
      </c>
      <c r="B57" s="5">
        <v>157752</v>
      </c>
      <c r="C57" s="191">
        <v>22700</v>
      </c>
      <c r="D57" s="124">
        <v>22700</v>
      </c>
      <c r="E57" s="124">
        <f t="shared" si="0"/>
        <v>450</v>
      </c>
      <c r="F57" s="124"/>
      <c r="G57" s="200"/>
      <c r="H57" s="194"/>
    </row>
    <row r="58" spans="1:8" ht="15" customHeight="1">
      <c r="A58" s="3">
        <v>40259</v>
      </c>
      <c r="B58" s="5">
        <v>157710</v>
      </c>
      <c r="C58" s="191">
        <v>21855</v>
      </c>
      <c r="D58" s="124">
        <v>21905</v>
      </c>
      <c r="E58" s="124">
        <f t="shared" si="0"/>
        <v>-845</v>
      </c>
      <c r="F58" s="124"/>
      <c r="G58" s="200"/>
      <c r="H58" s="194"/>
    </row>
    <row r="59" spans="1:8" ht="15" customHeight="1">
      <c r="A59" s="3">
        <v>40260</v>
      </c>
      <c r="B59" s="5">
        <v>157368</v>
      </c>
      <c r="C59" s="191">
        <v>22340</v>
      </c>
      <c r="D59" s="124">
        <v>22390</v>
      </c>
      <c r="E59" s="124">
        <f t="shared" si="0"/>
        <v>485</v>
      </c>
      <c r="F59" s="124"/>
      <c r="G59" s="200"/>
      <c r="H59" s="194"/>
    </row>
    <row r="60" spans="1:8" ht="15" customHeight="1">
      <c r="A60" s="3">
        <v>40261</v>
      </c>
      <c r="B60" s="5">
        <v>157338</v>
      </c>
      <c r="C60" s="191">
        <v>22195</v>
      </c>
      <c r="D60" s="124">
        <v>22205</v>
      </c>
      <c r="E60" s="124">
        <f t="shared" si="0"/>
        <v>-145</v>
      </c>
      <c r="F60" s="124"/>
      <c r="G60" s="200"/>
      <c r="H60" s="194"/>
    </row>
    <row r="61" spans="1:8" ht="15" customHeight="1">
      <c r="A61" s="3">
        <v>40262</v>
      </c>
      <c r="B61" s="5">
        <v>156996</v>
      </c>
      <c r="C61" s="191">
        <v>22675</v>
      </c>
      <c r="D61" s="124">
        <v>22675</v>
      </c>
      <c r="E61" s="124">
        <f t="shared" si="0"/>
        <v>480</v>
      </c>
      <c r="F61" s="124"/>
      <c r="G61" s="200"/>
      <c r="H61" s="194"/>
    </row>
    <row r="62" spans="1:8" ht="15" customHeight="1">
      <c r="A62" s="3">
        <v>40263</v>
      </c>
      <c r="B62" s="5">
        <v>155922</v>
      </c>
      <c r="C62" s="191">
        <v>23650</v>
      </c>
      <c r="D62" s="124">
        <v>23605</v>
      </c>
      <c r="E62" s="124">
        <f t="shared" si="0"/>
        <v>975</v>
      </c>
      <c r="F62" s="124"/>
      <c r="G62" s="200"/>
      <c r="H62" s="194"/>
    </row>
    <row r="63" spans="1:8" ht="15" customHeight="1">
      <c r="A63" s="3">
        <v>40265</v>
      </c>
      <c r="B63" s="5">
        <v>156348</v>
      </c>
      <c r="C63" s="191">
        <v>23950</v>
      </c>
      <c r="D63" s="124">
        <v>24025</v>
      </c>
      <c r="E63" s="124">
        <f t="shared" si="0"/>
        <v>300</v>
      </c>
      <c r="F63" s="124"/>
      <c r="G63" s="200"/>
      <c r="H63" s="194"/>
    </row>
    <row r="64" spans="1:8" ht="15" customHeight="1">
      <c r="A64" s="3">
        <v>40267</v>
      </c>
      <c r="B64" s="5">
        <v>156090</v>
      </c>
      <c r="C64" s="191">
        <v>24200</v>
      </c>
      <c r="D64" s="124">
        <v>24200</v>
      </c>
      <c r="E64" s="124">
        <f t="shared" si="0"/>
        <v>250</v>
      </c>
      <c r="F64" s="124"/>
      <c r="G64" s="200"/>
      <c r="H64" s="194"/>
    </row>
    <row r="65" spans="1:8" ht="15" customHeight="1" thickBot="1">
      <c r="A65" s="12">
        <v>40268</v>
      </c>
      <c r="B65" s="14">
        <v>156426</v>
      </c>
      <c r="C65" s="197">
        <v>24950</v>
      </c>
      <c r="D65" s="193">
        <v>24975</v>
      </c>
      <c r="E65" s="193">
        <f t="shared" si="0"/>
        <v>750</v>
      </c>
      <c r="F65" s="203">
        <f>AVERAGE(C43:C65)</f>
        <v>22461.304347826088</v>
      </c>
      <c r="G65" s="204">
        <f>AVERAGE(C3:C65)</f>
        <v>20078.015873015873</v>
      </c>
      <c r="H65" s="195"/>
    </row>
    <row r="66" spans="1:8" ht="15" customHeight="1">
      <c r="A66" s="3">
        <v>40269</v>
      </c>
      <c r="B66" s="5">
        <v>157512</v>
      </c>
      <c r="C66" s="191">
        <v>25475</v>
      </c>
      <c r="D66" s="124">
        <v>25500</v>
      </c>
      <c r="E66" s="124">
        <f t="shared" si="0"/>
        <v>525</v>
      </c>
      <c r="F66" s="124"/>
      <c r="G66" s="200"/>
      <c r="H66" s="125"/>
    </row>
    <row r="67" spans="1:8" ht="15" customHeight="1">
      <c r="A67" s="3">
        <v>40270</v>
      </c>
      <c r="B67" s="1022" t="s">
        <v>80</v>
      </c>
      <c r="C67" s="1022"/>
      <c r="D67" s="1022"/>
      <c r="E67" s="1022"/>
      <c r="F67" s="19"/>
      <c r="G67" s="32"/>
      <c r="H67" s="125"/>
    </row>
    <row r="68" spans="1:8" ht="15" customHeight="1">
      <c r="A68" s="3">
        <v>40273</v>
      </c>
      <c r="B68" s="1022"/>
      <c r="C68" s="1022"/>
      <c r="D68" s="1022"/>
      <c r="E68" s="1022"/>
      <c r="F68" s="19"/>
      <c r="G68" s="32"/>
      <c r="H68" s="125"/>
    </row>
    <row r="69" spans="1:8" ht="15" customHeight="1">
      <c r="A69" s="3">
        <v>40274</v>
      </c>
      <c r="B69" s="5">
        <v>156846</v>
      </c>
      <c r="C69" s="191">
        <v>24550</v>
      </c>
      <c r="D69" s="124">
        <v>24650</v>
      </c>
      <c r="E69" s="124">
        <f t="shared" ref="E69:E87" si="1">+C69-C68</f>
        <v>24550</v>
      </c>
      <c r="F69" s="124"/>
      <c r="G69" s="200"/>
      <c r="H69" s="125"/>
    </row>
    <row r="70" spans="1:8" ht="15" customHeight="1">
      <c r="A70" s="3">
        <v>40275</v>
      </c>
      <c r="B70" s="5">
        <v>156012</v>
      </c>
      <c r="C70" s="191">
        <v>24560</v>
      </c>
      <c r="D70" s="124">
        <v>24650</v>
      </c>
      <c r="E70" s="124">
        <f t="shared" si="1"/>
        <v>10</v>
      </c>
      <c r="F70" s="124"/>
      <c r="G70" s="200"/>
      <c r="H70" s="125"/>
    </row>
    <row r="71" spans="1:8" ht="15" customHeight="1">
      <c r="A71" s="3">
        <v>40276</v>
      </c>
      <c r="B71" s="5">
        <v>155670</v>
      </c>
      <c r="C71" s="191">
        <v>24440</v>
      </c>
      <c r="D71" s="124">
        <v>24450</v>
      </c>
      <c r="E71" s="124">
        <f t="shared" si="1"/>
        <v>-120</v>
      </c>
      <c r="F71" s="124"/>
      <c r="G71" s="200"/>
      <c r="H71" s="125"/>
    </row>
    <row r="72" spans="1:8" ht="15" customHeight="1">
      <c r="A72" s="3">
        <v>40277</v>
      </c>
      <c r="B72" s="5">
        <v>155130</v>
      </c>
      <c r="C72" s="191">
        <v>25200</v>
      </c>
      <c r="D72" s="124">
        <v>25200</v>
      </c>
      <c r="E72" s="124">
        <f t="shared" si="1"/>
        <v>760</v>
      </c>
      <c r="F72" s="124"/>
      <c r="G72" s="200"/>
      <c r="H72" s="125"/>
    </row>
    <row r="73" spans="1:8" ht="15" customHeight="1">
      <c r="A73" s="3">
        <v>40280</v>
      </c>
      <c r="B73" s="5">
        <v>154584</v>
      </c>
      <c r="C73" s="191">
        <v>25580</v>
      </c>
      <c r="D73" s="124">
        <v>25675</v>
      </c>
      <c r="E73" s="124">
        <f t="shared" si="1"/>
        <v>380</v>
      </c>
      <c r="F73" s="124"/>
      <c r="G73" s="200"/>
      <c r="H73" s="125"/>
    </row>
    <row r="74" spans="1:8" ht="15" customHeight="1">
      <c r="A74" s="3">
        <v>40281</v>
      </c>
      <c r="B74" s="5">
        <v>153924</v>
      </c>
      <c r="C74" s="191">
        <v>25570</v>
      </c>
      <c r="D74" s="124">
        <v>25610</v>
      </c>
      <c r="E74" s="124">
        <f t="shared" si="1"/>
        <v>-10</v>
      </c>
      <c r="F74" s="124"/>
      <c r="G74" s="200"/>
      <c r="H74" s="125"/>
    </row>
    <row r="75" spans="1:8" ht="15" customHeight="1">
      <c r="A75" s="3">
        <v>40282</v>
      </c>
      <c r="B75" s="5">
        <v>153306</v>
      </c>
      <c r="C75" s="191">
        <v>25875</v>
      </c>
      <c r="D75" s="124">
        <v>25875</v>
      </c>
      <c r="E75" s="124">
        <f t="shared" si="1"/>
        <v>305</v>
      </c>
      <c r="F75" s="124"/>
      <c r="G75" s="200"/>
      <c r="H75" s="125"/>
    </row>
    <row r="76" spans="1:8" ht="15" customHeight="1">
      <c r="A76" s="3">
        <v>40283</v>
      </c>
      <c r="B76" s="5">
        <v>151878</v>
      </c>
      <c r="C76" s="191">
        <v>26690</v>
      </c>
      <c r="D76" s="124">
        <v>26670</v>
      </c>
      <c r="E76" s="124">
        <f t="shared" si="1"/>
        <v>815</v>
      </c>
      <c r="F76" s="124"/>
      <c r="G76" s="200"/>
      <c r="H76" s="125"/>
    </row>
    <row r="77" spans="1:8" ht="15" customHeight="1">
      <c r="A77" s="3">
        <v>40284</v>
      </c>
      <c r="B77" s="5">
        <v>151424</v>
      </c>
      <c r="C77" s="191">
        <v>27600</v>
      </c>
      <c r="D77" s="124">
        <v>27595</v>
      </c>
      <c r="E77" s="124">
        <f t="shared" si="1"/>
        <v>910</v>
      </c>
      <c r="F77" s="124"/>
      <c r="G77" s="200"/>
      <c r="H77" s="125"/>
    </row>
    <row r="78" spans="1:8" ht="15" customHeight="1">
      <c r="A78" s="3">
        <v>40287</v>
      </c>
      <c r="B78" s="5">
        <v>150474</v>
      </c>
      <c r="C78" s="191">
        <v>26405</v>
      </c>
      <c r="D78" s="124">
        <v>26600</v>
      </c>
      <c r="E78" s="124">
        <f t="shared" si="1"/>
        <v>-1195</v>
      </c>
      <c r="F78" s="124"/>
      <c r="G78" s="200"/>
      <c r="H78" s="125"/>
    </row>
    <row r="79" spans="1:8" ht="15" customHeight="1">
      <c r="A79" s="3">
        <v>40288</v>
      </c>
      <c r="B79" s="5">
        <v>149946</v>
      </c>
      <c r="C79" s="191">
        <v>27310</v>
      </c>
      <c r="D79" s="124">
        <v>27375</v>
      </c>
      <c r="E79" s="124">
        <f t="shared" si="1"/>
        <v>905</v>
      </c>
      <c r="F79" s="124"/>
      <c r="G79" s="200"/>
      <c r="H79" s="125"/>
    </row>
    <row r="80" spans="1:8" ht="15" customHeight="1">
      <c r="A80" s="3">
        <v>40289</v>
      </c>
      <c r="B80" s="5">
        <v>148842</v>
      </c>
      <c r="C80" s="191">
        <v>26425</v>
      </c>
      <c r="D80" s="124">
        <v>26575</v>
      </c>
      <c r="E80" s="124">
        <f t="shared" si="1"/>
        <v>-885</v>
      </c>
      <c r="F80" s="124"/>
      <c r="G80" s="200"/>
      <c r="H80" s="125"/>
    </row>
    <row r="81" spans="1:8" ht="15" customHeight="1">
      <c r="A81" s="3">
        <v>40290</v>
      </c>
      <c r="B81" s="5">
        <v>147684</v>
      </c>
      <c r="C81" s="191">
        <v>27000</v>
      </c>
      <c r="D81" s="124">
        <v>27080</v>
      </c>
      <c r="E81" s="124">
        <f t="shared" si="1"/>
        <v>575</v>
      </c>
      <c r="F81" s="124"/>
      <c r="G81" s="200"/>
      <c r="H81" s="125"/>
    </row>
    <row r="82" spans="1:8" ht="15" customHeight="1">
      <c r="A82" s="3">
        <v>40291</v>
      </c>
      <c r="B82" s="5">
        <v>146592</v>
      </c>
      <c r="C82" s="191">
        <v>26800</v>
      </c>
      <c r="D82" s="124">
        <v>26750</v>
      </c>
      <c r="E82" s="124">
        <f t="shared" si="1"/>
        <v>-200</v>
      </c>
      <c r="F82" s="124"/>
      <c r="G82" s="200"/>
      <c r="H82" s="125"/>
    </row>
    <row r="83" spans="1:8" ht="15" customHeight="1">
      <c r="A83" s="3">
        <v>40294</v>
      </c>
      <c r="B83" s="5">
        <v>145722</v>
      </c>
      <c r="C83" s="191">
        <v>27325</v>
      </c>
      <c r="D83" s="124">
        <v>27495</v>
      </c>
      <c r="E83" s="124">
        <f t="shared" si="1"/>
        <v>525</v>
      </c>
      <c r="F83" s="124"/>
      <c r="G83" s="200"/>
      <c r="H83" s="125"/>
    </row>
    <row r="84" spans="1:8" ht="15" customHeight="1">
      <c r="A84" s="3">
        <v>40295</v>
      </c>
      <c r="B84" s="5">
        <v>145458</v>
      </c>
      <c r="C84" s="191">
        <v>26850</v>
      </c>
      <c r="D84" s="124">
        <v>25800</v>
      </c>
      <c r="E84" s="124">
        <f t="shared" si="1"/>
        <v>-475</v>
      </c>
      <c r="F84" s="124"/>
      <c r="G84" s="200"/>
      <c r="H84" s="125"/>
    </row>
    <row r="85" spans="1:8" ht="15" customHeight="1">
      <c r="A85" s="3">
        <v>40296</v>
      </c>
      <c r="B85" s="5">
        <v>145350</v>
      </c>
      <c r="C85" s="191">
        <v>25450</v>
      </c>
      <c r="D85" s="124">
        <v>25450</v>
      </c>
      <c r="E85" s="124">
        <f t="shared" si="1"/>
        <v>-1400</v>
      </c>
      <c r="F85" s="124"/>
      <c r="G85" s="200"/>
      <c r="H85" s="125"/>
    </row>
    <row r="86" spans="1:8" ht="15" customHeight="1">
      <c r="A86" s="3">
        <v>40297</v>
      </c>
      <c r="B86" s="5">
        <v>145884</v>
      </c>
      <c r="C86" s="191">
        <v>25700</v>
      </c>
      <c r="D86" s="124">
        <v>25770</v>
      </c>
      <c r="E86" s="124">
        <f t="shared" si="1"/>
        <v>250</v>
      </c>
      <c r="F86" s="124"/>
      <c r="G86" s="200"/>
      <c r="H86" s="125"/>
    </row>
    <row r="87" spans="1:8" ht="15" customHeight="1" thickBot="1">
      <c r="A87" s="12">
        <v>40298</v>
      </c>
      <c r="B87" s="14">
        <v>145314</v>
      </c>
      <c r="C87" s="192">
        <v>25810</v>
      </c>
      <c r="D87" s="193">
        <v>25900</v>
      </c>
      <c r="E87" s="124">
        <f t="shared" si="1"/>
        <v>110</v>
      </c>
      <c r="F87" s="164">
        <f>AVERAGE(C66:C87)</f>
        <v>26030.75</v>
      </c>
      <c r="G87" s="206">
        <f>AVERAGE(C3:C87)</f>
        <v>21512.409638554218</v>
      </c>
      <c r="H87" s="128">
        <v>184500</v>
      </c>
    </row>
    <row r="88" spans="1:8" ht="15" customHeight="1">
      <c r="A88" s="36">
        <v>40301</v>
      </c>
      <c r="B88" s="1034" t="s">
        <v>63</v>
      </c>
      <c r="C88" s="1034"/>
      <c r="D88" s="1034"/>
      <c r="E88" s="1034"/>
      <c r="F88" s="1034"/>
      <c r="G88" s="1034"/>
      <c r="H88" s="1034"/>
    </row>
    <row r="89" spans="1:8" ht="15" customHeight="1">
      <c r="A89" s="3">
        <v>40302</v>
      </c>
      <c r="B89" s="5">
        <v>145782</v>
      </c>
      <c r="C89" s="126">
        <v>25650</v>
      </c>
      <c r="D89" s="124">
        <v>25725</v>
      </c>
      <c r="E89" s="19">
        <f>+C89-C87</f>
        <v>-160</v>
      </c>
      <c r="F89" s="19"/>
      <c r="G89" s="32"/>
      <c r="H89" s="125">
        <v>187500</v>
      </c>
    </row>
    <row r="90" spans="1:8" ht="15" customHeight="1">
      <c r="A90" s="3">
        <v>40303</v>
      </c>
      <c r="B90" s="5">
        <v>145446</v>
      </c>
      <c r="C90" s="126">
        <v>22560</v>
      </c>
      <c r="D90" s="124">
        <v>22700</v>
      </c>
      <c r="E90" s="19">
        <f t="shared" ref="E90:E109" si="2">+C90-C89</f>
        <v>-3090</v>
      </c>
      <c r="F90" s="19"/>
      <c r="G90" s="32"/>
      <c r="H90" s="125">
        <v>174500</v>
      </c>
    </row>
    <row r="91" spans="1:8" ht="15" customHeight="1">
      <c r="A91" s="3">
        <v>40304</v>
      </c>
      <c r="B91" s="129">
        <v>145446</v>
      </c>
      <c r="C91" s="126">
        <v>21670</v>
      </c>
      <c r="D91" s="124">
        <v>21665</v>
      </c>
      <c r="E91" s="19">
        <f t="shared" si="2"/>
        <v>-890</v>
      </c>
      <c r="F91" s="19"/>
      <c r="G91" s="32"/>
      <c r="H91" s="125">
        <v>179500</v>
      </c>
    </row>
    <row r="92" spans="1:8" ht="15" customHeight="1">
      <c r="A92" s="3">
        <v>40305</v>
      </c>
      <c r="B92" s="129">
        <v>144930</v>
      </c>
      <c r="C92" s="126">
        <v>22170</v>
      </c>
      <c r="D92" s="124">
        <v>22250</v>
      </c>
      <c r="E92" s="19">
        <f t="shared" si="2"/>
        <v>500</v>
      </c>
      <c r="F92" s="19"/>
      <c r="G92" s="32"/>
      <c r="H92" s="125">
        <v>171500</v>
      </c>
    </row>
    <row r="93" spans="1:8" ht="15" customHeight="1">
      <c r="A93" s="3">
        <v>40308</v>
      </c>
      <c r="B93" s="129">
        <v>144168</v>
      </c>
      <c r="C93" s="126">
        <v>23160</v>
      </c>
      <c r="D93" s="124">
        <v>23300</v>
      </c>
      <c r="E93" s="19">
        <f t="shared" si="2"/>
        <v>990</v>
      </c>
      <c r="F93" s="19"/>
      <c r="G93" s="32"/>
      <c r="H93" s="125">
        <v>174500</v>
      </c>
    </row>
    <row r="94" spans="1:8" ht="15" customHeight="1">
      <c r="A94" s="3">
        <v>40309</v>
      </c>
      <c r="B94" s="129">
        <v>143874</v>
      </c>
      <c r="C94" s="126">
        <v>22075</v>
      </c>
      <c r="D94" s="124">
        <v>22155</v>
      </c>
      <c r="E94" s="19">
        <f t="shared" si="2"/>
        <v>-1085</v>
      </c>
      <c r="F94" s="19"/>
      <c r="G94" s="32"/>
      <c r="H94" s="125">
        <v>177500</v>
      </c>
    </row>
    <row r="95" spans="1:8" ht="15" customHeight="1">
      <c r="A95" s="3">
        <v>40310</v>
      </c>
      <c r="B95" s="129">
        <v>143496</v>
      </c>
      <c r="C95" s="126">
        <v>22805</v>
      </c>
      <c r="D95" s="124">
        <v>23000</v>
      </c>
      <c r="E95" s="19">
        <f t="shared" si="2"/>
        <v>730</v>
      </c>
      <c r="F95" s="19"/>
      <c r="G95" s="32"/>
      <c r="H95" s="125">
        <v>176000</v>
      </c>
    </row>
    <row r="96" spans="1:8" ht="15" customHeight="1">
      <c r="A96" s="3">
        <v>40311</v>
      </c>
      <c r="B96" s="129">
        <v>142620</v>
      </c>
      <c r="C96" s="126">
        <v>22680</v>
      </c>
      <c r="D96" s="124">
        <v>22790</v>
      </c>
      <c r="E96" s="19">
        <f t="shared" si="2"/>
        <v>-125</v>
      </c>
      <c r="F96" s="19"/>
      <c r="G96" s="32"/>
      <c r="H96" s="125">
        <v>176000</v>
      </c>
    </row>
    <row r="97" spans="1:10" ht="15" customHeight="1">
      <c r="A97" s="3">
        <v>40312</v>
      </c>
      <c r="B97" s="129">
        <v>142080</v>
      </c>
      <c r="C97" s="126">
        <v>22200</v>
      </c>
      <c r="D97" s="124">
        <v>22200</v>
      </c>
      <c r="E97" s="19">
        <f t="shared" si="2"/>
        <v>-480</v>
      </c>
      <c r="F97" s="19"/>
      <c r="G97" s="32"/>
      <c r="H97" s="125">
        <v>176500</v>
      </c>
    </row>
    <row r="98" spans="1:10" ht="15" customHeight="1">
      <c r="A98" s="3">
        <v>40315</v>
      </c>
      <c r="B98" s="129">
        <v>140874</v>
      </c>
      <c r="C98" s="126">
        <v>21050</v>
      </c>
      <c r="D98" s="124">
        <v>21200</v>
      </c>
      <c r="E98" s="19">
        <f t="shared" si="2"/>
        <v>-1150</v>
      </c>
      <c r="F98" s="19"/>
      <c r="G98" s="32"/>
      <c r="H98" s="125">
        <v>169000</v>
      </c>
    </row>
    <row r="99" spans="1:10" ht="15" customHeight="1">
      <c r="A99" s="3">
        <v>40316</v>
      </c>
      <c r="B99" s="129">
        <v>139962</v>
      </c>
      <c r="C99" s="126">
        <v>21475</v>
      </c>
      <c r="D99" s="124">
        <v>21505</v>
      </c>
      <c r="E99" s="19">
        <f t="shared" si="2"/>
        <v>425</v>
      </c>
      <c r="F99" s="19"/>
      <c r="G99" s="32"/>
      <c r="H99" s="125">
        <v>165000</v>
      </c>
    </row>
    <row r="100" spans="1:10" ht="15" customHeight="1">
      <c r="A100" s="3">
        <v>40317</v>
      </c>
      <c r="B100" s="130">
        <v>139332</v>
      </c>
      <c r="C100" s="126">
        <v>21055</v>
      </c>
      <c r="D100" s="124">
        <v>21130</v>
      </c>
      <c r="E100" s="19">
        <f t="shared" si="2"/>
        <v>-420</v>
      </c>
      <c r="F100" s="19"/>
      <c r="G100" s="32"/>
      <c r="H100" s="125">
        <v>167000</v>
      </c>
    </row>
    <row r="101" spans="1:10" ht="15" customHeight="1">
      <c r="A101" s="3">
        <v>40318</v>
      </c>
      <c r="B101" s="130">
        <v>168888</v>
      </c>
      <c r="C101" s="126">
        <v>21050</v>
      </c>
      <c r="D101" s="124">
        <v>21150</v>
      </c>
      <c r="E101" s="19">
        <f t="shared" si="2"/>
        <v>-5</v>
      </c>
      <c r="F101" s="19"/>
      <c r="G101" s="32"/>
      <c r="H101" s="125">
        <v>167500</v>
      </c>
    </row>
    <row r="102" spans="1:10" ht="15" customHeight="1">
      <c r="A102" s="3">
        <v>40319</v>
      </c>
      <c r="B102" s="130">
        <v>139518</v>
      </c>
      <c r="C102" s="126">
        <v>21200</v>
      </c>
      <c r="D102" s="124">
        <v>21200</v>
      </c>
      <c r="E102" s="19">
        <f t="shared" si="2"/>
        <v>150</v>
      </c>
      <c r="F102" s="19"/>
      <c r="G102" s="32"/>
      <c r="H102" s="125">
        <v>167500</v>
      </c>
    </row>
    <row r="103" spans="1:10" ht="15" customHeight="1">
      <c r="A103" s="3">
        <v>40322</v>
      </c>
      <c r="B103" s="130">
        <v>138576</v>
      </c>
      <c r="C103" s="126">
        <v>21595</v>
      </c>
      <c r="D103" s="124">
        <v>21700</v>
      </c>
      <c r="E103" s="19">
        <f t="shared" si="2"/>
        <v>395</v>
      </c>
      <c r="F103" s="19"/>
      <c r="G103" s="32"/>
      <c r="H103" s="125">
        <v>168000</v>
      </c>
    </row>
    <row r="104" spans="1:10" ht="15" customHeight="1">
      <c r="A104" s="3">
        <v>40323</v>
      </c>
      <c r="B104" s="130">
        <v>138444</v>
      </c>
      <c r="C104" s="126">
        <v>21145</v>
      </c>
      <c r="D104" s="124">
        <v>21175</v>
      </c>
      <c r="E104" s="19">
        <f t="shared" si="2"/>
        <v>-450</v>
      </c>
      <c r="F104" s="19"/>
      <c r="G104" s="32"/>
      <c r="H104" s="125">
        <v>171000</v>
      </c>
    </row>
    <row r="105" spans="1:10" ht="15" customHeight="1">
      <c r="A105" s="3">
        <v>40324</v>
      </c>
      <c r="B105" s="130">
        <v>138648</v>
      </c>
      <c r="C105" s="126">
        <v>21460</v>
      </c>
      <c r="D105" s="124">
        <v>21625</v>
      </c>
      <c r="E105" s="19">
        <f t="shared" si="2"/>
        <v>315</v>
      </c>
      <c r="F105" s="19"/>
      <c r="G105" s="32"/>
      <c r="H105" s="125">
        <v>170500</v>
      </c>
    </row>
    <row r="106" spans="1:10" ht="15" customHeight="1">
      <c r="A106" s="3">
        <v>40325</v>
      </c>
      <c r="B106" s="130">
        <v>138786</v>
      </c>
      <c r="C106" s="126">
        <v>21600</v>
      </c>
      <c r="D106" s="124">
        <v>21575</v>
      </c>
      <c r="E106" s="19">
        <f t="shared" si="2"/>
        <v>140</v>
      </c>
      <c r="F106" s="19"/>
      <c r="G106" s="32"/>
      <c r="H106" s="125">
        <v>171000</v>
      </c>
    </row>
    <row r="107" spans="1:10" ht="15" customHeight="1">
      <c r="A107" s="3">
        <v>40326</v>
      </c>
      <c r="B107" s="130">
        <v>138504</v>
      </c>
      <c r="C107" s="126">
        <v>21555</v>
      </c>
      <c r="D107" s="124">
        <v>21650</v>
      </c>
      <c r="E107" s="19">
        <f t="shared" si="2"/>
        <v>-45</v>
      </c>
      <c r="F107" s="205">
        <f>AVERAGE(C89:C107)</f>
        <v>22008.157894736843</v>
      </c>
      <c r="G107" s="131">
        <v>21583.09</v>
      </c>
      <c r="H107" s="125">
        <v>173000</v>
      </c>
    </row>
    <row r="108" spans="1:10" ht="15" customHeight="1" thickBot="1">
      <c r="A108" s="12">
        <v>40329</v>
      </c>
      <c r="B108" s="1070" t="s">
        <v>63</v>
      </c>
      <c r="C108" s="1071"/>
      <c r="D108" s="1071"/>
      <c r="E108" s="1071"/>
      <c r="F108" s="1071"/>
      <c r="G108" s="1072"/>
      <c r="H108" s="128">
        <v>171500</v>
      </c>
      <c r="J108" s="133"/>
    </row>
    <row r="109" spans="1:10" ht="15" customHeight="1">
      <c r="A109" s="3">
        <v>40330</v>
      </c>
      <c r="B109" s="127">
        <v>138396</v>
      </c>
      <c r="C109" s="126">
        <v>20505</v>
      </c>
      <c r="D109" s="124">
        <v>20555</v>
      </c>
      <c r="E109" s="19">
        <f t="shared" si="2"/>
        <v>20505</v>
      </c>
      <c r="F109" s="19"/>
      <c r="G109" s="32"/>
      <c r="H109" s="125">
        <v>169500</v>
      </c>
      <c r="J109" s="133"/>
    </row>
    <row r="110" spans="1:10" ht="15" customHeight="1">
      <c r="A110" s="3">
        <v>40331</v>
      </c>
      <c r="B110" s="127">
        <v>137436</v>
      </c>
      <c r="C110" s="126">
        <v>19880</v>
      </c>
      <c r="D110" s="124">
        <v>19975</v>
      </c>
      <c r="E110" s="19">
        <f t="shared" ref="E110:E116" si="3">+C110-C109</f>
        <v>-625</v>
      </c>
      <c r="F110" s="19"/>
      <c r="G110" s="32"/>
      <c r="H110" s="125">
        <v>164500</v>
      </c>
    </row>
    <row r="111" spans="1:10" ht="15" customHeight="1">
      <c r="A111" s="3">
        <v>40332</v>
      </c>
      <c r="B111" s="127">
        <v>136848</v>
      </c>
      <c r="C111" s="126">
        <v>19205</v>
      </c>
      <c r="D111" s="124">
        <v>19205</v>
      </c>
      <c r="E111" s="19">
        <f t="shared" si="3"/>
        <v>-675</v>
      </c>
      <c r="F111" s="19"/>
      <c r="G111" s="32"/>
      <c r="H111" s="125">
        <v>162500</v>
      </c>
    </row>
    <row r="112" spans="1:10" ht="15" customHeight="1">
      <c r="A112" s="3">
        <v>40333</v>
      </c>
      <c r="B112" s="132">
        <v>135942</v>
      </c>
      <c r="C112" s="126">
        <v>18300</v>
      </c>
      <c r="D112" s="124">
        <v>18400</v>
      </c>
      <c r="E112" s="19">
        <f t="shared" si="3"/>
        <v>-905</v>
      </c>
      <c r="F112" s="19"/>
      <c r="G112" s="32"/>
      <c r="H112" s="125">
        <v>156000</v>
      </c>
    </row>
    <row r="113" spans="1:10" ht="15" customHeight="1">
      <c r="A113" s="3">
        <v>40336</v>
      </c>
      <c r="B113" s="132">
        <v>135402</v>
      </c>
      <c r="C113" s="126">
        <v>18050</v>
      </c>
      <c r="D113" s="124">
        <v>18175</v>
      </c>
      <c r="E113" s="19">
        <f t="shared" si="3"/>
        <v>-250</v>
      </c>
      <c r="F113" s="19"/>
      <c r="G113" s="32"/>
      <c r="H113" s="125">
        <v>149500</v>
      </c>
    </row>
    <row r="114" spans="1:10" ht="15" customHeight="1">
      <c r="A114" s="3">
        <v>40337</v>
      </c>
      <c r="B114" s="127">
        <v>135486</v>
      </c>
      <c r="C114" s="126">
        <v>17955</v>
      </c>
      <c r="D114" s="124">
        <v>18010</v>
      </c>
      <c r="E114" s="19">
        <f t="shared" si="3"/>
        <v>-95</v>
      </c>
      <c r="F114" s="19"/>
      <c r="G114" s="32"/>
      <c r="H114" s="125">
        <v>149500</v>
      </c>
    </row>
    <row r="115" spans="1:10" ht="15" customHeight="1">
      <c r="A115" s="3">
        <v>40338</v>
      </c>
      <c r="B115" s="127">
        <v>135168</v>
      </c>
      <c r="C115" s="126">
        <v>18780</v>
      </c>
      <c r="D115" s="124">
        <v>18900</v>
      </c>
      <c r="E115" s="19">
        <f t="shared" si="3"/>
        <v>825</v>
      </c>
      <c r="F115" s="19"/>
      <c r="G115" s="32"/>
      <c r="H115" s="125">
        <v>150500</v>
      </c>
    </row>
    <row r="116" spans="1:10" ht="15" customHeight="1">
      <c r="A116" s="3">
        <v>40339</v>
      </c>
      <c r="B116" s="127">
        <v>134646</v>
      </c>
      <c r="C116" s="126">
        <v>19105</v>
      </c>
      <c r="D116" s="124">
        <v>19155</v>
      </c>
      <c r="E116" s="19">
        <f t="shared" si="3"/>
        <v>325</v>
      </c>
      <c r="F116" s="19"/>
      <c r="G116" s="32"/>
      <c r="H116" s="125">
        <v>152000</v>
      </c>
    </row>
    <row r="117" spans="1:10" ht="15" customHeight="1">
      <c r="A117" s="3">
        <v>40340</v>
      </c>
      <c r="B117" s="127">
        <v>133794</v>
      </c>
      <c r="C117" s="126">
        <v>19300</v>
      </c>
      <c r="D117" s="124">
        <v>19400</v>
      </c>
      <c r="E117" s="19">
        <f t="shared" ref="E117:E123" si="4">+C117-C116</f>
        <v>195</v>
      </c>
      <c r="F117" s="19"/>
      <c r="G117" s="32"/>
      <c r="H117" s="125">
        <v>151750</v>
      </c>
    </row>
    <row r="118" spans="1:10" ht="15" customHeight="1">
      <c r="A118" s="3">
        <v>40343</v>
      </c>
      <c r="B118" s="127">
        <v>133320</v>
      </c>
      <c r="C118" s="126">
        <v>19730</v>
      </c>
      <c r="D118" s="124">
        <v>19825</v>
      </c>
      <c r="E118" s="19">
        <f t="shared" si="4"/>
        <v>430</v>
      </c>
      <c r="F118" s="19"/>
      <c r="G118" s="32"/>
      <c r="H118" s="1077" t="s">
        <v>77</v>
      </c>
    </row>
    <row r="119" spans="1:10" ht="15" customHeight="1">
      <c r="A119" s="3">
        <v>40344</v>
      </c>
      <c r="B119" s="127">
        <v>132162</v>
      </c>
      <c r="C119" s="126">
        <v>20105</v>
      </c>
      <c r="D119" s="124">
        <v>20200</v>
      </c>
      <c r="E119" s="19">
        <f t="shared" si="4"/>
        <v>375</v>
      </c>
      <c r="F119" s="19"/>
      <c r="G119" s="32"/>
      <c r="H119" s="1077"/>
    </row>
    <row r="120" spans="1:10" ht="15" customHeight="1">
      <c r="A120" s="3">
        <v>40345</v>
      </c>
      <c r="B120" s="127">
        <v>131712</v>
      </c>
      <c r="C120" s="126">
        <v>19555</v>
      </c>
      <c r="D120" s="124">
        <v>19660</v>
      </c>
      <c r="E120" s="19">
        <f t="shared" si="4"/>
        <v>-550</v>
      </c>
      <c r="F120" s="19"/>
      <c r="G120" s="32"/>
      <c r="H120" s="1077"/>
    </row>
    <row r="121" spans="1:10" ht="15" customHeight="1">
      <c r="A121" s="3">
        <v>40346</v>
      </c>
      <c r="B121" s="127">
        <v>131052</v>
      </c>
      <c r="C121" s="126">
        <v>19685</v>
      </c>
      <c r="D121" s="124">
        <v>19735</v>
      </c>
      <c r="E121" s="19">
        <f t="shared" si="4"/>
        <v>130</v>
      </c>
      <c r="F121" s="19"/>
      <c r="G121" s="32"/>
      <c r="H121" s="147">
        <v>157250</v>
      </c>
    </row>
    <row r="122" spans="1:10" ht="15" customHeight="1">
      <c r="A122" s="3">
        <v>40347</v>
      </c>
      <c r="B122" s="127">
        <v>129798</v>
      </c>
      <c r="C122" s="126">
        <v>19305</v>
      </c>
      <c r="D122" s="124">
        <v>19400</v>
      </c>
      <c r="E122" s="19">
        <f t="shared" si="4"/>
        <v>-380</v>
      </c>
      <c r="F122" s="19"/>
      <c r="G122" s="32"/>
      <c r="H122" s="147">
        <v>154750</v>
      </c>
    </row>
    <row r="123" spans="1:10" ht="15" customHeight="1">
      <c r="A123" s="3">
        <v>40350</v>
      </c>
      <c r="B123" s="129">
        <v>128784</v>
      </c>
      <c r="C123" s="126">
        <v>19935</v>
      </c>
      <c r="D123" s="138">
        <v>20005</v>
      </c>
      <c r="E123" s="19">
        <f t="shared" si="4"/>
        <v>630</v>
      </c>
      <c r="F123" s="19"/>
      <c r="G123" s="139"/>
      <c r="H123" s="148">
        <v>155000</v>
      </c>
      <c r="J123" s="134"/>
    </row>
    <row r="124" spans="1:10" ht="15" customHeight="1">
      <c r="A124" s="3">
        <v>40351</v>
      </c>
      <c r="B124" s="129">
        <v>128178</v>
      </c>
      <c r="C124" s="140">
        <v>19400</v>
      </c>
      <c r="D124" s="138">
        <v>19450</v>
      </c>
      <c r="E124" s="19">
        <f t="shared" ref="E124:E129" si="5">+C124-C123</f>
        <v>-535</v>
      </c>
      <c r="F124" s="19"/>
      <c r="G124" s="139"/>
      <c r="H124" s="148">
        <v>155500</v>
      </c>
    </row>
    <row r="125" spans="1:10" ht="15" customHeight="1">
      <c r="A125" s="3">
        <v>40352</v>
      </c>
      <c r="B125" s="129">
        <v>127422</v>
      </c>
      <c r="C125" s="140">
        <v>19430</v>
      </c>
      <c r="D125" s="138">
        <v>19510</v>
      </c>
      <c r="E125" s="19">
        <f t="shared" si="5"/>
        <v>30</v>
      </c>
      <c r="F125" s="19"/>
      <c r="G125" s="141"/>
      <c r="H125" s="148">
        <v>154500</v>
      </c>
    </row>
    <row r="126" spans="1:10" ht="15" customHeight="1">
      <c r="A126" s="3">
        <v>40353</v>
      </c>
      <c r="B126" s="129">
        <v>126618</v>
      </c>
      <c r="C126" s="140">
        <v>19250</v>
      </c>
      <c r="D126" s="138">
        <v>19375</v>
      </c>
      <c r="E126" s="19">
        <f t="shared" si="5"/>
        <v>-180</v>
      </c>
      <c r="F126" s="19"/>
      <c r="G126" s="141"/>
      <c r="H126" s="148">
        <v>155000</v>
      </c>
    </row>
    <row r="127" spans="1:10" ht="15" customHeight="1">
      <c r="A127" s="3">
        <v>40354</v>
      </c>
      <c r="B127" s="129">
        <v>126618</v>
      </c>
      <c r="C127" s="140">
        <v>19500</v>
      </c>
      <c r="D127" s="138">
        <v>19500</v>
      </c>
      <c r="E127" s="19">
        <f t="shared" si="5"/>
        <v>250</v>
      </c>
      <c r="F127" s="19"/>
      <c r="G127" s="139"/>
      <c r="H127" s="148">
        <v>155000</v>
      </c>
    </row>
    <row r="128" spans="1:10" ht="15" customHeight="1">
      <c r="A128" s="3">
        <v>40357</v>
      </c>
      <c r="B128" s="129">
        <v>125508</v>
      </c>
      <c r="C128" s="140">
        <v>20210</v>
      </c>
      <c r="D128" s="138">
        <v>20400</v>
      </c>
      <c r="E128" s="19">
        <f t="shared" si="5"/>
        <v>710</v>
      </c>
      <c r="F128" s="19"/>
      <c r="G128" s="139"/>
      <c r="H128" s="148">
        <v>156000</v>
      </c>
    </row>
    <row r="129" spans="1:10" ht="15" customHeight="1">
      <c r="A129" s="3">
        <v>40358</v>
      </c>
      <c r="B129" s="129">
        <v>124362</v>
      </c>
      <c r="C129" s="140">
        <v>19935</v>
      </c>
      <c r="D129" s="138">
        <v>20000</v>
      </c>
      <c r="E129" s="19">
        <f t="shared" si="5"/>
        <v>-275</v>
      </c>
      <c r="F129" s="19"/>
      <c r="G129" s="139"/>
      <c r="H129" s="148">
        <v>157000</v>
      </c>
    </row>
    <row r="130" spans="1:10" ht="15" customHeight="1" thickBot="1">
      <c r="A130" s="12">
        <v>40359</v>
      </c>
      <c r="B130" s="142">
        <v>124026</v>
      </c>
      <c r="C130" s="143">
        <v>19430</v>
      </c>
      <c r="D130" s="144">
        <v>19375</v>
      </c>
      <c r="E130" s="20">
        <f t="shared" ref="E130:E135" si="6">+C130-C129</f>
        <v>-505</v>
      </c>
      <c r="F130" s="164">
        <f>AVERAGE(C109:C130)</f>
        <v>19388.636363636364</v>
      </c>
      <c r="G130" s="208">
        <v>21059.188000000002</v>
      </c>
      <c r="H130" s="149">
        <v>153000</v>
      </c>
    </row>
    <row r="131" spans="1:10" ht="15" customHeight="1">
      <c r="A131" s="3">
        <v>40360</v>
      </c>
      <c r="B131" s="132">
        <v>123768</v>
      </c>
      <c r="C131" s="137">
        <v>19150</v>
      </c>
      <c r="D131" s="136">
        <v>19275</v>
      </c>
      <c r="E131" s="19">
        <f t="shared" si="6"/>
        <v>-280</v>
      </c>
      <c r="F131" s="19"/>
      <c r="H131" s="135">
        <v>153250</v>
      </c>
    </row>
    <row r="132" spans="1:10" ht="15" customHeight="1">
      <c r="A132" s="3">
        <v>40361</v>
      </c>
      <c r="B132" s="132">
        <v>123420</v>
      </c>
      <c r="C132" s="137">
        <v>19115</v>
      </c>
      <c r="D132" s="136">
        <v>19200</v>
      </c>
      <c r="E132" s="19">
        <f t="shared" si="6"/>
        <v>-35</v>
      </c>
      <c r="F132" s="19"/>
      <c r="H132" s="135">
        <v>152000</v>
      </c>
    </row>
    <row r="133" spans="1:10" ht="15" customHeight="1">
      <c r="A133" s="3">
        <v>40364</v>
      </c>
      <c r="B133" s="132">
        <v>122514</v>
      </c>
      <c r="C133" s="137">
        <v>18775</v>
      </c>
      <c r="D133" s="136">
        <v>18750</v>
      </c>
      <c r="E133" s="19">
        <f t="shared" si="6"/>
        <v>-340</v>
      </c>
      <c r="F133" s="19"/>
      <c r="H133" s="135">
        <v>151750</v>
      </c>
    </row>
    <row r="134" spans="1:10" ht="15" customHeight="1">
      <c r="A134" s="3">
        <v>40365</v>
      </c>
      <c r="B134" s="132">
        <v>122172</v>
      </c>
      <c r="C134" s="137">
        <v>18855</v>
      </c>
      <c r="D134" s="136">
        <v>18955</v>
      </c>
      <c r="E134" s="19">
        <f t="shared" si="6"/>
        <v>80</v>
      </c>
      <c r="F134" s="19"/>
      <c r="H134" s="135">
        <v>151750</v>
      </c>
    </row>
    <row r="135" spans="1:10" ht="15" customHeight="1">
      <c r="A135" s="3">
        <v>40366</v>
      </c>
      <c r="B135" s="132">
        <v>121716</v>
      </c>
      <c r="C135" s="137">
        <v>18990</v>
      </c>
      <c r="D135" s="136">
        <v>19025</v>
      </c>
      <c r="E135" s="19">
        <f t="shared" si="6"/>
        <v>135</v>
      </c>
      <c r="F135" s="19"/>
      <c r="H135" s="135">
        <v>152750</v>
      </c>
    </row>
    <row r="136" spans="1:10" ht="15" customHeight="1">
      <c r="A136" s="3">
        <v>40367</v>
      </c>
      <c r="B136" s="132">
        <v>121326</v>
      </c>
      <c r="C136" s="137">
        <v>19325</v>
      </c>
      <c r="D136" s="136">
        <v>19325</v>
      </c>
      <c r="E136" s="19">
        <f t="shared" ref="E136:E141" si="7">+C136-C135</f>
        <v>335</v>
      </c>
      <c r="F136" s="19"/>
      <c r="H136" s="135">
        <v>154000</v>
      </c>
    </row>
    <row r="137" spans="1:10" ht="15" customHeight="1">
      <c r="A137" s="3">
        <v>40368</v>
      </c>
      <c r="B137" s="132">
        <v>120660</v>
      </c>
      <c r="C137" s="137">
        <v>19130</v>
      </c>
      <c r="D137" s="136">
        <v>19190</v>
      </c>
      <c r="E137" s="19">
        <f t="shared" si="7"/>
        <v>-195</v>
      </c>
      <c r="F137" s="19"/>
      <c r="H137" s="135">
        <v>154500</v>
      </c>
    </row>
    <row r="138" spans="1:10" ht="15" customHeight="1">
      <c r="A138" s="3">
        <v>40371</v>
      </c>
      <c r="B138" s="132">
        <v>120240</v>
      </c>
      <c r="C138" s="137">
        <v>19210</v>
      </c>
      <c r="D138" s="136">
        <v>19260</v>
      </c>
      <c r="E138" s="19">
        <f t="shared" si="7"/>
        <v>80</v>
      </c>
      <c r="F138" s="19"/>
      <c r="H138" s="135">
        <v>155000</v>
      </c>
    </row>
    <row r="139" spans="1:10" ht="15" customHeight="1">
      <c r="A139" s="3">
        <v>40372</v>
      </c>
      <c r="B139" s="132">
        <v>119964</v>
      </c>
      <c r="C139" s="137">
        <v>19300</v>
      </c>
      <c r="D139" s="136">
        <v>19350</v>
      </c>
      <c r="E139" s="19">
        <f t="shared" si="7"/>
        <v>90</v>
      </c>
      <c r="F139" s="19"/>
      <c r="H139" s="135">
        <v>153500</v>
      </c>
    </row>
    <row r="140" spans="1:10" ht="15" customHeight="1">
      <c r="A140" s="3">
        <v>40373</v>
      </c>
      <c r="B140" s="132">
        <v>119796</v>
      </c>
      <c r="C140" s="137">
        <v>19515</v>
      </c>
      <c r="D140" s="136">
        <v>19550</v>
      </c>
      <c r="E140" s="19">
        <f t="shared" si="7"/>
        <v>215</v>
      </c>
      <c r="F140" s="19"/>
      <c r="H140" s="135">
        <v>154500</v>
      </c>
    </row>
    <row r="141" spans="1:10" ht="15" customHeight="1">
      <c r="A141" s="3">
        <v>40374</v>
      </c>
      <c r="B141" s="132">
        <v>119562</v>
      </c>
      <c r="C141" s="137">
        <v>19315</v>
      </c>
      <c r="D141" s="136">
        <v>19400</v>
      </c>
      <c r="E141" s="19">
        <f t="shared" si="7"/>
        <v>-200</v>
      </c>
      <c r="F141" s="19"/>
      <c r="H141" s="135">
        <v>154000</v>
      </c>
    </row>
    <row r="142" spans="1:10" ht="15" customHeight="1">
      <c r="A142" s="3">
        <v>40375</v>
      </c>
      <c r="B142" s="132">
        <v>119070</v>
      </c>
      <c r="C142" s="137">
        <v>19220</v>
      </c>
      <c r="D142" s="136">
        <v>19270</v>
      </c>
      <c r="E142" s="19">
        <f t="shared" ref="E142:E148" si="8">+C142-C141</f>
        <v>-95</v>
      </c>
      <c r="F142" s="19"/>
      <c r="G142" s="145"/>
      <c r="H142" s="135">
        <v>154500</v>
      </c>
    </row>
    <row r="143" spans="1:10" ht="15" customHeight="1">
      <c r="A143" s="3">
        <v>40378</v>
      </c>
      <c r="B143" s="132">
        <v>118536</v>
      </c>
      <c r="C143" s="137">
        <v>18735</v>
      </c>
      <c r="D143" s="136">
        <v>18850</v>
      </c>
      <c r="E143" s="19">
        <f t="shared" si="8"/>
        <v>-485</v>
      </c>
      <c r="F143" s="19"/>
      <c r="H143" s="135">
        <v>153500</v>
      </c>
      <c r="J143" s="134"/>
    </row>
    <row r="144" spans="1:10" ht="15" customHeight="1">
      <c r="A144" s="3">
        <v>40379</v>
      </c>
      <c r="B144" s="132">
        <v>118206</v>
      </c>
      <c r="C144" s="137">
        <v>18810</v>
      </c>
      <c r="D144" s="136">
        <v>18865</v>
      </c>
      <c r="E144" s="19">
        <f t="shared" si="8"/>
        <v>75</v>
      </c>
      <c r="F144" s="19"/>
      <c r="H144" s="135">
        <v>153750</v>
      </c>
    </row>
    <row r="145" spans="1:10" ht="15" customHeight="1">
      <c r="A145" s="3">
        <v>40380</v>
      </c>
      <c r="B145" s="132">
        <v>117762</v>
      </c>
      <c r="C145" s="137">
        <v>19215</v>
      </c>
      <c r="D145" s="136">
        <v>19325</v>
      </c>
      <c r="E145" s="19">
        <f t="shared" si="8"/>
        <v>405</v>
      </c>
      <c r="F145" s="19"/>
      <c r="H145" s="135">
        <v>155000</v>
      </c>
    </row>
    <row r="146" spans="1:10" ht="15" customHeight="1">
      <c r="A146" s="3">
        <v>40381</v>
      </c>
      <c r="B146" s="132">
        <v>117210</v>
      </c>
      <c r="C146" s="137">
        <v>19825</v>
      </c>
      <c r="D146" s="136">
        <v>19875</v>
      </c>
      <c r="E146" s="19">
        <f t="shared" si="8"/>
        <v>610</v>
      </c>
      <c r="F146" s="19"/>
      <c r="H146" s="135">
        <v>156000</v>
      </c>
    </row>
    <row r="147" spans="1:10" ht="15" customHeight="1">
      <c r="A147" s="3">
        <v>40382</v>
      </c>
      <c r="B147" s="132">
        <v>116814</v>
      </c>
      <c r="C147" s="137">
        <v>20380</v>
      </c>
      <c r="D147" s="136">
        <v>20500</v>
      </c>
      <c r="E147" s="19">
        <f t="shared" si="8"/>
        <v>555</v>
      </c>
      <c r="F147" s="19"/>
      <c r="H147" s="135">
        <v>158500</v>
      </c>
    </row>
    <row r="148" spans="1:10" ht="15" customHeight="1">
      <c r="A148" s="3">
        <v>40385</v>
      </c>
      <c r="B148" s="132">
        <v>116262</v>
      </c>
      <c r="C148" s="137">
        <v>20415</v>
      </c>
      <c r="D148" s="136">
        <v>20515</v>
      </c>
      <c r="E148" s="19">
        <f t="shared" si="8"/>
        <v>35</v>
      </c>
      <c r="F148" s="19"/>
      <c r="H148" s="135">
        <v>160500</v>
      </c>
    </row>
    <row r="149" spans="1:10" ht="15" customHeight="1">
      <c r="A149" s="3">
        <v>40386</v>
      </c>
      <c r="B149" s="132">
        <v>115960</v>
      </c>
      <c r="C149" s="137">
        <v>20725</v>
      </c>
      <c r="D149" s="136">
        <v>20800</v>
      </c>
      <c r="E149" s="19">
        <f t="shared" ref="E149:E154" si="9">+C149-C148</f>
        <v>310</v>
      </c>
      <c r="F149" s="19"/>
      <c r="H149" s="135">
        <v>160750</v>
      </c>
      <c r="J149" s="134"/>
    </row>
    <row r="150" spans="1:10" ht="15" customHeight="1">
      <c r="A150" s="3">
        <v>40387</v>
      </c>
      <c r="B150" s="132">
        <v>116334</v>
      </c>
      <c r="C150" s="137">
        <v>20435</v>
      </c>
      <c r="D150" s="136">
        <v>20475</v>
      </c>
      <c r="E150" s="19">
        <f t="shared" si="9"/>
        <v>-290</v>
      </c>
      <c r="F150" s="19"/>
      <c r="H150" s="135">
        <v>160500</v>
      </c>
    </row>
    <row r="151" spans="1:10" ht="15" customHeight="1">
      <c r="A151" s="3">
        <v>40388</v>
      </c>
      <c r="B151" s="132">
        <v>116778</v>
      </c>
      <c r="C151" s="137">
        <v>20385</v>
      </c>
      <c r="D151" s="136">
        <v>20550</v>
      </c>
      <c r="E151" s="19">
        <f t="shared" si="9"/>
        <v>-50</v>
      </c>
      <c r="F151" s="19"/>
      <c r="H151" s="135">
        <v>160000</v>
      </c>
    </row>
    <row r="152" spans="1:10" ht="15" customHeight="1" thickBot="1">
      <c r="A152" s="12">
        <v>40389</v>
      </c>
      <c r="B152" s="142">
        <v>117498</v>
      </c>
      <c r="C152" s="143">
        <v>20560</v>
      </c>
      <c r="D152" s="144">
        <v>20640</v>
      </c>
      <c r="E152" s="20">
        <f t="shared" si="9"/>
        <v>175</v>
      </c>
      <c r="F152" s="164">
        <f>AVERAGE(C131:C152)</f>
        <v>19517.5</v>
      </c>
      <c r="G152" s="165">
        <v>21084.959999999999</v>
      </c>
      <c r="H152" s="151">
        <v>160000</v>
      </c>
    </row>
    <row r="153" spans="1:10" ht="15" customHeight="1">
      <c r="A153" s="36">
        <v>40392</v>
      </c>
      <c r="B153" s="152">
        <v>118380</v>
      </c>
      <c r="C153" s="153">
        <v>21420</v>
      </c>
      <c r="D153" s="154">
        <v>21550</v>
      </c>
      <c r="E153" s="21">
        <f t="shared" si="9"/>
        <v>860</v>
      </c>
      <c r="F153" s="155"/>
      <c r="G153" s="155"/>
      <c r="H153" s="156">
        <v>162500</v>
      </c>
    </row>
    <row r="154" spans="1:10" ht="15" customHeight="1">
      <c r="A154" s="3">
        <v>40393</v>
      </c>
      <c r="B154" s="129">
        <v>118158</v>
      </c>
      <c r="C154" s="140">
        <v>21505</v>
      </c>
      <c r="D154" s="138">
        <v>21675</v>
      </c>
      <c r="E154" s="19">
        <f t="shared" si="9"/>
        <v>85</v>
      </c>
      <c r="F154" s="161"/>
      <c r="G154" s="161"/>
      <c r="H154" s="162">
        <v>164750</v>
      </c>
    </row>
    <row r="155" spans="1:10" ht="15" customHeight="1">
      <c r="A155" s="3">
        <v>40394</v>
      </c>
      <c r="B155" s="132">
        <v>117870</v>
      </c>
      <c r="C155" s="137">
        <v>21520</v>
      </c>
      <c r="D155" s="136">
        <v>21600</v>
      </c>
      <c r="E155" s="19">
        <f t="shared" ref="E155:E161" si="10">+C155-C154</f>
        <v>15</v>
      </c>
      <c r="F155" s="161"/>
      <c r="H155" s="135">
        <v>164750</v>
      </c>
    </row>
    <row r="156" spans="1:10" ht="15" customHeight="1">
      <c r="A156" s="3">
        <v>40395</v>
      </c>
      <c r="B156" s="132">
        <v>117780</v>
      </c>
      <c r="C156" s="137">
        <v>21985</v>
      </c>
      <c r="D156" s="136">
        <v>22055</v>
      </c>
      <c r="E156" s="19">
        <f t="shared" si="10"/>
        <v>465</v>
      </c>
      <c r="F156" s="161"/>
      <c r="H156" s="135">
        <v>165250</v>
      </c>
    </row>
    <row r="157" spans="1:10" ht="15" customHeight="1">
      <c r="A157" s="3">
        <v>40396</v>
      </c>
      <c r="B157" s="132">
        <v>117336</v>
      </c>
      <c r="C157" s="137">
        <v>22085</v>
      </c>
      <c r="D157" s="136">
        <v>22165</v>
      </c>
      <c r="E157" s="19">
        <f t="shared" si="10"/>
        <v>100</v>
      </c>
      <c r="F157" s="161"/>
      <c r="H157" s="135">
        <v>165000</v>
      </c>
    </row>
    <row r="158" spans="1:10" ht="15" customHeight="1">
      <c r="A158" s="3">
        <v>40399</v>
      </c>
      <c r="B158" s="132">
        <v>116274</v>
      </c>
      <c r="C158" s="137">
        <v>22565</v>
      </c>
      <c r="D158" s="136">
        <v>22605</v>
      </c>
      <c r="E158" s="19">
        <f t="shared" si="10"/>
        <v>480</v>
      </c>
      <c r="F158" s="161"/>
      <c r="H158" s="135">
        <v>167500</v>
      </c>
    </row>
    <row r="159" spans="1:10" ht="15" customHeight="1">
      <c r="A159" s="3">
        <v>40400</v>
      </c>
      <c r="B159" s="132">
        <v>116034</v>
      </c>
      <c r="C159" s="137">
        <v>22055</v>
      </c>
      <c r="D159" s="136">
        <v>22200</v>
      </c>
      <c r="E159" s="19">
        <f t="shared" si="10"/>
        <v>-510</v>
      </c>
      <c r="F159" s="161"/>
      <c r="H159" s="135">
        <v>170500</v>
      </c>
    </row>
    <row r="160" spans="1:10" ht="15" customHeight="1">
      <c r="A160" s="3">
        <v>40401</v>
      </c>
      <c r="B160" s="132">
        <v>116298</v>
      </c>
      <c r="C160" s="137">
        <v>21775</v>
      </c>
      <c r="D160" s="136">
        <v>21850</v>
      </c>
      <c r="E160" s="19">
        <f t="shared" si="10"/>
        <v>-280</v>
      </c>
      <c r="F160" s="161"/>
      <c r="H160" s="135">
        <v>168500</v>
      </c>
    </row>
    <row r="161" spans="1:8" ht="15" customHeight="1">
      <c r="A161" s="3">
        <v>40402</v>
      </c>
      <c r="B161" s="132">
        <v>116694</v>
      </c>
      <c r="C161" s="137">
        <v>21030</v>
      </c>
      <c r="D161" s="136">
        <v>21110</v>
      </c>
      <c r="E161" s="19">
        <f t="shared" si="10"/>
        <v>-745</v>
      </c>
      <c r="F161" s="161"/>
      <c r="H161" s="135">
        <v>165250</v>
      </c>
    </row>
    <row r="162" spans="1:8" ht="15" customHeight="1">
      <c r="A162" s="3">
        <v>40403</v>
      </c>
      <c r="B162" s="132">
        <v>117000</v>
      </c>
      <c r="C162" s="137">
        <v>21475</v>
      </c>
      <c r="D162" s="136">
        <v>21525</v>
      </c>
      <c r="E162" s="19">
        <f t="shared" ref="E162:E167" si="11">+C162-C161</f>
        <v>445</v>
      </c>
      <c r="F162" s="161"/>
      <c r="H162" s="135">
        <v>165000</v>
      </c>
    </row>
    <row r="163" spans="1:8" ht="15" customHeight="1">
      <c r="A163" s="3">
        <v>40406</v>
      </c>
      <c r="B163" s="132">
        <v>117012</v>
      </c>
      <c r="C163" s="137">
        <v>21400</v>
      </c>
      <c r="D163" s="136">
        <v>21525</v>
      </c>
      <c r="E163" s="19">
        <f t="shared" si="11"/>
        <v>-75</v>
      </c>
      <c r="F163" s="161"/>
      <c r="H163" s="135">
        <v>165000</v>
      </c>
    </row>
    <row r="164" spans="1:8" ht="15" customHeight="1">
      <c r="A164" s="3">
        <v>40407</v>
      </c>
      <c r="B164" s="132">
        <v>116592</v>
      </c>
      <c r="C164" s="137">
        <v>21850</v>
      </c>
      <c r="D164" s="136">
        <v>22025</v>
      </c>
      <c r="E164" s="19">
        <f t="shared" si="11"/>
        <v>450</v>
      </c>
      <c r="F164" s="161"/>
      <c r="H164" s="135">
        <v>166500</v>
      </c>
    </row>
    <row r="165" spans="1:8" ht="15" customHeight="1">
      <c r="A165" s="3">
        <v>40408</v>
      </c>
      <c r="B165" s="132">
        <v>115968</v>
      </c>
      <c r="C165" s="137">
        <v>21875</v>
      </c>
      <c r="D165" s="136">
        <v>21975</v>
      </c>
      <c r="E165" s="19">
        <f t="shared" si="11"/>
        <v>25</v>
      </c>
      <c r="F165" s="161"/>
      <c r="H165" s="135">
        <v>169500</v>
      </c>
    </row>
    <row r="166" spans="1:8" ht="15" customHeight="1">
      <c r="A166" s="3">
        <v>40409</v>
      </c>
      <c r="B166" s="132">
        <v>115668</v>
      </c>
      <c r="C166" s="137">
        <v>22200</v>
      </c>
      <c r="D166" s="136">
        <v>22275</v>
      </c>
      <c r="E166" s="19">
        <f t="shared" si="11"/>
        <v>325</v>
      </c>
      <c r="F166" s="161"/>
      <c r="H166" s="135">
        <v>169000</v>
      </c>
    </row>
    <row r="167" spans="1:8" ht="15" customHeight="1">
      <c r="A167" s="3">
        <v>40410</v>
      </c>
      <c r="B167" s="132">
        <v>116388</v>
      </c>
      <c r="C167" s="137">
        <v>21325</v>
      </c>
      <c r="D167" s="136">
        <v>21400</v>
      </c>
      <c r="E167" s="19">
        <f t="shared" si="11"/>
        <v>-875</v>
      </c>
      <c r="F167" s="161"/>
      <c r="H167" s="135">
        <v>168000</v>
      </c>
    </row>
    <row r="168" spans="1:8" ht="15" customHeight="1">
      <c r="A168" s="3">
        <v>40413</v>
      </c>
      <c r="B168" s="132">
        <v>116388</v>
      </c>
      <c r="C168" s="137">
        <v>21220</v>
      </c>
      <c r="D168" s="136">
        <v>21325</v>
      </c>
      <c r="E168" s="19">
        <f>+C168-C167</f>
        <v>-105</v>
      </c>
      <c r="F168" s="161"/>
      <c r="H168" s="135">
        <v>167500</v>
      </c>
    </row>
    <row r="169" spans="1:8" ht="15" customHeight="1">
      <c r="A169" s="3">
        <v>40414</v>
      </c>
      <c r="B169" s="132">
        <v>117510</v>
      </c>
      <c r="C169" s="137">
        <v>20710</v>
      </c>
      <c r="D169" s="136">
        <v>20755</v>
      </c>
      <c r="E169" s="19">
        <f>+C169-C168</f>
        <v>-510</v>
      </c>
      <c r="F169" s="161"/>
      <c r="H169" s="135">
        <v>166500</v>
      </c>
    </row>
    <row r="170" spans="1:8" ht="15" customHeight="1">
      <c r="A170" s="3">
        <v>40415</v>
      </c>
      <c r="B170" s="132">
        <v>118302</v>
      </c>
      <c r="C170" s="137">
        <v>20145</v>
      </c>
      <c r="D170" s="136">
        <v>20130</v>
      </c>
      <c r="E170" s="19">
        <f>+C170-C169</f>
        <v>-565</v>
      </c>
      <c r="F170" s="161"/>
      <c r="H170" s="135">
        <v>165000</v>
      </c>
    </row>
    <row r="171" spans="1:8" ht="15" customHeight="1">
      <c r="A171" s="3">
        <v>40416</v>
      </c>
      <c r="B171" s="132">
        <v>118956</v>
      </c>
      <c r="C171" s="137">
        <v>20275</v>
      </c>
      <c r="D171" s="136">
        <v>20305</v>
      </c>
      <c r="E171" s="19">
        <f>+C171-C170</f>
        <v>130</v>
      </c>
      <c r="F171" s="161"/>
      <c r="H171" s="135">
        <v>164500</v>
      </c>
    </row>
    <row r="172" spans="1:8" ht="15" customHeight="1">
      <c r="A172" s="3">
        <v>40417</v>
      </c>
      <c r="B172" s="132">
        <v>118860</v>
      </c>
      <c r="C172" s="137">
        <v>20555</v>
      </c>
      <c r="D172" s="136">
        <v>20605</v>
      </c>
      <c r="E172" s="19">
        <f>+C172-C171</f>
        <v>280</v>
      </c>
      <c r="F172" s="161"/>
      <c r="H172" s="135">
        <v>164750</v>
      </c>
    </row>
    <row r="173" spans="1:8" ht="15" customHeight="1">
      <c r="A173" s="3">
        <v>40420</v>
      </c>
      <c r="B173" s="1022" t="s">
        <v>71</v>
      </c>
      <c r="C173" s="1022"/>
      <c r="D173" s="1022"/>
      <c r="E173" s="1022"/>
      <c r="F173" s="161"/>
      <c r="H173" s="135">
        <v>167500</v>
      </c>
    </row>
    <row r="174" spans="1:8" ht="15" customHeight="1" thickBot="1">
      <c r="A174" s="12">
        <v>40421</v>
      </c>
      <c r="B174" s="142">
        <v>118662</v>
      </c>
      <c r="C174" s="143">
        <v>20710</v>
      </c>
      <c r="D174" s="144">
        <v>20795</v>
      </c>
      <c r="E174" s="20">
        <f t="shared" ref="E174:E179" si="12">+C174-C173</f>
        <v>20710</v>
      </c>
      <c r="F174" s="166">
        <f>AVERAGE(C153:C174)</f>
        <v>21413.333333333332</v>
      </c>
      <c r="G174" s="165">
        <v>21029.365795454549</v>
      </c>
      <c r="H174" s="151">
        <v>167000</v>
      </c>
    </row>
    <row r="175" spans="1:8" ht="15" customHeight="1">
      <c r="A175" s="36">
        <v>40422</v>
      </c>
      <c r="B175" s="152">
        <v>120090</v>
      </c>
      <c r="C175" s="153">
        <v>21045</v>
      </c>
      <c r="D175" s="154">
        <v>21110</v>
      </c>
      <c r="E175" s="21">
        <f t="shared" si="12"/>
        <v>335</v>
      </c>
      <c r="F175" s="155"/>
      <c r="G175" s="155"/>
      <c r="H175" s="168">
        <v>167000</v>
      </c>
    </row>
    <row r="176" spans="1:8" ht="15" customHeight="1">
      <c r="A176" s="3">
        <v>40423</v>
      </c>
      <c r="B176" s="129">
        <v>120510</v>
      </c>
      <c r="C176" s="140">
        <v>21455</v>
      </c>
      <c r="D176" s="138">
        <v>21480</v>
      </c>
      <c r="E176" s="19">
        <f t="shared" si="12"/>
        <v>410</v>
      </c>
      <c r="F176" s="161"/>
      <c r="G176" s="161"/>
      <c r="H176" s="169">
        <v>168500</v>
      </c>
    </row>
    <row r="177" spans="1:8" ht="15" customHeight="1">
      <c r="A177" s="3">
        <v>40424</v>
      </c>
      <c r="B177" s="129">
        <v>120354</v>
      </c>
      <c r="C177" s="140">
        <v>21875</v>
      </c>
      <c r="D177" s="138">
        <v>21885</v>
      </c>
      <c r="E177" s="19">
        <f t="shared" si="12"/>
        <v>420</v>
      </c>
      <c r="F177" s="161"/>
      <c r="G177" s="161"/>
      <c r="H177" s="169">
        <v>169750</v>
      </c>
    </row>
    <row r="178" spans="1:8" ht="15" customHeight="1">
      <c r="A178" s="3">
        <v>40427</v>
      </c>
      <c r="B178" s="129">
        <v>119886</v>
      </c>
      <c r="C178" s="140">
        <v>21910</v>
      </c>
      <c r="D178" s="138">
        <v>22000</v>
      </c>
      <c r="E178" s="19">
        <f t="shared" si="12"/>
        <v>35</v>
      </c>
      <c r="F178" s="161"/>
      <c r="G178" s="202"/>
      <c r="H178" s="169">
        <v>169750</v>
      </c>
    </row>
    <row r="179" spans="1:8" ht="15" customHeight="1">
      <c r="A179" s="3">
        <v>40428</v>
      </c>
      <c r="B179" s="129">
        <v>119490</v>
      </c>
      <c r="C179" s="140">
        <v>21635</v>
      </c>
      <c r="D179" s="138">
        <v>21700</v>
      </c>
      <c r="E179" s="19">
        <f t="shared" si="12"/>
        <v>-275</v>
      </c>
      <c r="F179" s="161"/>
      <c r="G179" s="161"/>
      <c r="H179" s="169">
        <v>169500</v>
      </c>
    </row>
    <row r="180" spans="1:8" ht="15" customHeight="1">
      <c r="A180" s="3">
        <v>40429</v>
      </c>
      <c r="B180" s="129">
        <v>119280</v>
      </c>
      <c r="C180" s="140">
        <v>22450</v>
      </c>
      <c r="D180" s="138">
        <v>22400</v>
      </c>
      <c r="E180" s="19">
        <f t="shared" ref="E180:E185" si="13">+C180-C179</f>
        <v>815</v>
      </c>
      <c r="F180" s="161"/>
      <c r="G180" s="161"/>
      <c r="H180" s="169">
        <v>169500</v>
      </c>
    </row>
    <row r="181" spans="1:8" ht="15" customHeight="1">
      <c r="A181" s="3">
        <v>40430</v>
      </c>
      <c r="B181" s="129">
        <v>118956</v>
      </c>
      <c r="C181" s="140">
        <v>22580</v>
      </c>
      <c r="D181" s="138">
        <v>22650</v>
      </c>
      <c r="E181" s="19">
        <f t="shared" si="13"/>
        <v>130</v>
      </c>
      <c r="F181" s="161"/>
      <c r="G181" s="161"/>
      <c r="H181" s="169">
        <v>170250</v>
      </c>
    </row>
    <row r="182" spans="1:8" ht="15" customHeight="1">
      <c r="A182" s="3">
        <v>40431</v>
      </c>
      <c r="B182" s="129">
        <v>119160</v>
      </c>
      <c r="C182" s="140">
        <v>22825</v>
      </c>
      <c r="D182" s="138">
        <v>22855</v>
      </c>
      <c r="E182" s="19">
        <f t="shared" si="13"/>
        <v>245</v>
      </c>
      <c r="F182" s="161"/>
      <c r="G182" s="161"/>
      <c r="H182" s="169">
        <v>170250</v>
      </c>
    </row>
    <row r="183" spans="1:8" ht="15" customHeight="1">
      <c r="A183" s="3">
        <v>40434</v>
      </c>
      <c r="B183" s="129">
        <v>118818</v>
      </c>
      <c r="C183" s="140">
        <v>23080</v>
      </c>
      <c r="D183" s="138">
        <v>23075</v>
      </c>
      <c r="E183" s="19">
        <f t="shared" si="13"/>
        <v>255</v>
      </c>
      <c r="F183" s="161"/>
      <c r="G183" s="161"/>
      <c r="H183" s="169">
        <v>170500</v>
      </c>
    </row>
    <row r="184" spans="1:8" ht="15" customHeight="1">
      <c r="A184" s="3">
        <v>40435</v>
      </c>
      <c r="B184" s="129">
        <v>119034</v>
      </c>
      <c r="C184" s="140">
        <v>22840</v>
      </c>
      <c r="D184" s="138">
        <v>22875</v>
      </c>
      <c r="E184" s="19">
        <f t="shared" si="13"/>
        <v>-240</v>
      </c>
      <c r="F184" s="161"/>
      <c r="G184" s="161"/>
      <c r="H184" s="169">
        <v>171750</v>
      </c>
    </row>
    <row r="185" spans="1:8" ht="15" customHeight="1">
      <c r="A185" s="3">
        <v>40436</v>
      </c>
      <c r="B185" s="129">
        <v>119856</v>
      </c>
      <c r="C185" s="140">
        <v>23180</v>
      </c>
      <c r="D185" s="138">
        <v>23175</v>
      </c>
      <c r="E185" s="19">
        <f t="shared" si="13"/>
        <v>340</v>
      </c>
      <c r="F185" s="161"/>
      <c r="G185" s="161"/>
      <c r="H185" s="169">
        <v>171750</v>
      </c>
    </row>
    <row r="186" spans="1:8" ht="15" customHeight="1">
      <c r="A186" s="3">
        <v>40437</v>
      </c>
      <c r="B186" s="129">
        <v>119760</v>
      </c>
      <c r="C186" s="140">
        <v>23255</v>
      </c>
      <c r="D186" s="138">
        <v>23300</v>
      </c>
      <c r="E186" s="19">
        <f t="shared" ref="E186:E192" si="14">+C186-C185</f>
        <v>75</v>
      </c>
      <c r="F186" s="161"/>
      <c r="G186" s="161"/>
      <c r="H186" s="169">
        <v>171750</v>
      </c>
    </row>
    <row r="187" spans="1:8" ht="15" customHeight="1">
      <c r="A187" s="3">
        <v>40438</v>
      </c>
      <c r="B187" s="129">
        <v>119412</v>
      </c>
      <c r="C187" s="140">
        <v>23425</v>
      </c>
      <c r="D187" s="138">
        <v>23425</v>
      </c>
      <c r="E187" s="19">
        <f t="shared" si="14"/>
        <v>170</v>
      </c>
      <c r="F187" s="161"/>
      <c r="G187" s="161"/>
      <c r="H187" s="169">
        <v>171500</v>
      </c>
    </row>
    <row r="188" spans="1:8" ht="15" customHeight="1">
      <c r="A188" s="3">
        <v>40441</v>
      </c>
      <c r="B188" s="129">
        <v>119244</v>
      </c>
      <c r="C188" s="140">
        <v>23650</v>
      </c>
      <c r="D188" s="138">
        <v>23375</v>
      </c>
      <c r="E188" s="19">
        <f t="shared" si="14"/>
        <v>225</v>
      </c>
      <c r="F188" s="161"/>
      <c r="G188" s="161"/>
      <c r="H188" s="169">
        <v>171500</v>
      </c>
    </row>
    <row r="189" spans="1:8" ht="15" customHeight="1">
      <c r="A189" s="3">
        <v>40442</v>
      </c>
      <c r="B189" s="129">
        <v>118878</v>
      </c>
      <c r="C189" s="140">
        <v>23350</v>
      </c>
      <c r="D189" s="138">
        <v>22850</v>
      </c>
      <c r="E189" s="19">
        <f t="shared" si="14"/>
        <v>-300</v>
      </c>
      <c r="F189" s="161"/>
      <c r="G189" s="161"/>
      <c r="H189" s="169">
        <v>171250</v>
      </c>
    </row>
    <row r="190" spans="1:8" ht="15" customHeight="1">
      <c r="A190" s="3">
        <v>40443</v>
      </c>
      <c r="B190" s="129">
        <v>120060</v>
      </c>
      <c r="C190" s="140">
        <v>23175</v>
      </c>
      <c r="D190" s="138">
        <v>22300</v>
      </c>
      <c r="E190" s="19">
        <f t="shared" si="14"/>
        <v>-175</v>
      </c>
      <c r="F190" s="161"/>
      <c r="G190" s="161"/>
      <c r="H190" s="1068" t="s">
        <v>71</v>
      </c>
    </row>
    <row r="191" spans="1:8" ht="15" customHeight="1">
      <c r="A191" s="3">
        <v>40444</v>
      </c>
      <c r="B191" s="129">
        <v>120060</v>
      </c>
      <c r="C191" s="140">
        <v>23645</v>
      </c>
      <c r="D191" s="138">
        <v>22700</v>
      </c>
      <c r="E191" s="19">
        <f t="shared" si="14"/>
        <v>470</v>
      </c>
      <c r="F191" s="161"/>
      <c r="G191" s="161"/>
      <c r="H191" s="1068"/>
    </row>
    <row r="192" spans="1:8" ht="15" customHeight="1">
      <c r="A192" s="3">
        <v>40445</v>
      </c>
      <c r="B192" s="129">
        <v>120594</v>
      </c>
      <c r="C192" s="140">
        <v>22900</v>
      </c>
      <c r="D192" s="138">
        <v>22925</v>
      </c>
      <c r="E192" s="19">
        <f t="shared" si="14"/>
        <v>-745</v>
      </c>
      <c r="F192" s="161"/>
      <c r="G192" s="161"/>
      <c r="H192" s="1068"/>
    </row>
    <row r="193" spans="1:8" ht="15" customHeight="1">
      <c r="A193" s="3">
        <v>40448</v>
      </c>
      <c r="B193" s="129">
        <v>121032</v>
      </c>
      <c r="C193" s="140">
        <v>23175</v>
      </c>
      <c r="D193" s="138">
        <v>23155</v>
      </c>
      <c r="E193" s="19">
        <f t="shared" ref="E193:E198" si="15">+C193-C192</f>
        <v>275</v>
      </c>
      <c r="F193" s="161"/>
      <c r="G193" s="161"/>
      <c r="H193" s="169">
        <v>171500</v>
      </c>
    </row>
    <row r="194" spans="1:8" ht="15" customHeight="1">
      <c r="A194" s="3">
        <v>40449</v>
      </c>
      <c r="B194" s="129">
        <v>122208</v>
      </c>
      <c r="C194" s="140">
        <v>22810</v>
      </c>
      <c r="D194" s="138">
        <v>22895</v>
      </c>
      <c r="E194" s="19">
        <f t="shared" si="15"/>
        <v>-365</v>
      </c>
      <c r="F194" s="161"/>
      <c r="G194" s="161"/>
      <c r="H194" s="169">
        <v>171750</v>
      </c>
    </row>
    <row r="195" spans="1:8" ht="15" customHeight="1">
      <c r="A195" s="3">
        <v>40450</v>
      </c>
      <c r="B195" s="129">
        <v>122658</v>
      </c>
      <c r="C195" s="140">
        <v>23200</v>
      </c>
      <c r="D195" s="138">
        <v>23175</v>
      </c>
      <c r="E195" s="19">
        <f t="shared" si="15"/>
        <v>390</v>
      </c>
      <c r="F195" s="161"/>
      <c r="G195" s="161"/>
      <c r="H195" s="169">
        <v>172500</v>
      </c>
    </row>
    <row r="196" spans="1:8" ht="15" customHeight="1" thickBot="1">
      <c r="A196" s="12">
        <v>40451</v>
      </c>
      <c r="B196" s="142">
        <v>122556</v>
      </c>
      <c r="C196" s="143">
        <v>23390</v>
      </c>
      <c r="D196" s="144">
        <v>23325</v>
      </c>
      <c r="E196" s="20">
        <f t="shared" si="15"/>
        <v>190</v>
      </c>
      <c r="F196" s="166">
        <f>AVERAGE(C175:C196)</f>
        <v>22765.909090909092</v>
      </c>
      <c r="G196" s="165">
        <v>21208.704040404045</v>
      </c>
      <c r="H196" s="170">
        <v>172500</v>
      </c>
    </row>
    <row r="197" spans="1:8" ht="15" customHeight="1">
      <c r="A197" s="36">
        <v>40452</v>
      </c>
      <c r="B197" s="152">
        <v>123594</v>
      </c>
      <c r="C197" s="153">
        <v>23775</v>
      </c>
      <c r="D197" s="154">
        <v>23825</v>
      </c>
      <c r="E197" s="21">
        <f t="shared" si="15"/>
        <v>385</v>
      </c>
      <c r="F197" s="155"/>
      <c r="G197" s="155"/>
      <c r="H197" s="1067" t="s">
        <v>72</v>
      </c>
    </row>
    <row r="198" spans="1:8" ht="15" customHeight="1">
      <c r="A198" s="3">
        <v>40455</v>
      </c>
      <c r="B198" s="129">
        <v>123540</v>
      </c>
      <c r="C198" s="140">
        <v>23835</v>
      </c>
      <c r="D198" s="138">
        <v>23895</v>
      </c>
      <c r="E198" s="19">
        <f t="shared" si="15"/>
        <v>60</v>
      </c>
      <c r="F198" s="161"/>
      <c r="G198" s="161"/>
      <c r="H198" s="1068"/>
    </row>
    <row r="199" spans="1:8" ht="15" customHeight="1">
      <c r="A199" s="3">
        <v>40456</v>
      </c>
      <c r="B199" s="129">
        <v>123270</v>
      </c>
      <c r="C199" s="140">
        <v>24260</v>
      </c>
      <c r="D199" s="138">
        <v>24285</v>
      </c>
      <c r="E199" s="19">
        <f t="shared" ref="E199:E204" si="16">+C199-C198</f>
        <v>425</v>
      </c>
      <c r="F199" s="161"/>
      <c r="G199" s="161"/>
      <c r="H199" s="1068"/>
    </row>
    <row r="200" spans="1:8" ht="15" customHeight="1">
      <c r="A200" s="3">
        <v>40457</v>
      </c>
      <c r="B200" s="129">
        <v>123132</v>
      </c>
      <c r="C200" s="140">
        <v>21875</v>
      </c>
      <c r="D200" s="138">
        <v>24880</v>
      </c>
      <c r="E200" s="19">
        <f t="shared" si="16"/>
        <v>-2385</v>
      </c>
      <c r="F200" s="161"/>
      <c r="G200" s="161"/>
      <c r="H200" s="1068"/>
    </row>
    <row r="201" spans="1:8" ht="15" customHeight="1">
      <c r="A201" s="3">
        <v>40458</v>
      </c>
      <c r="B201" s="129">
        <v>122994</v>
      </c>
      <c r="C201" s="140">
        <v>24730</v>
      </c>
      <c r="D201" s="138">
        <v>24730</v>
      </c>
      <c r="E201" s="19">
        <f t="shared" si="16"/>
        <v>2855</v>
      </c>
      <c r="F201" s="161"/>
      <c r="G201" s="161"/>
      <c r="H201" s="1068"/>
    </row>
    <row r="202" spans="1:8" ht="15" customHeight="1">
      <c r="A202" s="3">
        <v>40459</v>
      </c>
      <c r="B202" s="129">
        <v>123222</v>
      </c>
      <c r="C202" s="140">
        <v>23705</v>
      </c>
      <c r="D202" s="138">
        <v>23755</v>
      </c>
      <c r="E202" s="19">
        <f t="shared" si="16"/>
        <v>-1025</v>
      </c>
      <c r="F202" s="161"/>
      <c r="G202" s="161"/>
      <c r="H202" s="169">
        <v>178500</v>
      </c>
    </row>
    <row r="203" spans="1:8" ht="15" customHeight="1">
      <c r="A203" s="3">
        <v>40462</v>
      </c>
      <c r="B203" s="129">
        <v>123474</v>
      </c>
      <c r="C203" s="140">
        <v>24470</v>
      </c>
      <c r="D203" s="138">
        <v>24505</v>
      </c>
      <c r="E203" s="19">
        <f t="shared" si="16"/>
        <v>765</v>
      </c>
      <c r="F203" s="161"/>
      <c r="G203" s="161"/>
      <c r="H203" s="169">
        <v>181500</v>
      </c>
    </row>
    <row r="204" spans="1:8" ht="15" customHeight="1">
      <c r="A204" s="3">
        <v>40463</v>
      </c>
      <c r="B204" s="129">
        <v>123714</v>
      </c>
      <c r="C204" s="140">
        <v>24150</v>
      </c>
      <c r="D204" s="138">
        <v>24105</v>
      </c>
      <c r="E204" s="19">
        <f t="shared" si="16"/>
        <v>-320</v>
      </c>
      <c r="F204" s="161"/>
      <c r="G204" s="161"/>
      <c r="H204" s="169">
        <v>181000</v>
      </c>
    </row>
    <row r="205" spans="1:8" ht="15" customHeight="1">
      <c r="A205" s="3">
        <v>40464</v>
      </c>
      <c r="B205" s="129">
        <v>124140</v>
      </c>
      <c r="C205" s="140">
        <v>24110</v>
      </c>
      <c r="D205" s="138">
        <v>24210</v>
      </c>
      <c r="E205" s="19">
        <f t="shared" ref="E205:E210" si="17">+C205-C204</f>
        <v>-40</v>
      </c>
      <c r="F205" s="161"/>
      <c r="G205" s="161"/>
      <c r="H205" s="169">
        <v>180500</v>
      </c>
    </row>
    <row r="206" spans="1:8" ht="15" customHeight="1">
      <c r="A206" s="3">
        <v>40465</v>
      </c>
      <c r="B206" s="129">
        <v>124176</v>
      </c>
      <c r="C206" s="140">
        <v>24335</v>
      </c>
      <c r="D206" s="138">
        <v>24500</v>
      </c>
      <c r="E206" s="19">
        <f t="shared" si="17"/>
        <v>225</v>
      </c>
      <c r="F206" s="161"/>
      <c r="G206" s="161"/>
      <c r="H206" s="169">
        <v>181000</v>
      </c>
    </row>
    <row r="207" spans="1:8" ht="15" customHeight="1">
      <c r="A207" s="3">
        <v>40466</v>
      </c>
      <c r="B207" s="129">
        <v>124056</v>
      </c>
      <c r="C207" s="140">
        <v>24250</v>
      </c>
      <c r="D207" s="138">
        <v>24295</v>
      </c>
      <c r="E207" s="19">
        <f t="shared" si="17"/>
        <v>-85</v>
      </c>
      <c r="F207" s="161"/>
      <c r="G207" s="161"/>
      <c r="H207" s="169">
        <v>180500</v>
      </c>
    </row>
    <row r="208" spans="1:8" ht="15" customHeight="1">
      <c r="A208" s="3">
        <v>40469</v>
      </c>
      <c r="B208" s="129">
        <v>123822</v>
      </c>
      <c r="C208" s="140">
        <v>23670</v>
      </c>
      <c r="D208" s="138">
        <v>23750</v>
      </c>
      <c r="E208" s="19">
        <f t="shared" si="17"/>
        <v>-580</v>
      </c>
      <c r="F208" s="161"/>
      <c r="G208" s="161"/>
      <c r="H208" s="169">
        <v>180000</v>
      </c>
    </row>
    <row r="209" spans="1:8" ht="15" customHeight="1">
      <c r="A209" s="3">
        <v>40470</v>
      </c>
      <c r="B209" s="129">
        <v>124104</v>
      </c>
      <c r="C209" s="140">
        <v>23505</v>
      </c>
      <c r="D209" s="138">
        <v>23600</v>
      </c>
      <c r="E209" s="19">
        <f t="shared" si="17"/>
        <v>-165</v>
      </c>
      <c r="F209" s="161"/>
      <c r="G209" s="161"/>
      <c r="H209" s="169">
        <v>179750</v>
      </c>
    </row>
    <row r="210" spans="1:8" ht="15" customHeight="1">
      <c r="A210" s="3">
        <v>40471</v>
      </c>
      <c r="B210" s="129">
        <v>124575</v>
      </c>
      <c r="C210" s="140">
        <v>23475</v>
      </c>
      <c r="D210" s="138">
        <v>23500</v>
      </c>
      <c r="E210" s="19">
        <f t="shared" si="17"/>
        <v>-30</v>
      </c>
      <c r="F210" s="161"/>
      <c r="G210" s="161"/>
      <c r="H210" s="169">
        <v>176250</v>
      </c>
    </row>
    <row r="211" spans="1:8" ht="15" customHeight="1">
      <c r="A211" s="3">
        <v>40472</v>
      </c>
      <c r="B211" s="129">
        <v>124836</v>
      </c>
      <c r="C211" s="140">
        <v>23715</v>
      </c>
      <c r="D211" s="138">
        <v>23800</v>
      </c>
      <c r="E211" s="19">
        <f t="shared" ref="E211:E216" si="18">+C211-C210</f>
        <v>240</v>
      </c>
      <c r="F211" s="161"/>
      <c r="G211" s="161"/>
      <c r="H211" s="169">
        <v>178250</v>
      </c>
    </row>
    <row r="212" spans="1:8" ht="15" customHeight="1">
      <c r="A212" s="3">
        <v>40473</v>
      </c>
      <c r="B212" s="129">
        <v>125670</v>
      </c>
      <c r="C212" s="140">
        <v>23405</v>
      </c>
      <c r="D212" s="138">
        <v>23450</v>
      </c>
      <c r="E212" s="19">
        <f t="shared" si="18"/>
        <v>-310</v>
      </c>
      <c r="F212" s="161"/>
      <c r="G212" s="161"/>
      <c r="H212" s="169">
        <v>178000</v>
      </c>
    </row>
    <row r="213" spans="1:8" ht="15" customHeight="1">
      <c r="A213" s="3">
        <v>40476</v>
      </c>
      <c r="B213" s="129">
        <v>126768</v>
      </c>
      <c r="C213" s="140">
        <v>23755</v>
      </c>
      <c r="D213" s="138">
        <v>23800</v>
      </c>
      <c r="E213" s="19">
        <f t="shared" si="18"/>
        <v>350</v>
      </c>
      <c r="F213" s="161"/>
      <c r="G213" s="161"/>
      <c r="H213" s="169">
        <v>179250</v>
      </c>
    </row>
    <row r="214" spans="1:8" ht="15" customHeight="1">
      <c r="A214" s="3">
        <v>40477</v>
      </c>
      <c r="B214" s="129">
        <v>127254</v>
      </c>
      <c r="C214" s="140">
        <v>23185</v>
      </c>
      <c r="D214" s="138">
        <v>23300</v>
      </c>
      <c r="E214" s="19">
        <f t="shared" si="18"/>
        <v>-570</v>
      </c>
      <c r="F214" s="161"/>
      <c r="G214" s="161"/>
      <c r="H214" s="169">
        <v>180000</v>
      </c>
    </row>
    <row r="215" spans="1:8" ht="15" customHeight="1">
      <c r="A215" s="3">
        <v>40478</v>
      </c>
      <c r="B215" s="129">
        <v>126972</v>
      </c>
      <c r="C215" s="140">
        <v>22950</v>
      </c>
      <c r="D215" s="138">
        <v>22950</v>
      </c>
      <c r="E215" s="19">
        <f t="shared" si="18"/>
        <v>-235</v>
      </c>
      <c r="F215" s="161"/>
      <c r="G215" s="161"/>
      <c r="H215" s="169">
        <v>180000</v>
      </c>
    </row>
    <row r="216" spans="1:8" ht="15" customHeight="1">
      <c r="A216" s="3">
        <v>40479</v>
      </c>
      <c r="B216" s="129">
        <v>128262</v>
      </c>
      <c r="C216" s="140">
        <v>23080</v>
      </c>
      <c r="D216" s="138">
        <v>23105</v>
      </c>
      <c r="E216" s="19">
        <f t="shared" si="18"/>
        <v>130</v>
      </c>
      <c r="F216" s="161"/>
      <c r="G216" s="161"/>
      <c r="H216" s="169">
        <v>178250</v>
      </c>
    </row>
    <row r="217" spans="1:8" ht="15" customHeight="1" thickBot="1">
      <c r="A217" s="12">
        <v>40480</v>
      </c>
      <c r="B217" s="142">
        <v>128160</v>
      </c>
      <c r="C217" s="143">
        <v>22700</v>
      </c>
      <c r="D217" s="144">
        <v>22895</v>
      </c>
      <c r="E217" s="20">
        <f t="shared" ref="E217:E223" si="19">+C217-C216</f>
        <v>-380</v>
      </c>
      <c r="F217" s="171">
        <f>AVERAGE(C197:C217)</f>
        <v>23663.571428571428</v>
      </c>
      <c r="G217" s="165">
        <v>21466.44</v>
      </c>
      <c r="H217" s="170">
        <v>178500</v>
      </c>
    </row>
    <row r="218" spans="1:8" ht="15" customHeight="1">
      <c r="A218" s="36">
        <v>40483</v>
      </c>
      <c r="B218" s="152">
        <v>129144</v>
      </c>
      <c r="C218" s="153">
        <v>23260</v>
      </c>
      <c r="D218" s="154">
        <v>23375</v>
      </c>
      <c r="E218" s="21">
        <f t="shared" si="19"/>
        <v>560</v>
      </c>
      <c r="F218" s="155"/>
      <c r="G218" s="155"/>
      <c r="H218" s="168">
        <v>178500</v>
      </c>
    </row>
    <row r="219" spans="1:8" ht="15" customHeight="1">
      <c r="A219" s="3">
        <v>40484</v>
      </c>
      <c r="B219" s="129">
        <v>128802</v>
      </c>
      <c r="C219" s="140">
        <v>23315</v>
      </c>
      <c r="D219" s="138">
        <v>23525</v>
      </c>
      <c r="E219" s="19">
        <f t="shared" si="19"/>
        <v>55</v>
      </c>
      <c r="F219" s="161"/>
      <c r="G219" s="161"/>
      <c r="H219" s="169">
        <v>179250</v>
      </c>
    </row>
    <row r="220" spans="1:8" ht="15" customHeight="1">
      <c r="A220" s="3">
        <v>40485</v>
      </c>
      <c r="B220" s="129">
        <v>128730</v>
      </c>
      <c r="C220" s="140">
        <v>23625</v>
      </c>
      <c r="D220" s="138">
        <v>23710</v>
      </c>
      <c r="E220" s="19">
        <f t="shared" si="19"/>
        <v>310</v>
      </c>
      <c r="F220" s="161"/>
      <c r="G220" s="161"/>
      <c r="H220" s="169">
        <v>180500</v>
      </c>
    </row>
    <row r="221" spans="1:8" ht="15" customHeight="1">
      <c r="A221" s="3">
        <v>40486</v>
      </c>
      <c r="B221" s="129">
        <v>129126</v>
      </c>
      <c r="C221" s="140">
        <v>23970</v>
      </c>
      <c r="D221" s="138">
        <v>24125</v>
      </c>
      <c r="E221" s="19">
        <f t="shared" si="19"/>
        <v>345</v>
      </c>
      <c r="F221" s="161"/>
      <c r="G221" s="161"/>
      <c r="H221" s="169">
        <v>181000</v>
      </c>
    </row>
    <row r="222" spans="1:8" ht="15" customHeight="1">
      <c r="A222" s="3">
        <v>40487</v>
      </c>
      <c r="B222" s="129">
        <v>129102</v>
      </c>
      <c r="C222" s="140">
        <v>24450</v>
      </c>
      <c r="D222" s="138">
        <v>24525</v>
      </c>
      <c r="E222" s="19">
        <f t="shared" si="19"/>
        <v>480</v>
      </c>
      <c r="F222" s="161"/>
      <c r="G222" s="161"/>
      <c r="H222" s="169">
        <v>186250</v>
      </c>
    </row>
    <row r="223" spans="1:8" ht="15" customHeight="1">
      <c r="A223" s="3">
        <v>40490</v>
      </c>
      <c r="B223" s="129">
        <v>129216</v>
      </c>
      <c r="C223" s="140">
        <v>24205</v>
      </c>
      <c r="D223" s="138">
        <v>24250</v>
      </c>
      <c r="E223" s="19">
        <f t="shared" si="19"/>
        <v>-245</v>
      </c>
      <c r="F223" s="161"/>
      <c r="G223" s="161"/>
      <c r="H223" s="169">
        <v>185500</v>
      </c>
    </row>
    <row r="224" spans="1:8" ht="15" customHeight="1">
      <c r="A224" s="3">
        <v>40491</v>
      </c>
      <c r="B224" s="129">
        <v>129678</v>
      </c>
      <c r="C224" s="140">
        <v>24350</v>
      </c>
      <c r="D224" s="138">
        <v>34375</v>
      </c>
      <c r="E224" s="19">
        <f t="shared" ref="E224:E229" si="20">+C224-C223</f>
        <v>145</v>
      </c>
      <c r="F224" s="161"/>
      <c r="G224" s="161"/>
      <c r="H224" s="169">
        <v>184500</v>
      </c>
    </row>
    <row r="225" spans="1:8" ht="15" customHeight="1">
      <c r="A225" s="3">
        <v>40492</v>
      </c>
      <c r="B225" s="129">
        <v>129834</v>
      </c>
      <c r="C225" s="140">
        <v>24350</v>
      </c>
      <c r="D225" s="138">
        <v>34500</v>
      </c>
      <c r="E225" s="19">
        <f t="shared" si="20"/>
        <v>0</v>
      </c>
      <c r="F225" s="161"/>
      <c r="G225" s="161"/>
      <c r="H225" s="169">
        <v>186000</v>
      </c>
    </row>
    <row r="226" spans="1:8" ht="15" customHeight="1">
      <c r="A226" s="3">
        <v>40493</v>
      </c>
      <c r="B226" s="129">
        <v>130116</v>
      </c>
      <c r="C226" s="140">
        <v>24200</v>
      </c>
      <c r="D226" s="138">
        <v>24275</v>
      </c>
      <c r="E226" s="19">
        <f t="shared" si="20"/>
        <v>-150</v>
      </c>
      <c r="F226" s="161"/>
      <c r="G226" s="161"/>
      <c r="H226" s="169">
        <v>185500</v>
      </c>
    </row>
    <row r="227" spans="1:8" ht="15" customHeight="1">
      <c r="A227" s="3">
        <v>40494</v>
      </c>
      <c r="B227" s="129">
        <v>130356</v>
      </c>
      <c r="C227" s="140">
        <v>23625</v>
      </c>
      <c r="D227" s="138">
        <v>23700</v>
      </c>
      <c r="E227" s="19">
        <f t="shared" si="20"/>
        <v>-575</v>
      </c>
      <c r="F227" s="161"/>
      <c r="G227" s="161"/>
      <c r="H227" s="169">
        <v>184750</v>
      </c>
    </row>
    <row r="228" spans="1:8" ht="15" customHeight="1">
      <c r="A228" s="3">
        <v>40497</v>
      </c>
      <c r="B228" s="129">
        <v>130422</v>
      </c>
      <c r="C228" s="140">
        <v>22525</v>
      </c>
      <c r="D228" s="138">
        <v>22600</v>
      </c>
      <c r="E228" s="19">
        <f t="shared" si="20"/>
        <v>-1100</v>
      </c>
      <c r="F228" s="161"/>
      <c r="G228" s="161"/>
      <c r="H228" s="169">
        <v>179000</v>
      </c>
    </row>
    <row r="229" spans="1:8" ht="15" customHeight="1">
      <c r="A229" s="3">
        <v>40498</v>
      </c>
      <c r="B229" s="129">
        <v>130686</v>
      </c>
      <c r="C229" s="140">
        <v>22195</v>
      </c>
      <c r="D229" s="138">
        <v>22230</v>
      </c>
      <c r="E229" s="19">
        <f t="shared" si="20"/>
        <v>-330</v>
      </c>
      <c r="F229" s="161"/>
      <c r="G229" s="161"/>
      <c r="H229" s="169">
        <v>179500</v>
      </c>
    </row>
    <row r="230" spans="1:8" ht="15" customHeight="1">
      <c r="A230" s="3">
        <v>40499</v>
      </c>
      <c r="B230" s="129">
        <v>130146</v>
      </c>
      <c r="C230" s="140">
        <v>21475</v>
      </c>
      <c r="D230" s="138">
        <v>21510</v>
      </c>
      <c r="E230" s="19">
        <f t="shared" ref="E230:E235" si="21">+C230-C229</f>
        <v>-720</v>
      </c>
      <c r="F230" s="161"/>
      <c r="G230" s="161"/>
      <c r="H230" s="169">
        <v>170000</v>
      </c>
    </row>
    <row r="231" spans="1:8" ht="15" customHeight="1">
      <c r="A231" s="3">
        <v>40500</v>
      </c>
      <c r="B231" s="129">
        <v>130110</v>
      </c>
      <c r="C231" s="140">
        <v>21500</v>
      </c>
      <c r="D231" s="138">
        <v>21550</v>
      </c>
      <c r="E231" s="19">
        <f t="shared" si="21"/>
        <v>25</v>
      </c>
      <c r="F231" s="161"/>
      <c r="G231" s="161"/>
      <c r="H231" s="169">
        <v>172000</v>
      </c>
    </row>
    <row r="232" spans="1:8" ht="15" customHeight="1">
      <c r="A232" s="3">
        <v>40501</v>
      </c>
      <c r="B232" s="129">
        <v>130104</v>
      </c>
      <c r="C232" s="140">
        <v>21685</v>
      </c>
      <c r="D232" s="138">
        <v>21750</v>
      </c>
      <c r="E232" s="19">
        <f t="shared" si="21"/>
        <v>185</v>
      </c>
      <c r="F232" s="161"/>
      <c r="G232" s="161"/>
      <c r="H232" s="169">
        <v>174250</v>
      </c>
    </row>
    <row r="233" spans="1:8" ht="15" customHeight="1">
      <c r="A233" s="3">
        <v>40504</v>
      </c>
      <c r="B233" s="129">
        <v>130014</v>
      </c>
      <c r="C233" s="140">
        <v>21615</v>
      </c>
      <c r="D233" s="138">
        <v>21725</v>
      </c>
      <c r="E233" s="19">
        <f t="shared" si="21"/>
        <v>-70</v>
      </c>
      <c r="F233" s="161"/>
      <c r="G233" s="161"/>
      <c r="H233" s="169">
        <v>174250</v>
      </c>
    </row>
    <row r="234" spans="1:8" ht="15" customHeight="1">
      <c r="A234" s="3">
        <v>40505</v>
      </c>
      <c r="B234" s="129">
        <v>130818</v>
      </c>
      <c r="C234" s="140">
        <v>21290</v>
      </c>
      <c r="D234" s="138">
        <v>21375</v>
      </c>
      <c r="E234" s="19">
        <f t="shared" si="21"/>
        <v>-325</v>
      </c>
      <c r="F234" s="161"/>
      <c r="G234" s="161"/>
      <c r="H234" s="169">
        <v>173250</v>
      </c>
    </row>
    <row r="235" spans="1:8" ht="15" customHeight="1">
      <c r="A235" s="3">
        <v>40506</v>
      </c>
      <c r="B235" s="129">
        <v>130434</v>
      </c>
      <c r="C235" s="140">
        <v>21900</v>
      </c>
      <c r="D235" s="138">
        <v>21950</v>
      </c>
      <c r="E235" s="19">
        <f t="shared" si="21"/>
        <v>610</v>
      </c>
      <c r="F235" s="161"/>
      <c r="G235" s="161"/>
      <c r="H235" s="169">
        <v>173250</v>
      </c>
    </row>
    <row r="236" spans="1:8" ht="15" customHeight="1">
      <c r="A236" s="3">
        <v>40507</v>
      </c>
      <c r="B236" s="129">
        <v>130518</v>
      </c>
      <c r="C236" s="140">
        <v>22610</v>
      </c>
      <c r="D236" s="138">
        <v>22680</v>
      </c>
      <c r="E236" s="19">
        <f t="shared" ref="E236:E241" si="22">+C236-C235</f>
        <v>710</v>
      </c>
      <c r="F236" s="161"/>
      <c r="G236" s="161"/>
      <c r="H236" s="169">
        <v>175750</v>
      </c>
    </row>
    <row r="237" spans="1:8" ht="15" customHeight="1">
      <c r="A237" s="3">
        <v>40508</v>
      </c>
      <c r="B237" s="129">
        <v>131472</v>
      </c>
      <c r="C237" s="140">
        <v>22510</v>
      </c>
      <c r="D237" s="138">
        <v>22600</v>
      </c>
      <c r="E237" s="19">
        <f t="shared" si="22"/>
        <v>-100</v>
      </c>
      <c r="F237" s="161"/>
      <c r="G237" s="161"/>
      <c r="H237" s="169">
        <v>175250</v>
      </c>
    </row>
    <row r="238" spans="1:8" ht="15" customHeight="1">
      <c r="A238" s="3">
        <v>40511</v>
      </c>
      <c r="B238" s="129">
        <v>130908</v>
      </c>
      <c r="C238" s="140">
        <v>22755</v>
      </c>
      <c r="D238" s="138">
        <v>22825</v>
      </c>
      <c r="E238" s="19">
        <f t="shared" si="22"/>
        <v>245</v>
      </c>
      <c r="F238" s="161"/>
      <c r="G238" s="161"/>
      <c r="H238" s="169">
        <v>174750</v>
      </c>
    </row>
    <row r="239" spans="1:8" ht="15" customHeight="1" thickBot="1">
      <c r="A239" s="12">
        <v>40512</v>
      </c>
      <c r="B239" s="142">
        <v>130866</v>
      </c>
      <c r="C239" s="143">
        <v>22595</v>
      </c>
      <c r="D239" s="144">
        <v>22625</v>
      </c>
      <c r="E239" s="20">
        <f t="shared" si="22"/>
        <v>-160</v>
      </c>
      <c r="F239" s="171">
        <f>AVERAGE(C218:C239)</f>
        <v>22909.31818181818</v>
      </c>
      <c r="G239" s="165">
        <v>21597.611239669401</v>
      </c>
      <c r="H239" s="170">
        <v>175000</v>
      </c>
    </row>
    <row r="240" spans="1:8" ht="15" customHeight="1">
      <c r="A240" s="3">
        <v>40513</v>
      </c>
      <c r="B240" s="129">
        <v>131802</v>
      </c>
      <c r="C240" s="140">
        <v>23305</v>
      </c>
      <c r="D240" s="138">
        <v>23375</v>
      </c>
      <c r="E240" s="19">
        <f t="shared" si="22"/>
        <v>710</v>
      </c>
      <c r="F240" s="161"/>
      <c r="G240" s="161"/>
      <c r="H240" s="169">
        <v>175500</v>
      </c>
    </row>
    <row r="241" spans="1:8" ht="15" customHeight="1">
      <c r="A241" s="3">
        <v>40514</v>
      </c>
      <c r="B241" s="129">
        <v>130788</v>
      </c>
      <c r="C241" s="140">
        <v>23675</v>
      </c>
      <c r="D241" s="138">
        <v>23750</v>
      </c>
      <c r="E241" s="19">
        <f t="shared" si="22"/>
        <v>370</v>
      </c>
      <c r="F241" s="161"/>
      <c r="G241" s="161"/>
      <c r="H241" s="169">
        <v>179250</v>
      </c>
    </row>
    <row r="242" spans="1:8" ht="15" customHeight="1">
      <c r="A242" s="3">
        <v>40515</v>
      </c>
      <c r="B242" s="129">
        <v>130908</v>
      </c>
      <c r="C242" s="140">
        <v>23505</v>
      </c>
      <c r="D242" s="138">
        <v>23600</v>
      </c>
      <c r="E242" s="19">
        <f t="shared" ref="E242:E247" si="23">+C242-C241</f>
        <v>-170</v>
      </c>
      <c r="F242" s="161"/>
      <c r="G242" s="161"/>
      <c r="H242" s="169">
        <v>179000</v>
      </c>
    </row>
    <row r="243" spans="1:8" ht="15" customHeight="1">
      <c r="A243" s="3">
        <v>40518</v>
      </c>
      <c r="B243" s="129">
        <v>131178</v>
      </c>
      <c r="C243" s="140">
        <v>23450</v>
      </c>
      <c r="D243" s="138">
        <v>23400</v>
      </c>
      <c r="E243" s="19">
        <f t="shared" si="23"/>
        <v>-55</v>
      </c>
      <c r="F243" s="161"/>
      <c r="G243" s="161"/>
      <c r="H243" s="169">
        <v>179000</v>
      </c>
    </row>
    <row r="244" spans="1:8" ht="15" customHeight="1">
      <c r="A244" s="3">
        <v>40519</v>
      </c>
      <c r="B244" s="129">
        <v>131412</v>
      </c>
      <c r="C244" s="140">
        <v>24050</v>
      </c>
      <c r="D244" s="138">
        <v>24200</v>
      </c>
      <c r="E244" s="19">
        <f t="shared" si="23"/>
        <v>600</v>
      </c>
      <c r="F244" s="161"/>
      <c r="G244" s="161"/>
      <c r="H244" s="169">
        <v>178750</v>
      </c>
    </row>
    <row r="245" spans="1:8" ht="15" customHeight="1">
      <c r="A245" s="3">
        <v>40520</v>
      </c>
      <c r="B245" s="129">
        <v>131592</v>
      </c>
      <c r="C245" s="140">
        <v>23750</v>
      </c>
      <c r="D245" s="138">
        <v>23810</v>
      </c>
      <c r="E245" s="19">
        <f t="shared" si="23"/>
        <v>-300</v>
      </c>
      <c r="F245" s="161"/>
      <c r="G245" s="161"/>
      <c r="H245" s="169">
        <v>178750</v>
      </c>
    </row>
    <row r="246" spans="1:8" ht="15" customHeight="1">
      <c r="A246" s="3">
        <v>40521</v>
      </c>
      <c r="B246" s="129">
        <v>131196</v>
      </c>
      <c r="C246" s="140">
        <v>23755</v>
      </c>
      <c r="D246" s="138">
        <v>23875</v>
      </c>
      <c r="E246" s="19">
        <f t="shared" si="23"/>
        <v>5</v>
      </c>
      <c r="F246" s="161"/>
      <c r="G246" s="161"/>
      <c r="H246" s="169">
        <v>178250</v>
      </c>
    </row>
    <row r="247" spans="1:8" ht="15" customHeight="1">
      <c r="A247" s="3">
        <v>40522</v>
      </c>
      <c r="B247" s="129">
        <v>131184</v>
      </c>
      <c r="C247" s="140">
        <v>23685</v>
      </c>
      <c r="D247" s="138">
        <v>23755</v>
      </c>
      <c r="E247" s="19">
        <f t="shared" si="23"/>
        <v>-70</v>
      </c>
      <c r="F247" s="161"/>
      <c r="G247" s="161"/>
      <c r="H247" s="169">
        <v>178250</v>
      </c>
    </row>
    <row r="248" spans="1:8" ht="15" customHeight="1">
      <c r="A248" s="3">
        <v>40525</v>
      </c>
      <c r="B248" s="129">
        <v>131064</v>
      </c>
      <c r="C248" s="140">
        <v>24180</v>
      </c>
      <c r="D248" s="138">
        <v>24180</v>
      </c>
      <c r="E248" s="19">
        <f t="shared" ref="E248:E254" si="24">+C248-C247</f>
        <v>495</v>
      </c>
      <c r="F248" s="161"/>
      <c r="G248" s="161"/>
      <c r="H248" s="169">
        <v>179250</v>
      </c>
    </row>
    <row r="249" spans="1:8" ht="15" customHeight="1">
      <c r="A249" s="3">
        <v>40526</v>
      </c>
      <c r="B249" s="129">
        <v>130974</v>
      </c>
      <c r="C249" s="140">
        <v>24790</v>
      </c>
      <c r="D249" s="138">
        <v>24875</v>
      </c>
      <c r="E249" s="19">
        <f t="shared" si="24"/>
        <v>610</v>
      </c>
      <c r="F249" s="161"/>
      <c r="G249" s="161"/>
      <c r="H249" s="169">
        <v>182000</v>
      </c>
    </row>
    <row r="250" spans="1:8" ht="15" customHeight="1">
      <c r="A250" s="3">
        <v>40527</v>
      </c>
      <c r="B250" s="129">
        <v>131166</v>
      </c>
      <c r="C250" s="140">
        <v>24280</v>
      </c>
      <c r="D250" s="138">
        <v>24400</v>
      </c>
      <c r="E250" s="19">
        <f t="shared" si="24"/>
        <v>-510</v>
      </c>
      <c r="F250" s="161"/>
      <c r="G250" s="161"/>
      <c r="H250" s="169">
        <v>181500</v>
      </c>
    </row>
    <row r="251" spans="1:8" ht="15" customHeight="1">
      <c r="A251" s="3">
        <v>40528</v>
      </c>
      <c r="B251" s="129">
        <v>131418</v>
      </c>
      <c r="C251" s="140">
        <v>24255</v>
      </c>
      <c r="D251" s="138">
        <v>24400</v>
      </c>
      <c r="E251" s="19">
        <f t="shared" si="24"/>
        <v>-25</v>
      </c>
      <c r="F251" s="161"/>
      <c r="G251" s="161"/>
      <c r="H251" s="169">
        <v>181000</v>
      </c>
    </row>
    <row r="252" spans="1:8" ht="15" customHeight="1">
      <c r="A252" s="3">
        <v>40529</v>
      </c>
      <c r="B252" s="129">
        <v>131862</v>
      </c>
      <c r="C252" s="140">
        <v>24695</v>
      </c>
      <c r="D252" s="138">
        <v>24700</v>
      </c>
      <c r="E252" s="19">
        <f t="shared" si="24"/>
        <v>440</v>
      </c>
      <c r="F252" s="161"/>
      <c r="G252" s="161"/>
      <c r="H252" s="169">
        <v>182500</v>
      </c>
    </row>
    <row r="253" spans="1:8" ht="15" customHeight="1">
      <c r="A253" s="3">
        <v>40532</v>
      </c>
      <c r="B253" s="129">
        <v>132810</v>
      </c>
      <c r="C253" s="140">
        <v>24880</v>
      </c>
      <c r="D253" s="138">
        <v>24970</v>
      </c>
      <c r="E253" s="19">
        <f t="shared" si="24"/>
        <v>185</v>
      </c>
      <c r="F253" s="161"/>
      <c r="G253" s="161"/>
      <c r="H253" s="169">
        <v>183500</v>
      </c>
    </row>
    <row r="254" spans="1:8" ht="15" customHeight="1">
      <c r="A254" s="3">
        <v>40533</v>
      </c>
      <c r="B254" s="129">
        <v>134508</v>
      </c>
      <c r="C254" s="140">
        <v>24575</v>
      </c>
      <c r="D254" s="138">
        <v>24650</v>
      </c>
      <c r="E254" s="19">
        <f t="shared" si="24"/>
        <v>-305</v>
      </c>
      <c r="F254" s="161"/>
      <c r="G254" s="161"/>
      <c r="H254" s="169">
        <v>183250</v>
      </c>
    </row>
    <row r="255" spans="1:8" ht="15" customHeight="1">
      <c r="A255" s="3">
        <v>40534</v>
      </c>
      <c r="B255" s="129">
        <v>135282</v>
      </c>
      <c r="C255" s="140">
        <v>24500</v>
      </c>
      <c r="D255" s="138">
        <v>24600</v>
      </c>
      <c r="E255" s="19">
        <f>+C255-C254</f>
        <v>-75</v>
      </c>
      <c r="F255" s="161"/>
      <c r="G255" s="161"/>
      <c r="H255" s="169">
        <v>183250</v>
      </c>
    </row>
    <row r="256" spans="1:8" ht="15" customHeight="1">
      <c r="A256" s="3">
        <v>40535</v>
      </c>
      <c r="B256" s="129">
        <v>136308</v>
      </c>
      <c r="C256" s="140">
        <v>23795</v>
      </c>
      <c r="D256" s="138">
        <v>23800</v>
      </c>
      <c r="E256" s="19">
        <f>+C256-C255</f>
        <v>-705</v>
      </c>
      <c r="F256" s="161"/>
      <c r="G256" s="161"/>
      <c r="H256" s="169">
        <v>181750</v>
      </c>
    </row>
    <row r="257" spans="1:8" ht="15" customHeight="1">
      <c r="A257" s="3">
        <v>40536</v>
      </c>
      <c r="B257" s="129">
        <v>136878</v>
      </c>
      <c r="C257" s="140">
        <v>23855</v>
      </c>
      <c r="D257" s="138">
        <v>23875</v>
      </c>
      <c r="E257" s="19">
        <f>+C257-C256</f>
        <v>60</v>
      </c>
      <c r="F257" s="161"/>
      <c r="G257" s="161"/>
      <c r="H257" s="169">
        <v>181750</v>
      </c>
    </row>
    <row r="258" spans="1:8" ht="15" customHeight="1">
      <c r="A258" s="3">
        <v>40539</v>
      </c>
      <c r="B258" s="1066" t="s">
        <v>74</v>
      </c>
      <c r="C258" s="1066"/>
      <c r="D258" s="1066"/>
      <c r="E258" s="1066"/>
      <c r="F258" s="1066"/>
      <c r="G258" s="1066"/>
      <c r="H258" s="1073"/>
    </row>
    <row r="259" spans="1:8" ht="15" customHeight="1">
      <c r="A259" s="3">
        <v>40540</v>
      </c>
      <c r="B259" s="1066"/>
      <c r="C259" s="1066"/>
      <c r="D259" s="1066"/>
      <c r="E259" s="1066"/>
      <c r="F259" s="1066"/>
      <c r="G259" s="1066"/>
      <c r="H259" s="1073"/>
    </row>
    <row r="260" spans="1:8" ht="15" customHeight="1">
      <c r="A260" s="3">
        <v>40541</v>
      </c>
      <c r="B260" s="129">
        <v>135720</v>
      </c>
      <c r="C260" s="140">
        <v>24275</v>
      </c>
      <c r="D260" s="138">
        <v>24290</v>
      </c>
      <c r="E260" s="19">
        <f>+C260-C257</f>
        <v>420</v>
      </c>
      <c r="F260" s="161"/>
      <c r="G260" s="161"/>
      <c r="H260" s="169">
        <v>183000</v>
      </c>
    </row>
    <row r="261" spans="1:8" ht="15" customHeight="1">
      <c r="A261" s="3">
        <v>40542</v>
      </c>
      <c r="B261" s="129">
        <v>135444</v>
      </c>
      <c r="C261" s="140">
        <v>24120</v>
      </c>
      <c r="D261" s="138">
        <v>24195</v>
      </c>
      <c r="E261" s="19">
        <f t="shared" ref="E261:E266" si="25">+C261-C260</f>
        <v>-155</v>
      </c>
      <c r="F261" s="161"/>
      <c r="G261" s="161"/>
      <c r="H261" s="169">
        <v>183250</v>
      </c>
    </row>
    <row r="262" spans="1:8" ht="15" customHeight="1" thickBot="1">
      <c r="A262" s="12">
        <v>40543</v>
      </c>
      <c r="B262" s="142">
        <v>135672</v>
      </c>
      <c r="C262" s="143">
        <v>24960</v>
      </c>
      <c r="D262" s="144">
        <v>24950</v>
      </c>
      <c r="E262" s="20">
        <f t="shared" si="25"/>
        <v>840</v>
      </c>
      <c r="F262" s="171">
        <f>AVERAGE(C240:C262)</f>
        <v>24111.190476190477</v>
      </c>
      <c r="G262" s="165">
        <v>21807.076327561332</v>
      </c>
      <c r="H262" s="170">
        <v>185500</v>
      </c>
    </row>
    <row r="263" spans="1:8" ht="15" customHeight="1">
      <c r="A263" s="36">
        <v>40547</v>
      </c>
      <c r="B263" s="152">
        <v>136890</v>
      </c>
      <c r="C263" s="153">
        <v>25175</v>
      </c>
      <c r="D263" s="154">
        <v>25200</v>
      </c>
      <c r="E263" s="21">
        <f t="shared" si="25"/>
        <v>215</v>
      </c>
      <c r="F263" s="155"/>
      <c r="G263" s="222">
        <f>AVERAGE(C263:C519)</f>
        <v>22868.393574297188</v>
      </c>
      <c r="H263" s="168">
        <v>188500</v>
      </c>
    </row>
    <row r="264" spans="1:8" ht="15" customHeight="1">
      <c r="A264" s="3">
        <v>40548</v>
      </c>
      <c r="B264" s="129">
        <v>136860</v>
      </c>
      <c r="C264" s="140">
        <v>24650</v>
      </c>
      <c r="D264" s="138">
        <v>24730</v>
      </c>
      <c r="E264" s="19">
        <f t="shared" si="25"/>
        <v>-525</v>
      </c>
      <c r="F264" s="161"/>
      <c r="G264" s="161"/>
      <c r="H264" s="169">
        <v>188000</v>
      </c>
    </row>
    <row r="265" spans="1:8" ht="15" customHeight="1">
      <c r="A265" s="3">
        <v>40549</v>
      </c>
      <c r="B265" s="129">
        <v>137040</v>
      </c>
      <c r="C265" s="140">
        <v>24875</v>
      </c>
      <c r="D265" s="138">
        <v>24860</v>
      </c>
      <c r="E265" s="19">
        <f t="shared" si="25"/>
        <v>225</v>
      </c>
      <c r="F265" s="161"/>
      <c r="G265" s="161"/>
      <c r="H265" s="169">
        <v>188500</v>
      </c>
    </row>
    <row r="266" spans="1:8" ht="15" customHeight="1">
      <c r="A266" s="3">
        <v>40550</v>
      </c>
      <c r="B266" s="129">
        <v>136896</v>
      </c>
      <c r="C266" s="140">
        <v>24345</v>
      </c>
      <c r="D266" s="138">
        <v>24350</v>
      </c>
      <c r="E266" s="19">
        <f t="shared" si="25"/>
        <v>-530</v>
      </c>
      <c r="F266" s="161"/>
      <c r="G266" s="161"/>
      <c r="H266" s="169">
        <v>188250</v>
      </c>
    </row>
    <row r="267" spans="1:8" ht="15" customHeight="1">
      <c r="A267" s="3">
        <v>40553</v>
      </c>
      <c r="B267" s="129">
        <v>136806</v>
      </c>
      <c r="C267" s="140">
        <v>24050</v>
      </c>
      <c r="D267" s="138">
        <v>24055</v>
      </c>
      <c r="E267" s="19">
        <f t="shared" ref="E267:E272" si="26">+C267-C266</f>
        <v>-295</v>
      </c>
      <c r="F267" s="161"/>
      <c r="G267" s="161"/>
      <c r="H267" s="169">
        <v>187500</v>
      </c>
    </row>
    <row r="268" spans="1:8" ht="15" customHeight="1">
      <c r="A268" s="3">
        <v>40554</v>
      </c>
      <c r="B268" s="129">
        <v>135864</v>
      </c>
      <c r="C268" s="140">
        <v>24595</v>
      </c>
      <c r="D268" s="138">
        <v>24575</v>
      </c>
      <c r="E268" s="19">
        <f t="shared" si="26"/>
        <v>545</v>
      </c>
      <c r="F268" s="161"/>
      <c r="G268" s="161"/>
      <c r="H268" s="169">
        <v>187250</v>
      </c>
    </row>
    <row r="269" spans="1:8" ht="15" customHeight="1">
      <c r="A269" s="3">
        <v>40555</v>
      </c>
      <c r="B269" s="129">
        <v>135096</v>
      </c>
      <c r="C269" s="140">
        <v>25065</v>
      </c>
      <c r="D269" s="138">
        <v>25135</v>
      </c>
      <c r="E269" s="19">
        <f t="shared" si="26"/>
        <v>470</v>
      </c>
      <c r="F269" s="161"/>
      <c r="G269" s="161"/>
      <c r="H269" s="169">
        <v>190500</v>
      </c>
    </row>
    <row r="270" spans="1:8" ht="15" customHeight="1">
      <c r="A270" s="3">
        <v>40556</v>
      </c>
      <c r="B270" s="129">
        <v>136662</v>
      </c>
      <c r="C270" s="140">
        <v>25725</v>
      </c>
      <c r="D270" s="138">
        <v>25750</v>
      </c>
      <c r="E270" s="19">
        <f t="shared" si="26"/>
        <v>660</v>
      </c>
      <c r="F270" s="161"/>
      <c r="G270" s="161"/>
      <c r="H270" s="169">
        <v>195500</v>
      </c>
    </row>
    <row r="271" spans="1:8" ht="15" customHeight="1">
      <c r="A271" s="3">
        <v>40557</v>
      </c>
      <c r="B271" s="129">
        <v>136302</v>
      </c>
      <c r="C271" s="140">
        <v>25465</v>
      </c>
      <c r="D271" s="138">
        <v>25455</v>
      </c>
      <c r="E271" s="19">
        <f t="shared" si="26"/>
        <v>-260</v>
      </c>
      <c r="F271" s="161"/>
      <c r="G271" s="161"/>
      <c r="H271" s="169">
        <v>195500</v>
      </c>
    </row>
    <row r="272" spans="1:8" ht="15" customHeight="1">
      <c r="A272" s="3">
        <v>40560</v>
      </c>
      <c r="B272" s="129">
        <v>137766</v>
      </c>
      <c r="C272" s="140">
        <v>25990</v>
      </c>
      <c r="D272" s="138">
        <v>26025</v>
      </c>
      <c r="E272" s="19">
        <f t="shared" si="26"/>
        <v>525</v>
      </c>
      <c r="F272" s="161"/>
      <c r="G272" s="161"/>
      <c r="H272" s="169">
        <v>196500</v>
      </c>
    </row>
    <row r="273" spans="1:8" ht="15" customHeight="1">
      <c r="A273" s="3">
        <v>40561</v>
      </c>
      <c r="B273" s="129">
        <v>137352</v>
      </c>
      <c r="C273" s="140">
        <v>26360</v>
      </c>
      <c r="D273" s="138">
        <v>26355</v>
      </c>
      <c r="E273" s="19">
        <f t="shared" ref="E273:E278" si="27">+C273-C272</f>
        <v>370</v>
      </c>
      <c r="F273" s="161"/>
      <c r="G273" s="161"/>
      <c r="H273" s="169">
        <v>196500</v>
      </c>
    </row>
    <row r="274" spans="1:8" ht="15" customHeight="1">
      <c r="A274" s="3">
        <v>40562</v>
      </c>
      <c r="B274" s="129">
        <v>137238</v>
      </c>
      <c r="C274" s="140">
        <v>26200</v>
      </c>
      <c r="D274" s="138">
        <v>26200</v>
      </c>
      <c r="E274" s="19">
        <f t="shared" si="27"/>
        <v>-160</v>
      </c>
      <c r="F274" s="161"/>
      <c r="G274" s="161"/>
      <c r="H274" s="169">
        <v>199500</v>
      </c>
    </row>
    <row r="275" spans="1:8" ht="15" customHeight="1">
      <c r="A275" s="3">
        <v>40563</v>
      </c>
      <c r="B275" s="129">
        <v>137124</v>
      </c>
      <c r="C275" s="140">
        <v>25650</v>
      </c>
      <c r="D275" s="138">
        <v>25675</v>
      </c>
      <c r="E275" s="19">
        <f t="shared" si="27"/>
        <v>-550</v>
      </c>
      <c r="F275" s="161"/>
      <c r="G275" s="161"/>
      <c r="H275" s="169">
        <v>199500</v>
      </c>
    </row>
    <row r="276" spans="1:8" ht="15" customHeight="1">
      <c r="A276" s="3">
        <v>40564</v>
      </c>
      <c r="B276" s="129">
        <v>135696</v>
      </c>
      <c r="C276" s="140">
        <v>25900</v>
      </c>
      <c r="D276" s="138">
        <v>25900</v>
      </c>
      <c r="E276" s="19">
        <f t="shared" si="27"/>
        <v>250</v>
      </c>
      <c r="F276" s="161"/>
      <c r="G276" s="161"/>
      <c r="H276" s="169">
        <v>199250</v>
      </c>
    </row>
    <row r="277" spans="1:8" ht="15" customHeight="1">
      <c r="A277" s="3">
        <v>40567</v>
      </c>
      <c r="B277" s="129">
        <v>135174</v>
      </c>
      <c r="C277" s="140">
        <v>26270</v>
      </c>
      <c r="D277" s="138">
        <v>26300</v>
      </c>
      <c r="E277" s="19">
        <f t="shared" si="27"/>
        <v>370</v>
      </c>
      <c r="F277" s="161"/>
      <c r="G277" s="161"/>
      <c r="H277" s="169">
        <v>201750</v>
      </c>
    </row>
    <row r="278" spans="1:8" ht="15" customHeight="1">
      <c r="A278" s="3">
        <v>40568</v>
      </c>
      <c r="B278" s="129">
        <v>134958</v>
      </c>
      <c r="C278" s="140">
        <v>25755</v>
      </c>
      <c r="D278" s="138">
        <v>25825</v>
      </c>
      <c r="E278" s="19">
        <f t="shared" si="27"/>
        <v>-515</v>
      </c>
      <c r="F278" s="161"/>
      <c r="G278" s="161"/>
      <c r="H278" s="169">
        <v>201000</v>
      </c>
    </row>
    <row r="279" spans="1:8" ht="15" customHeight="1">
      <c r="A279" s="3">
        <v>40569</v>
      </c>
      <c r="B279" s="129">
        <v>134862</v>
      </c>
      <c r="C279" s="140">
        <v>26155</v>
      </c>
      <c r="D279" s="138">
        <v>26130</v>
      </c>
      <c r="E279" s="19">
        <f t="shared" ref="E279:E287" si="28">+C279-C278</f>
        <v>400</v>
      </c>
      <c r="F279" s="161"/>
      <c r="G279" s="161"/>
      <c r="H279" s="169">
        <v>200500</v>
      </c>
    </row>
    <row r="280" spans="1:8" ht="15" customHeight="1">
      <c r="A280" s="3">
        <v>40570</v>
      </c>
      <c r="B280" s="129">
        <v>135186</v>
      </c>
      <c r="C280" s="140">
        <v>26800</v>
      </c>
      <c r="D280" s="138">
        <v>26830</v>
      </c>
      <c r="E280" s="19">
        <f t="shared" si="28"/>
        <v>645</v>
      </c>
      <c r="F280" s="161"/>
      <c r="G280" s="161"/>
      <c r="H280" s="169">
        <v>203500</v>
      </c>
    </row>
    <row r="281" spans="1:8" ht="15" customHeight="1">
      <c r="A281" s="3">
        <v>40571</v>
      </c>
      <c r="B281" s="129">
        <v>134298</v>
      </c>
      <c r="C281" s="140">
        <v>26825</v>
      </c>
      <c r="D281" s="138">
        <v>26800</v>
      </c>
      <c r="E281" s="19">
        <f t="shared" si="28"/>
        <v>25</v>
      </c>
      <c r="F281" s="161"/>
      <c r="G281" s="161"/>
      <c r="H281" s="169">
        <v>204000</v>
      </c>
    </row>
    <row r="282" spans="1:8" ht="15" customHeight="1" thickBot="1">
      <c r="A282" s="12">
        <v>40574</v>
      </c>
      <c r="B282" s="142">
        <v>134040</v>
      </c>
      <c r="C282" s="143">
        <v>27075</v>
      </c>
      <c r="D282" s="144">
        <v>27100</v>
      </c>
      <c r="E282" s="20">
        <f t="shared" si="28"/>
        <v>250</v>
      </c>
      <c r="F282" s="171">
        <f>AVERAGE(C263:C282)</f>
        <v>25646.25</v>
      </c>
      <c r="G282" s="165">
        <f>AVERAGE(C263:C286)</f>
        <v>26006.25</v>
      </c>
      <c r="H282" s="170">
        <v>204500</v>
      </c>
    </row>
    <row r="283" spans="1:8" ht="15" customHeight="1">
      <c r="A283" s="3">
        <v>40575</v>
      </c>
      <c r="B283" s="129">
        <v>134442</v>
      </c>
      <c r="C283" s="140">
        <v>27655</v>
      </c>
      <c r="D283" s="138">
        <v>27680</v>
      </c>
      <c r="E283" s="19">
        <f t="shared" si="28"/>
        <v>580</v>
      </c>
      <c r="F283" s="161"/>
      <c r="G283" s="161"/>
      <c r="H283" s="169">
        <v>207500</v>
      </c>
    </row>
    <row r="284" spans="1:8" ht="15" customHeight="1">
      <c r="A284" s="3">
        <v>40576</v>
      </c>
      <c r="B284" s="129">
        <v>134172</v>
      </c>
      <c r="C284" s="140">
        <v>27715</v>
      </c>
      <c r="D284" s="138">
        <v>27825</v>
      </c>
      <c r="E284" s="19">
        <f t="shared" si="28"/>
        <v>60</v>
      </c>
      <c r="F284" s="161"/>
      <c r="G284" s="161"/>
      <c r="H284" s="1068" t="s">
        <v>71</v>
      </c>
    </row>
    <row r="285" spans="1:8" ht="15" customHeight="1">
      <c r="A285" s="3">
        <v>40577</v>
      </c>
      <c r="B285" s="129">
        <v>133500</v>
      </c>
      <c r="C285" s="140">
        <v>27780</v>
      </c>
      <c r="D285" s="138">
        <v>27780</v>
      </c>
      <c r="E285" s="19">
        <f t="shared" si="28"/>
        <v>65</v>
      </c>
      <c r="F285" s="161"/>
      <c r="G285" s="161"/>
      <c r="H285" s="1068"/>
    </row>
    <row r="286" spans="1:8" ht="15" customHeight="1">
      <c r="A286" s="3">
        <v>40578</v>
      </c>
      <c r="B286" s="129">
        <v>132798</v>
      </c>
      <c r="C286" s="140">
        <v>28075</v>
      </c>
      <c r="D286" s="138">
        <v>28040</v>
      </c>
      <c r="E286" s="19">
        <f t="shared" si="28"/>
        <v>295</v>
      </c>
      <c r="F286" s="161"/>
      <c r="G286" s="161"/>
      <c r="H286" s="1068"/>
    </row>
    <row r="287" spans="1:8" ht="15" customHeight="1">
      <c r="A287" s="3">
        <v>40581</v>
      </c>
      <c r="B287" s="129">
        <v>132828</v>
      </c>
      <c r="C287" s="140">
        <v>28705</v>
      </c>
      <c r="D287" s="138">
        <v>28705</v>
      </c>
      <c r="E287" s="19">
        <f t="shared" si="28"/>
        <v>630</v>
      </c>
      <c r="F287" s="161"/>
      <c r="G287" s="161"/>
      <c r="H287" s="1068"/>
    </row>
    <row r="288" spans="1:8" ht="15" customHeight="1">
      <c r="A288" s="3">
        <v>40582</v>
      </c>
      <c r="B288" s="129">
        <v>132936</v>
      </c>
      <c r="C288" s="140">
        <v>27855</v>
      </c>
      <c r="D288" s="138">
        <v>27900</v>
      </c>
      <c r="E288" s="19">
        <f t="shared" ref="E288:E293" si="29">+C288-C287</f>
        <v>-850</v>
      </c>
      <c r="F288" s="161"/>
      <c r="G288" s="161"/>
      <c r="H288" s="1068"/>
    </row>
    <row r="289" spans="1:8" ht="15" customHeight="1">
      <c r="A289" s="3">
        <v>40583</v>
      </c>
      <c r="B289" s="129">
        <v>132330</v>
      </c>
      <c r="C289" s="140">
        <v>28260</v>
      </c>
      <c r="D289" s="138">
        <v>28280</v>
      </c>
      <c r="E289" s="19">
        <f t="shared" si="29"/>
        <v>405</v>
      </c>
      <c r="F289" s="161"/>
      <c r="G289" s="161"/>
      <c r="H289" s="169">
        <v>215500</v>
      </c>
    </row>
    <row r="290" spans="1:8" ht="15" customHeight="1">
      <c r="A290" s="3">
        <v>40584</v>
      </c>
      <c r="B290" s="129">
        <v>131898</v>
      </c>
      <c r="C290" s="140">
        <v>28010</v>
      </c>
      <c r="D290" s="138">
        <v>28025</v>
      </c>
      <c r="E290" s="19">
        <f t="shared" si="29"/>
        <v>-250</v>
      </c>
      <c r="F290" s="161"/>
      <c r="G290" s="161"/>
      <c r="H290" s="169">
        <v>217000</v>
      </c>
    </row>
    <row r="291" spans="1:8" ht="15" customHeight="1">
      <c r="A291" s="3">
        <v>40585</v>
      </c>
      <c r="B291" s="129">
        <v>131112</v>
      </c>
      <c r="C291" s="140">
        <v>27835</v>
      </c>
      <c r="D291" s="138">
        <v>27875</v>
      </c>
      <c r="E291" s="19">
        <f t="shared" si="29"/>
        <v>-175</v>
      </c>
      <c r="F291" s="161"/>
      <c r="G291" s="161"/>
      <c r="H291" s="169">
        <v>216500</v>
      </c>
    </row>
    <row r="292" spans="1:8" ht="15" customHeight="1">
      <c r="A292" s="3">
        <v>40588</v>
      </c>
      <c r="B292" s="129">
        <v>130422</v>
      </c>
      <c r="C292" s="140">
        <v>28680</v>
      </c>
      <c r="D292" s="138">
        <v>28700</v>
      </c>
      <c r="E292" s="19">
        <f t="shared" si="29"/>
        <v>845</v>
      </c>
      <c r="F292" s="161"/>
      <c r="G292" s="161"/>
      <c r="H292" s="169">
        <v>216500</v>
      </c>
    </row>
    <row r="293" spans="1:8" ht="15" customHeight="1">
      <c r="A293" s="3">
        <v>40589</v>
      </c>
      <c r="B293" s="129">
        <v>130248</v>
      </c>
      <c r="C293" s="140">
        <v>28900</v>
      </c>
      <c r="D293" s="138">
        <v>28700</v>
      </c>
      <c r="E293" s="19">
        <f t="shared" si="29"/>
        <v>220</v>
      </c>
      <c r="F293" s="161"/>
      <c r="G293" s="161"/>
      <c r="H293" s="169">
        <v>218500</v>
      </c>
    </row>
    <row r="294" spans="1:8" ht="15" customHeight="1">
      <c r="A294" s="3">
        <v>40590</v>
      </c>
      <c r="B294" s="129">
        <v>130098</v>
      </c>
      <c r="C294" s="140">
        <v>28555</v>
      </c>
      <c r="D294" s="138">
        <v>28575</v>
      </c>
      <c r="E294" s="19">
        <f t="shared" ref="E294:E299" si="30">+C294-C293</f>
        <v>-345</v>
      </c>
      <c r="F294" s="161"/>
      <c r="G294" s="161"/>
      <c r="H294" s="169">
        <v>217500</v>
      </c>
    </row>
    <row r="295" spans="1:8" ht="15" customHeight="1">
      <c r="A295" s="3">
        <v>40591</v>
      </c>
      <c r="B295" s="129">
        <v>129924</v>
      </c>
      <c r="C295" s="140">
        <v>28300</v>
      </c>
      <c r="D295" s="138">
        <v>28350</v>
      </c>
      <c r="E295" s="19">
        <f t="shared" si="30"/>
        <v>-255</v>
      </c>
      <c r="F295" s="161"/>
      <c r="G295" s="161"/>
      <c r="H295" s="169">
        <v>216500</v>
      </c>
    </row>
    <row r="296" spans="1:8" ht="15" customHeight="1">
      <c r="A296" s="3">
        <v>40592</v>
      </c>
      <c r="B296" s="129">
        <v>129396</v>
      </c>
      <c r="C296" s="140">
        <v>28285</v>
      </c>
      <c r="D296" s="138">
        <v>28355</v>
      </c>
      <c r="E296" s="19">
        <f t="shared" si="30"/>
        <v>-15</v>
      </c>
      <c r="F296" s="161"/>
      <c r="G296" s="161"/>
      <c r="H296" s="169">
        <v>215500</v>
      </c>
    </row>
    <row r="297" spans="1:8" ht="15" customHeight="1">
      <c r="A297" s="3">
        <v>40595</v>
      </c>
      <c r="B297" s="129">
        <v>129222</v>
      </c>
      <c r="C297" s="140">
        <v>29030</v>
      </c>
      <c r="D297" s="138">
        <v>29075</v>
      </c>
      <c r="E297" s="19">
        <f t="shared" si="30"/>
        <v>745</v>
      </c>
      <c r="F297" s="161"/>
      <c r="G297" s="161"/>
      <c r="H297" s="169">
        <v>217500</v>
      </c>
    </row>
    <row r="298" spans="1:8" ht="15" customHeight="1">
      <c r="A298" s="3">
        <v>40596</v>
      </c>
      <c r="B298" s="129">
        <v>129720</v>
      </c>
      <c r="C298" s="140">
        <v>28865</v>
      </c>
      <c r="D298" s="138">
        <v>28890</v>
      </c>
      <c r="E298" s="19">
        <f t="shared" si="30"/>
        <v>-165</v>
      </c>
      <c r="F298" s="161"/>
      <c r="G298" s="161"/>
      <c r="H298" s="169">
        <v>219000</v>
      </c>
    </row>
    <row r="299" spans="1:8" ht="15" customHeight="1">
      <c r="A299" s="3">
        <v>40597</v>
      </c>
      <c r="B299" s="129">
        <v>129198</v>
      </c>
      <c r="C299" s="140">
        <v>28290</v>
      </c>
      <c r="D299" s="138">
        <v>28300</v>
      </c>
      <c r="E299" s="19">
        <f t="shared" si="30"/>
        <v>-575</v>
      </c>
      <c r="F299" s="161"/>
      <c r="G299" s="161"/>
      <c r="H299" s="169">
        <v>214500</v>
      </c>
    </row>
    <row r="300" spans="1:8" ht="15" customHeight="1">
      <c r="A300" s="3">
        <v>40598</v>
      </c>
      <c r="B300" s="129">
        <v>129642</v>
      </c>
      <c r="C300" s="140">
        <v>27680</v>
      </c>
      <c r="D300" s="138">
        <v>27700</v>
      </c>
      <c r="E300" s="19">
        <f t="shared" ref="E300:E305" si="31">+C300-C299</f>
        <v>-610</v>
      </c>
      <c r="F300" s="161"/>
      <c r="G300" s="161"/>
      <c r="H300" s="169">
        <v>214500</v>
      </c>
    </row>
    <row r="301" spans="1:8" ht="15" customHeight="1">
      <c r="A301" s="3">
        <v>40599</v>
      </c>
      <c r="B301" s="129">
        <v>130422</v>
      </c>
      <c r="C301" s="140">
        <v>27730</v>
      </c>
      <c r="D301" s="138">
        <v>27730</v>
      </c>
      <c r="E301" s="19">
        <f t="shared" si="31"/>
        <v>50</v>
      </c>
      <c r="F301" s="161"/>
      <c r="G301" s="161"/>
      <c r="H301" s="169">
        <v>210500</v>
      </c>
    </row>
    <row r="302" spans="1:8" ht="15" customHeight="1" thickBot="1">
      <c r="A302" s="12">
        <v>40602</v>
      </c>
      <c r="B302" s="142">
        <v>130080</v>
      </c>
      <c r="C302" s="143">
        <v>28840</v>
      </c>
      <c r="D302" s="144">
        <v>28760</v>
      </c>
      <c r="E302" s="20">
        <f t="shared" si="31"/>
        <v>1110</v>
      </c>
      <c r="F302" s="171">
        <f>AVERAGE(C283:C302)</f>
        <v>28252.25</v>
      </c>
      <c r="G302" s="165">
        <f>AVERAGE(C263:C302)</f>
        <v>26949.25</v>
      </c>
      <c r="H302" s="170">
        <v>212000</v>
      </c>
    </row>
    <row r="303" spans="1:8" ht="15" customHeight="1">
      <c r="A303" s="36">
        <v>40603</v>
      </c>
      <c r="B303" s="152">
        <v>130578</v>
      </c>
      <c r="C303" s="153">
        <v>28875</v>
      </c>
      <c r="D303" s="154">
        <v>28900</v>
      </c>
      <c r="E303" s="21">
        <f t="shared" si="31"/>
        <v>35</v>
      </c>
      <c r="F303" s="155"/>
      <c r="G303" s="155"/>
      <c r="H303" s="168">
        <v>215250</v>
      </c>
    </row>
    <row r="304" spans="1:8" ht="15" customHeight="1">
      <c r="A304" s="3">
        <v>40604</v>
      </c>
      <c r="B304" s="129">
        <v>130416</v>
      </c>
      <c r="C304" s="140">
        <v>28455</v>
      </c>
      <c r="D304" s="138">
        <v>28460</v>
      </c>
      <c r="E304" s="19">
        <f t="shared" si="31"/>
        <v>-420</v>
      </c>
      <c r="F304" s="161"/>
      <c r="G304" s="161"/>
      <c r="H304" s="169">
        <v>214750</v>
      </c>
    </row>
    <row r="305" spans="1:8" ht="15" customHeight="1">
      <c r="A305" s="3">
        <v>40605</v>
      </c>
      <c r="B305" s="129">
        <v>130014</v>
      </c>
      <c r="C305" s="140">
        <v>28875</v>
      </c>
      <c r="D305" s="138">
        <v>28900</v>
      </c>
      <c r="E305" s="19">
        <f t="shared" si="31"/>
        <v>420</v>
      </c>
      <c r="F305" s="161"/>
      <c r="G305" s="161"/>
      <c r="H305" s="169">
        <v>214750</v>
      </c>
    </row>
    <row r="306" spans="1:8" ht="15" customHeight="1">
      <c r="A306" s="3">
        <v>40606</v>
      </c>
      <c r="B306" s="129">
        <v>129858</v>
      </c>
      <c r="C306" s="140">
        <v>28950</v>
      </c>
      <c r="D306" s="138">
        <v>28910</v>
      </c>
      <c r="E306" s="19">
        <f t="shared" ref="E306:E311" si="32">+C306-C305</f>
        <v>75</v>
      </c>
      <c r="F306" s="161"/>
      <c r="G306" s="161"/>
      <c r="H306" s="169">
        <v>215250</v>
      </c>
    </row>
    <row r="307" spans="1:8" ht="15" customHeight="1">
      <c r="A307" s="3">
        <v>40609</v>
      </c>
      <c r="B307" s="129">
        <v>129384</v>
      </c>
      <c r="C307" s="140">
        <v>28530</v>
      </c>
      <c r="D307" s="138">
        <v>28555</v>
      </c>
      <c r="E307" s="19">
        <f t="shared" si="32"/>
        <v>-420</v>
      </c>
      <c r="F307" s="161"/>
      <c r="G307" s="161"/>
      <c r="H307" s="169">
        <v>214750</v>
      </c>
    </row>
    <row r="308" spans="1:8" ht="15" customHeight="1">
      <c r="A308" s="3">
        <v>40610</v>
      </c>
      <c r="B308" s="129">
        <v>129102</v>
      </c>
      <c r="C308" s="140">
        <v>26650</v>
      </c>
      <c r="D308" s="138">
        <v>26630</v>
      </c>
      <c r="E308" s="19">
        <f t="shared" si="32"/>
        <v>-1880</v>
      </c>
      <c r="F308" s="161"/>
      <c r="G308" s="161"/>
      <c r="H308" s="169">
        <v>209500</v>
      </c>
    </row>
    <row r="309" spans="1:8" ht="15" customHeight="1">
      <c r="A309" s="3">
        <v>40611</v>
      </c>
      <c r="B309" s="129">
        <v>128658</v>
      </c>
      <c r="C309" s="140">
        <v>27055</v>
      </c>
      <c r="D309" s="138">
        <v>27100</v>
      </c>
      <c r="E309" s="19">
        <f t="shared" si="32"/>
        <v>405</v>
      </c>
      <c r="F309" s="161"/>
      <c r="G309" s="161"/>
      <c r="H309" s="169">
        <v>208000</v>
      </c>
    </row>
    <row r="310" spans="1:8" ht="15" customHeight="1">
      <c r="A310" s="3">
        <v>40612</v>
      </c>
      <c r="B310" s="129">
        <v>128604</v>
      </c>
      <c r="C310" s="140">
        <v>25975</v>
      </c>
      <c r="D310" s="138">
        <v>26000</v>
      </c>
      <c r="E310" s="19">
        <f t="shared" si="32"/>
        <v>-1080</v>
      </c>
      <c r="F310" s="161"/>
      <c r="G310" s="161"/>
      <c r="H310" s="169">
        <v>202500</v>
      </c>
    </row>
    <row r="311" spans="1:8" ht="15" customHeight="1">
      <c r="A311" s="3">
        <v>40613</v>
      </c>
      <c r="B311" s="129">
        <v>128424</v>
      </c>
      <c r="C311" s="140">
        <v>25675</v>
      </c>
      <c r="D311" s="138">
        <v>25655</v>
      </c>
      <c r="E311" s="19">
        <f t="shared" si="32"/>
        <v>-300</v>
      </c>
      <c r="F311" s="161"/>
      <c r="G311" s="161"/>
      <c r="H311" s="169">
        <v>202500</v>
      </c>
    </row>
    <row r="312" spans="1:8" ht="15" customHeight="1">
      <c r="A312" s="3">
        <v>40616</v>
      </c>
      <c r="B312" s="129">
        <v>127986</v>
      </c>
      <c r="C312" s="140">
        <v>26000</v>
      </c>
      <c r="D312" s="138">
        <v>25980</v>
      </c>
      <c r="E312" s="19">
        <f t="shared" ref="E312:E317" si="33">+C312-C311</f>
        <v>325</v>
      </c>
      <c r="F312" s="161"/>
      <c r="G312" s="161"/>
      <c r="H312" s="169">
        <v>202000</v>
      </c>
    </row>
    <row r="313" spans="1:8" ht="15" customHeight="1">
      <c r="A313" s="3">
        <v>40617</v>
      </c>
      <c r="B313" s="129">
        <v>127674</v>
      </c>
      <c r="C313" s="140">
        <v>25080</v>
      </c>
      <c r="D313" s="138">
        <v>25130</v>
      </c>
      <c r="E313" s="19">
        <f t="shared" si="33"/>
        <v>-920</v>
      </c>
      <c r="F313" s="161"/>
      <c r="G313" s="161"/>
      <c r="H313" s="169">
        <v>201000</v>
      </c>
    </row>
    <row r="314" spans="1:8" ht="15" customHeight="1">
      <c r="A314" s="3">
        <v>40618</v>
      </c>
      <c r="B314" s="129">
        <v>126570</v>
      </c>
      <c r="C314" s="140">
        <v>25390</v>
      </c>
      <c r="D314" s="138">
        <v>25400</v>
      </c>
      <c r="E314" s="19">
        <f t="shared" si="33"/>
        <v>310</v>
      </c>
      <c r="F314" s="161"/>
      <c r="G314" s="161"/>
      <c r="H314" s="169">
        <v>195000</v>
      </c>
    </row>
    <row r="315" spans="1:8" ht="15" customHeight="1">
      <c r="A315" s="3">
        <v>40619</v>
      </c>
      <c r="B315" s="129">
        <v>125598</v>
      </c>
      <c r="C315" s="140">
        <v>25950</v>
      </c>
      <c r="D315" s="138">
        <v>25930</v>
      </c>
      <c r="E315" s="19">
        <f t="shared" si="33"/>
        <v>560</v>
      </c>
      <c r="F315" s="161"/>
      <c r="G315" s="161"/>
      <c r="H315" s="169">
        <v>193750</v>
      </c>
    </row>
    <row r="316" spans="1:8" ht="15" customHeight="1">
      <c r="A316" s="3">
        <v>40620</v>
      </c>
      <c r="B316" s="129">
        <v>125100</v>
      </c>
      <c r="C316" s="140">
        <v>26155</v>
      </c>
      <c r="D316" s="138">
        <v>26200</v>
      </c>
      <c r="E316" s="19">
        <f t="shared" si="33"/>
        <v>205</v>
      </c>
      <c r="F316" s="161"/>
      <c r="G316" s="161"/>
      <c r="H316" s="169">
        <v>198250</v>
      </c>
    </row>
    <row r="317" spans="1:8" ht="15" customHeight="1">
      <c r="A317" s="3">
        <v>40623</v>
      </c>
      <c r="B317" s="129">
        <v>124848</v>
      </c>
      <c r="C317" s="140">
        <v>26765</v>
      </c>
      <c r="D317" s="138">
        <v>26800</v>
      </c>
      <c r="E317" s="19">
        <f t="shared" si="33"/>
        <v>610</v>
      </c>
      <c r="F317" s="161"/>
      <c r="G317" s="161"/>
      <c r="H317" s="169">
        <v>199250</v>
      </c>
    </row>
    <row r="318" spans="1:8" ht="15" customHeight="1">
      <c r="A318" s="3">
        <v>40624</v>
      </c>
      <c r="B318" s="129">
        <v>124464</v>
      </c>
      <c r="C318" s="140">
        <v>26215</v>
      </c>
      <c r="D318" s="138">
        <v>26305</v>
      </c>
      <c r="E318" s="19">
        <f t="shared" ref="E318:E323" si="34">+C318-C317</f>
        <v>-550</v>
      </c>
      <c r="F318" s="161"/>
      <c r="G318" s="161"/>
      <c r="H318" s="169">
        <v>198250</v>
      </c>
    </row>
    <row r="319" spans="1:8" ht="15" customHeight="1">
      <c r="A319" s="3">
        <v>40625</v>
      </c>
      <c r="B319" s="129">
        <v>124038</v>
      </c>
      <c r="C319" s="140">
        <v>26710</v>
      </c>
      <c r="D319" s="138">
        <v>26740</v>
      </c>
      <c r="E319" s="19">
        <f t="shared" si="34"/>
        <v>495</v>
      </c>
      <c r="F319" s="161"/>
      <c r="G319" s="161"/>
      <c r="H319" s="169">
        <v>197500</v>
      </c>
    </row>
    <row r="320" spans="1:8" ht="15" customHeight="1">
      <c r="A320" s="3">
        <v>40626</v>
      </c>
      <c r="B320" s="129">
        <v>123594</v>
      </c>
      <c r="C320" s="140">
        <v>27145</v>
      </c>
      <c r="D320" s="138">
        <v>27140</v>
      </c>
      <c r="E320" s="19">
        <f t="shared" si="34"/>
        <v>435</v>
      </c>
      <c r="F320" s="161"/>
      <c r="G320" s="161"/>
      <c r="H320" s="169">
        <v>200000</v>
      </c>
    </row>
    <row r="321" spans="1:8" ht="15" customHeight="1">
      <c r="A321" s="3">
        <v>40627</v>
      </c>
      <c r="B321" s="129">
        <v>124254</v>
      </c>
      <c r="C321" s="140">
        <v>27060</v>
      </c>
      <c r="D321" s="138">
        <v>27095</v>
      </c>
      <c r="E321" s="19">
        <f t="shared" si="34"/>
        <v>-85</v>
      </c>
      <c r="F321" s="161"/>
      <c r="G321" s="161"/>
      <c r="H321" s="169">
        <v>200000</v>
      </c>
    </row>
    <row r="322" spans="1:8" ht="15" customHeight="1">
      <c r="A322" s="3">
        <v>40630</v>
      </c>
      <c r="B322" s="129">
        <v>124086</v>
      </c>
      <c r="C322" s="140">
        <v>26580</v>
      </c>
      <c r="D322" s="138">
        <v>26625</v>
      </c>
      <c r="E322" s="19">
        <f t="shared" si="34"/>
        <v>-480</v>
      </c>
      <c r="F322" s="161"/>
      <c r="G322" s="161"/>
      <c r="H322" s="169">
        <v>199500</v>
      </c>
    </row>
    <row r="323" spans="1:8" ht="15" customHeight="1">
      <c r="A323" s="3">
        <v>40631</v>
      </c>
      <c r="B323" s="129">
        <v>124506</v>
      </c>
      <c r="C323" s="140">
        <v>26250</v>
      </c>
      <c r="D323" s="138">
        <v>26300</v>
      </c>
      <c r="E323" s="19">
        <f t="shared" si="34"/>
        <v>-330</v>
      </c>
      <c r="F323" s="161"/>
      <c r="G323" s="161"/>
      <c r="H323" s="169">
        <v>194750</v>
      </c>
    </row>
    <row r="324" spans="1:8" ht="15" customHeight="1">
      <c r="A324" s="3">
        <v>40632</v>
      </c>
      <c r="B324" s="129">
        <v>124158</v>
      </c>
      <c r="C324" s="140">
        <v>26250</v>
      </c>
      <c r="D324" s="138">
        <v>26275</v>
      </c>
      <c r="E324" s="19">
        <f t="shared" ref="E324:E329" si="35">+C324-C323</f>
        <v>0</v>
      </c>
      <c r="F324" s="161"/>
      <c r="G324" s="161"/>
      <c r="H324" s="169">
        <v>194750</v>
      </c>
    </row>
    <row r="325" spans="1:8" ht="15" customHeight="1" thickBot="1">
      <c r="A325" s="12">
        <v>40633</v>
      </c>
      <c r="B325" s="142">
        <v>123696</v>
      </c>
      <c r="C325" s="143">
        <v>26080</v>
      </c>
      <c r="D325" s="144">
        <v>26150</v>
      </c>
      <c r="E325" s="20">
        <f t="shared" si="35"/>
        <v>-170</v>
      </c>
      <c r="F325" s="171">
        <f>AVERAGE(C303:C325)</f>
        <v>26811.739130434784</v>
      </c>
      <c r="G325" s="165">
        <f>AVERAGE(C263:C325)</f>
        <v>26899.047619047618</v>
      </c>
      <c r="H325" s="170">
        <v>193500</v>
      </c>
    </row>
    <row r="326" spans="1:8" ht="15" customHeight="1">
      <c r="A326" s="3">
        <v>40634</v>
      </c>
      <c r="B326" s="129">
        <v>123948</v>
      </c>
      <c r="C326" s="140">
        <v>25555</v>
      </c>
      <c r="D326" s="138">
        <v>25600</v>
      </c>
      <c r="E326" s="19">
        <f t="shared" si="35"/>
        <v>-525</v>
      </c>
      <c r="F326" s="161"/>
      <c r="G326" s="161"/>
      <c r="H326" s="169">
        <v>194750</v>
      </c>
    </row>
    <row r="327" spans="1:8" ht="15" customHeight="1">
      <c r="A327" s="3">
        <v>40637</v>
      </c>
      <c r="B327" s="129">
        <v>123756</v>
      </c>
      <c r="C327" s="140">
        <v>25605</v>
      </c>
      <c r="D327" s="138">
        <v>25650</v>
      </c>
      <c r="E327" s="19">
        <f t="shared" si="35"/>
        <v>50</v>
      </c>
      <c r="F327" s="161"/>
      <c r="G327" s="161"/>
      <c r="H327" s="1068" t="s">
        <v>81</v>
      </c>
    </row>
    <row r="328" spans="1:8" ht="15" customHeight="1">
      <c r="A328" s="3">
        <v>40638</v>
      </c>
      <c r="B328" s="129">
        <v>123228</v>
      </c>
      <c r="C328" s="140">
        <v>25150</v>
      </c>
      <c r="D328" s="138">
        <v>25200</v>
      </c>
      <c r="E328" s="19">
        <f t="shared" si="35"/>
        <v>-455</v>
      </c>
      <c r="F328" s="161"/>
      <c r="G328" s="161"/>
      <c r="H328" s="1068"/>
    </row>
    <row r="329" spans="1:8" ht="15" customHeight="1">
      <c r="A329" s="3">
        <v>40639</v>
      </c>
      <c r="B329" s="129">
        <v>122916</v>
      </c>
      <c r="C329" s="140">
        <v>25955</v>
      </c>
      <c r="D329" s="138">
        <v>26000</v>
      </c>
      <c r="E329" s="19">
        <f t="shared" si="35"/>
        <v>805</v>
      </c>
      <c r="F329" s="161"/>
      <c r="G329" s="161"/>
      <c r="H329" s="169">
        <v>192750</v>
      </c>
    </row>
    <row r="330" spans="1:8" ht="15" customHeight="1">
      <c r="A330" s="3">
        <v>40640</v>
      </c>
      <c r="B330" s="129">
        <v>121752</v>
      </c>
      <c r="C330" s="140">
        <v>27130</v>
      </c>
      <c r="D330" s="138">
        <v>27130</v>
      </c>
      <c r="E330" s="19">
        <f t="shared" ref="E330:E335" si="36">+C330-C329</f>
        <v>1175</v>
      </c>
      <c r="F330" s="161"/>
      <c r="G330" s="161"/>
      <c r="H330" s="169">
        <v>197250</v>
      </c>
    </row>
    <row r="331" spans="1:8" ht="15" customHeight="1">
      <c r="A331" s="3">
        <v>40641</v>
      </c>
      <c r="B331" s="129">
        <v>121224</v>
      </c>
      <c r="C331" s="140">
        <v>27405</v>
      </c>
      <c r="D331" s="138">
        <v>27400</v>
      </c>
      <c r="E331" s="19">
        <f t="shared" si="36"/>
        <v>275</v>
      </c>
      <c r="F331" s="161"/>
      <c r="G331" s="161"/>
      <c r="H331" s="169">
        <v>198500</v>
      </c>
    </row>
    <row r="332" spans="1:8" ht="15" customHeight="1">
      <c r="A332" s="3">
        <v>40644</v>
      </c>
      <c r="B332" s="129">
        <v>120990</v>
      </c>
      <c r="C332" s="140">
        <v>27420</v>
      </c>
      <c r="D332" s="138">
        <v>27410</v>
      </c>
      <c r="E332" s="19">
        <f t="shared" si="36"/>
        <v>15</v>
      </c>
      <c r="F332" s="161"/>
      <c r="G332" s="161"/>
      <c r="H332" s="169">
        <v>202000</v>
      </c>
    </row>
    <row r="333" spans="1:8" ht="15" customHeight="1">
      <c r="A333" s="3">
        <v>40645</v>
      </c>
      <c r="B333" s="129">
        <v>121518</v>
      </c>
      <c r="C333" s="140">
        <v>27115</v>
      </c>
      <c r="D333" s="138">
        <v>27170</v>
      </c>
      <c r="E333" s="19">
        <f t="shared" si="36"/>
        <v>-305</v>
      </c>
      <c r="F333" s="161"/>
      <c r="G333" s="161"/>
      <c r="H333" s="169">
        <v>201000</v>
      </c>
    </row>
    <row r="334" spans="1:8" ht="15" customHeight="1">
      <c r="A334" s="3">
        <v>40646</v>
      </c>
      <c r="B334" s="129">
        <v>122058</v>
      </c>
      <c r="C334" s="140">
        <v>26680</v>
      </c>
      <c r="D334" s="138">
        <v>26650</v>
      </c>
      <c r="E334" s="19">
        <f t="shared" si="36"/>
        <v>-435</v>
      </c>
      <c r="F334" s="161"/>
      <c r="G334" s="161"/>
      <c r="H334" s="169">
        <v>195500</v>
      </c>
    </row>
    <row r="335" spans="1:8" ht="15" customHeight="1">
      <c r="A335" s="3">
        <v>40647</v>
      </c>
      <c r="B335" s="129">
        <v>121182</v>
      </c>
      <c r="C335" s="140">
        <v>26090</v>
      </c>
      <c r="D335" s="138">
        <v>26080</v>
      </c>
      <c r="E335" s="19">
        <f t="shared" si="36"/>
        <v>-590</v>
      </c>
      <c r="F335" s="161"/>
      <c r="G335" s="161"/>
      <c r="H335" s="169">
        <v>195500</v>
      </c>
    </row>
    <row r="336" spans="1:8" ht="15" customHeight="1">
      <c r="A336" s="3">
        <v>40648</v>
      </c>
      <c r="B336" s="129">
        <v>120480</v>
      </c>
      <c r="C336" s="140">
        <v>26325</v>
      </c>
      <c r="D336" s="138">
        <v>26300</v>
      </c>
      <c r="E336" s="19">
        <f>+C336-C335</f>
        <v>235</v>
      </c>
      <c r="F336" s="161"/>
      <c r="G336" s="161"/>
      <c r="H336" s="169">
        <v>196250</v>
      </c>
    </row>
    <row r="337" spans="1:8" ht="15" customHeight="1">
      <c r="A337" s="3">
        <v>40651</v>
      </c>
      <c r="B337" s="129">
        <v>119988</v>
      </c>
      <c r="C337" s="140">
        <v>26110</v>
      </c>
      <c r="D337" s="138">
        <v>26075</v>
      </c>
      <c r="E337" s="19">
        <f>+C337-C336</f>
        <v>-215</v>
      </c>
      <c r="F337" s="161"/>
      <c r="G337" s="161"/>
      <c r="H337" s="169">
        <v>196250</v>
      </c>
    </row>
    <row r="338" spans="1:8" ht="15" customHeight="1">
      <c r="A338" s="3">
        <v>40652</v>
      </c>
      <c r="B338" s="129">
        <v>118986</v>
      </c>
      <c r="C338" s="140">
        <v>25560</v>
      </c>
      <c r="D338" s="138">
        <v>25555</v>
      </c>
      <c r="E338" s="19">
        <f>+C338-C337</f>
        <v>-550</v>
      </c>
      <c r="F338" s="161"/>
      <c r="G338" s="161"/>
      <c r="H338" s="169">
        <v>193250</v>
      </c>
    </row>
    <row r="339" spans="1:8" ht="15" customHeight="1">
      <c r="A339" s="3">
        <v>40653</v>
      </c>
      <c r="B339" s="129">
        <v>118212</v>
      </c>
      <c r="C339" s="140">
        <v>25965</v>
      </c>
      <c r="D339" s="138">
        <v>26025</v>
      </c>
      <c r="E339" s="19">
        <f>+C339-C338</f>
        <v>405</v>
      </c>
      <c r="F339" s="161"/>
      <c r="G339" s="161"/>
      <c r="H339" s="169">
        <v>193750</v>
      </c>
    </row>
    <row r="340" spans="1:8" ht="15" customHeight="1">
      <c r="A340" s="3">
        <v>40654</v>
      </c>
      <c r="B340" s="129">
        <v>117942</v>
      </c>
      <c r="C340" s="140">
        <v>26655</v>
      </c>
      <c r="D340" s="138">
        <v>26700</v>
      </c>
      <c r="E340" s="19">
        <f>+C340-C339</f>
        <v>690</v>
      </c>
      <c r="F340" s="161"/>
      <c r="G340" s="161"/>
      <c r="H340" s="169">
        <v>196500</v>
      </c>
    </row>
    <row r="341" spans="1:8" ht="15" customHeight="1">
      <c r="A341" s="3">
        <v>40655</v>
      </c>
      <c r="B341" s="1066" t="s">
        <v>71</v>
      </c>
      <c r="C341" s="1066"/>
      <c r="D341" s="1066"/>
      <c r="E341" s="1066"/>
      <c r="F341" s="1066"/>
      <c r="G341" s="1066"/>
      <c r="H341" s="1073"/>
    </row>
    <row r="342" spans="1:8" ht="15" customHeight="1">
      <c r="A342" s="3">
        <v>40658</v>
      </c>
      <c r="B342" s="1066"/>
      <c r="C342" s="1066"/>
      <c r="D342" s="1066"/>
      <c r="E342" s="1066"/>
      <c r="F342" s="1066"/>
      <c r="G342" s="1066"/>
      <c r="H342" s="1073"/>
    </row>
    <row r="343" spans="1:8" ht="15" customHeight="1">
      <c r="A343" s="3">
        <v>40659</v>
      </c>
      <c r="B343" s="129">
        <v>118338</v>
      </c>
      <c r="C343" s="140">
        <v>26240</v>
      </c>
      <c r="D343" s="138">
        <v>26275</v>
      </c>
      <c r="E343" s="19">
        <f>+C343-C340</f>
        <v>-415</v>
      </c>
      <c r="F343" s="161"/>
      <c r="G343" s="161"/>
      <c r="H343" s="169">
        <v>193000</v>
      </c>
    </row>
    <row r="344" spans="1:8" ht="15" customHeight="1">
      <c r="A344" s="3">
        <v>40660</v>
      </c>
      <c r="B344" s="129">
        <v>117972</v>
      </c>
      <c r="C344" s="140">
        <v>26350</v>
      </c>
      <c r="D344" s="138">
        <v>26450</v>
      </c>
      <c r="E344" s="19">
        <f>+C344-C343</f>
        <v>110</v>
      </c>
      <c r="F344" s="161"/>
      <c r="G344" s="161"/>
      <c r="H344" s="169">
        <v>194500</v>
      </c>
    </row>
    <row r="345" spans="1:8" ht="15" customHeight="1">
      <c r="A345" s="3">
        <v>40661</v>
      </c>
      <c r="B345" s="129">
        <v>117384</v>
      </c>
      <c r="C345" s="140">
        <v>26610</v>
      </c>
      <c r="D345" s="138">
        <v>26610</v>
      </c>
      <c r="E345" s="19">
        <f>+C345-C344</f>
        <v>260</v>
      </c>
      <c r="F345" s="161"/>
      <c r="G345" s="161"/>
      <c r="H345" s="169">
        <v>195500</v>
      </c>
    </row>
    <row r="346" spans="1:8" ht="15" customHeight="1" thickBot="1">
      <c r="A346" s="12">
        <v>40662</v>
      </c>
      <c r="B346" s="1065" t="s">
        <v>83</v>
      </c>
      <c r="C346" s="1065"/>
      <c r="D346" s="1065"/>
      <c r="E346" s="1065"/>
      <c r="F346" s="171">
        <f>AVERAGE(C326:C346)</f>
        <v>26328.888888888891</v>
      </c>
      <c r="G346" s="165">
        <f>AVERAGE(C263:C346)</f>
        <v>26772.345679012345</v>
      </c>
      <c r="H346" s="170">
        <v>195500</v>
      </c>
    </row>
    <row r="347" spans="1:8" ht="15" customHeight="1">
      <c r="A347" s="36">
        <v>40665</v>
      </c>
      <c r="B347" s="1082" t="s">
        <v>83</v>
      </c>
      <c r="C347" s="1082"/>
      <c r="D347" s="1082"/>
      <c r="E347" s="1082"/>
      <c r="F347" s="1082"/>
      <c r="G347" s="1082"/>
      <c r="H347" s="1083"/>
    </row>
    <row r="348" spans="1:8" s="212" customFormat="1" ht="15" customHeight="1">
      <c r="A348" s="3">
        <v>40666</v>
      </c>
      <c r="B348" s="130">
        <v>117774</v>
      </c>
      <c r="C348" s="210">
        <v>26410</v>
      </c>
      <c r="D348" s="211">
        <v>26505</v>
      </c>
      <c r="E348" s="19">
        <f>+C348-C345</f>
        <v>-200</v>
      </c>
      <c r="F348" s="213"/>
      <c r="G348" s="213"/>
      <c r="H348" s="214">
        <v>195000</v>
      </c>
    </row>
    <row r="349" spans="1:8" ht="15" customHeight="1">
      <c r="A349" s="3">
        <v>40667</v>
      </c>
      <c r="B349" s="129">
        <v>116376</v>
      </c>
      <c r="C349" s="140">
        <v>26775</v>
      </c>
      <c r="D349" s="138">
        <v>26800</v>
      </c>
      <c r="E349" s="19">
        <f t="shared" ref="E349:E354" si="37">+C349-C348</f>
        <v>365</v>
      </c>
      <c r="F349" s="213"/>
      <c r="G349" s="213"/>
      <c r="H349" s="214">
        <v>195000</v>
      </c>
    </row>
    <row r="350" spans="1:8" ht="15" customHeight="1">
      <c r="A350" s="3">
        <v>40668</v>
      </c>
      <c r="B350" s="129">
        <v>116364</v>
      </c>
      <c r="C350" s="140">
        <v>24975</v>
      </c>
      <c r="D350" s="138">
        <v>25000</v>
      </c>
      <c r="E350" s="19">
        <f t="shared" si="37"/>
        <v>-1800</v>
      </c>
      <c r="F350" s="213"/>
      <c r="G350" s="213"/>
      <c r="H350" s="169">
        <v>188500</v>
      </c>
    </row>
    <row r="351" spans="1:8" ht="15" customHeight="1">
      <c r="A351" s="3">
        <v>40669</v>
      </c>
      <c r="B351" s="129">
        <v>116244</v>
      </c>
      <c r="C351" s="140">
        <v>24430</v>
      </c>
      <c r="D351" s="138">
        <v>24450</v>
      </c>
      <c r="E351" s="19">
        <f t="shared" si="37"/>
        <v>-545</v>
      </c>
      <c r="F351" s="213"/>
      <c r="G351" s="213"/>
      <c r="H351" s="169">
        <v>188500</v>
      </c>
    </row>
    <row r="352" spans="1:8" ht="15" customHeight="1">
      <c r="A352" s="3">
        <v>40672</v>
      </c>
      <c r="B352" s="129">
        <v>115872</v>
      </c>
      <c r="C352" s="140">
        <v>24775</v>
      </c>
      <c r="D352" s="138">
        <v>24770</v>
      </c>
      <c r="E352" s="19">
        <f t="shared" si="37"/>
        <v>345</v>
      </c>
      <c r="F352" s="213"/>
      <c r="G352" s="213"/>
      <c r="H352" s="169">
        <v>188500</v>
      </c>
    </row>
    <row r="353" spans="1:8" ht="15" customHeight="1">
      <c r="A353" s="3">
        <v>40673</v>
      </c>
      <c r="B353" s="129">
        <v>115560</v>
      </c>
      <c r="C353" s="140">
        <v>24805</v>
      </c>
      <c r="D353" s="138">
        <v>24825</v>
      </c>
      <c r="E353" s="19">
        <f t="shared" si="37"/>
        <v>30</v>
      </c>
      <c r="F353" s="213"/>
      <c r="G353" s="213"/>
      <c r="H353" s="169">
        <v>188500</v>
      </c>
    </row>
    <row r="354" spans="1:8" ht="15" customHeight="1">
      <c r="A354" s="3">
        <v>40674</v>
      </c>
      <c r="B354" s="129">
        <v>114948</v>
      </c>
      <c r="C354" s="140">
        <v>24435</v>
      </c>
      <c r="D354" s="138">
        <v>24455</v>
      </c>
      <c r="E354" s="19">
        <f t="shared" si="37"/>
        <v>-370</v>
      </c>
      <c r="F354" s="213"/>
      <c r="G354" s="213"/>
      <c r="H354" s="169">
        <v>189000</v>
      </c>
    </row>
    <row r="355" spans="1:8" ht="15" customHeight="1">
      <c r="A355" s="3">
        <v>40675</v>
      </c>
      <c r="B355" s="129">
        <v>114732</v>
      </c>
      <c r="C355" s="140">
        <v>23960</v>
      </c>
      <c r="D355" s="138">
        <v>24000</v>
      </c>
      <c r="E355" s="19">
        <f t="shared" ref="E355:E360" si="38">+C355-C354</f>
        <v>-475</v>
      </c>
      <c r="F355" s="213"/>
      <c r="G355" s="213"/>
      <c r="H355" s="169">
        <v>185500</v>
      </c>
    </row>
    <row r="356" spans="1:8" ht="15" customHeight="1">
      <c r="A356" s="3">
        <v>40676</v>
      </c>
      <c r="B356" s="129">
        <v>114402</v>
      </c>
      <c r="C356" s="140">
        <v>24730</v>
      </c>
      <c r="D356" s="138">
        <v>24775</v>
      </c>
      <c r="E356" s="19">
        <f t="shared" si="38"/>
        <v>770</v>
      </c>
      <c r="F356" s="213"/>
      <c r="G356" s="213"/>
      <c r="H356" s="169">
        <v>185000</v>
      </c>
    </row>
    <row r="357" spans="1:8" ht="15" customHeight="1">
      <c r="A357" s="3">
        <v>40679</v>
      </c>
      <c r="B357" s="129">
        <v>113976</v>
      </c>
      <c r="C357" s="140">
        <v>24100</v>
      </c>
      <c r="D357" s="138">
        <v>24010</v>
      </c>
      <c r="E357" s="19">
        <f t="shared" si="38"/>
        <v>-630</v>
      </c>
      <c r="F357" s="213"/>
      <c r="G357" s="213"/>
      <c r="H357" s="169">
        <v>183750</v>
      </c>
    </row>
    <row r="358" spans="1:8" ht="15" customHeight="1">
      <c r="A358" s="3">
        <v>40680</v>
      </c>
      <c r="B358" s="129">
        <v>114228</v>
      </c>
      <c r="C358" s="140">
        <v>24410</v>
      </c>
      <c r="D358" s="138">
        <v>24475</v>
      </c>
      <c r="E358" s="19">
        <f t="shared" si="38"/>
        <v>310</v>
      </c>
      <c r="F358" s="213"/>
      <c r="G358" s="213"/>
      <c r="H358" s="169">
        <v>183500</v>
      </c>
    </row>
    <row r="359" spans="1:8" ht="15" customHeight="1">
      <c r="A359" s="3">
        <v>40681</v>
      </c>
      <c r="B359" s="129">
        <v>114018</v>
      </c>
      <c r="C359" s="140">
        <v>24475</v>
      </c>
      <c r="D359" s="138">
        <v>24495</v>
      </c>
      <c r="E359" s="19">
        <f t="shared" si="38"/>
        <v>65</v>
      </c>
      <c r="F359" s="213"/>
      <c r="G359" s="213"/>
      <c r="H359" s="169">
        <v>184500</v>
      </c>
    </row>
    <row r="360" spans="1:8" ht="15" customHeight="1">
      <c r="A360" s="3">
        <v>40682</v>
      </c>
      <c r="B360" s="129">
        <v>113970</v>
      </c>
      <c r="C360" s="140">
        <v>24210</v>
      </c>
      <c r="D360" s="138">
        <v>24180</v>
      </c>
      <c r="E360" s="19">
        <f t="shared" si="38"/>
        <v>-265</v>
      </c>
      <c r="F360" s="213"/>
      <c r="G360" s="213"/>
      <c r="H360" s="169">
        <v>185500</v>
      </c>
    </row>
    <row r="361" spans="1:8" ht="15" customHeight="1">
      <c r="A361" s="3">
        <v>40683</v>
      </c>
      <c r="B361" s="129">
        <v>113568</v>
      </c>
      <c r="C361" s="140">
        <v>23475</v>
      </c>
      <c r="D361" s="138">
        <v>23425</v>
      </c>
      <c r="E361" s="19">
        <f t="shared" ref="E361:E366" si="39">+C361-C360</f>
        <v>-735</v>
      </c>
      <c r="F361" s="213"/>
      <c r="G361" s="213"/>
      <c r="H361" s="169">
        <v>181150</v>
      </c>
    </row>
    <row r="362" spans="1:8" ht="15" customHeight="1">
      <c r="A362" s="3">
        <v>40686</v>
      </c>
      <c r="B362" s="129">
        <v>115086</v>
      </c>
      <c r="C362" s="140">
        <v>22610</v>
      </c>
      <c r="D362" s="138">
        <v>22650</v>
      </c>
      <c r="E362" s="19">
        <f t="shared" si="39"/>
        <v>-865</v>
      </c>
      <c r="F362" s="213"/>
      <c r="G362" s="213"/>
      <c r="H362" s="169">
        <v>178750</v>
      </c>
    </row>
    <row r="363" spans="1:8" ht="15" customHeight="1">
      <c r="A363" s="3">
        <v>40687</v>
      </c>
      <c r="B363" s="129">
        <v>114906</v>
      </c>
      <c r="C363" s="140">
        <v>22845</v>
      </c>
      <c r="D363" s="138">
        <v>22775</v>
      </c>
      <c r="E363" s="19">
        <f t="shared" si="39"/>
        <v>235</v>
      </c>
      <c r="F363" s="213"/>
      <c r="G363" s="213"/>
      <c r="H363" s="169">
        <v>172750</v>
      </c>
    </row>
    <row r="364" spans="1:8" ht="15" customHeight="1">
      <c r="A364" s="3">
        <v>40688</v>
      </c>
      <c r="B364" s="129">
        <v>114750</v>
      </c>
      <c r="C364" s="140">
        <v>23425</v>
      </c>
      <c r="D364" s="138">
        <v>23399</v>
      </c>
      <c r="E364" s="19">
        <f t="shared" si="39"/>
        <v>580</v>
      </c>
      <c r="F364" s="213"/>
      <c r="G364" s="213"/>
      <c r="H364" s="169">
        <v>173750</v>
      </c>
    </row>
    <row r="365" spans="1:8" ht="15" customHeight="1">
      <c r="A365" s="3">
        <v>40689</v>
      </c>
      <c r="B365" s="129">
        <v>114528</v>
      </c>
      <c r="C365" s="140">
        <v>23075</v>
      </c>
      <c r="D365" s="138">
        <v>23100</v>
      </c>
      <c r="E365" s="19">
        <f t="shared" si="39"/>
        <v>-350</v>
      </c>
      <c r="F365" s="213"/>
      <c r="G365" s="213"/>
      <c r="H365" s="169">
        <v>175750</v>
      </c>
    </row>
    <row r="366" spans="1:8" ht="15" customHeight="1">
      <c r="A366" s="3">
        <v>40690</v>
      </c>
      <c r="B366" s="129">
        <v>114372</v>
      </c>
      <c r="C366" s="140">
        <v>23125</v>
      </c>
      <c r="D366" s="138">
        <v>23125</v>
      </c>
      <c r="E366" s="19">
        <f t="shared" si="39"/>
        <v>50</v>
      </c>
      <c r="F366" s="213"/>
      <c r="G366" s="213"/>
      <c r="H366" s="169">
        <v>174250</v>
      </c>
    </row>
    <row r="367" spans="1:8" ht="15" customHeight="1">
      <c r="A367" s="3">
        <v>40693</v>
      </c>
      <c r="B367" s="1069" t="s">
        <v>71</v>
      </c>
      <c r="C367" s="1069"/>
      <c r="D367" s="1069"/>
      <c r="E367" s="1069"/>
      <c r="F367" s="218"/>
      <c r="G367" s="218"/>
      <c r="H367" s="169">
        <v>175500</v>
      </c>
    </row>
    <row r="368" spans="1:8" ht="15" customHeight="1" thickBot="1">
      <c r="A368" s="12">
        <v>40694</v>
      </c>
      <c r="B368" s="142">
        <v>114102</v>
      </c>
      <c r="C368" s="143">
        <v>23155</v>
      </c>
      <c r="D368" s="144">
        <v>23250</v>
      </c>
      <c r="E368" s="20">
        <f>+C368-C366</f>
        <v>30</v>
      </c>
      <c r="F368" s="171">
        <f>AVERAGE(C348:C368)</f>
        <v>24210</v>
      </c>
      <c r="G368" s="165">
        <f>AVERAGE(C263:C366)</f>
        <v>26296.05</v>
      </c>
      <c r="H368" s="170">
        <v>175500</v>
      </c>
    </row>
    <row r="369" spans="1:8" ht="15" customHeight="1">
      <c r="A369" s="36">
        <v>40695</v>
      </c>
      <c r="B369" s="152">
        <v>114894</v>
      </c>
      <c r="C369" s="153">
        <v>23335</v>
      </c>
      <c r="D369" s="154">
        <v>23400</v>
      </c>
      <c r="E369" s="21">
        <f t="shared" ref="E369:E374" si="40">+C369-C368</f>
        <v>180</v>
      </c>
      <c r="F369" s="216"/>
      <c r="G369" s="216"/>
      <c r="H369" s="168">
        <v>175750</v>
      </c>
    </row>
    <row r="370" spans="1:8" ht="15" customHeight="1">
      <c r="A370" s="3">
        <v>40696</v>
      </c>
      <c r="B370" s="129">
        <v>114594</v>
      </c>
      <c r="C370" s="140">
        <v>22955</v>
      </c>
      <c r="D370" s="138">
        <v>23035</v>
      </c>
      <c r="E370" s="19">
        <f t="shared" si="40"/>
        <v>-380</v>
      </c>
      <c r="F370" s="213"/>
      <c r="G370" s="213"/>
      <c r="H370" s="169">
        <v>175000</v>
      </c>
    </row>
    <row r="371" spans="1:8" ht="15" customHeight="1">
      <c r="A371" s="3">
        <v>40697</v>
      </c>
      <c r="B371" s="129">
        <v>114852</v>
      </c>
      <c r="C371" s="140">
        <v>22540</v>
      </c>
      <c r="D371" s="138">
        <v>22575</v>
      </c>
      <c r="E371" s="19">
        <f t="shared" si="40"/>
        <v>-415</v>
      </c>
      <c r="F371" s="213"/>
      <c r="G371" s="213"/>
      <c r="H371" s="169">
        <v>173500</v>
      </c>
    </row>
    <row r="372" spans="1:8" ht="15" customHeight="1">
      <c r="A372" s="3">
        <v>40700</v>
      </c>
      <c r="B372" s="129">
        <v>115392</v>
      </c>
      <c r="C372" s="140">
        <v>22610</v>
      </c>
      <c r="D372" s="138">
        <v>22605</v>
      </c>
      <c r="E372" s="19">
        <f t="shared" si="40"/>
        <v>70</v>
      </c>
      <c r="F372" s="213"/>
      <c r="G372" s="213"/>
      <c r="H372" s="217" t="s">
        <v>77</v>
      </c>
    </row>
    <row r="373" spans="1:8" ht="15" customHeight="1">
      <c r="A373" s="3">
        <v>40701</v>
      </c>
      <c r="B373" s="129">
        <v>115116</v>
      </c>
      <c r="C373" s="140">
        <v>22585</v>
      </c>
      <c r="D373" s="138">
        <v>22600</v>
      </c>
      <c r="E373" s="19">
        <f t="shared" si="40"/>
        <v>-25</v>
      </c>
      <c r="F373" s="213"/>
      <c r="G373" s="213"/>
      <c r="H373" s="169">
        <v>172750</v>
      </c>
    </row>
    <row r="374" spans="1:8" ht="15" customHeight="1">
      <c r="A374" s="3">
        <v>40702</v>
      </c>
      <c r="B374" s="129">
        <v>115134</v>
      </c>
      <c r="C374" s="140">
        <v>22455</v>
      </c>
      <c r="D374" s="138">
        <v>22475</v>
      </c>
      <c r="E374" s="19">
        <f t="shared" si="40"/>
        <v>-130</v>
      </c>
      <c r="F374" s="213"/>
      <c r="G374" s="213"/>
      <c r="H374" s="169">
        <v>172750</v>
      </c>
    </row>
    <row r="375" spans="1:8" ht="15" customHeight="1">
      <c r="A375" s="3">
        <v>40703</v>
      </c>
      <c r="B375" s="129">
        <v>114162</v>
      </c>
      <c r="C375" s="140">
        <v>22505</v>
      </c>
      <c r="D375" s="138">
        <v>22600</v>
      </c>
      <c r="E375" s="19">
        <f t="shared" ref="E375:E380" si="41">+C375-C374</f>
        <v>50</v>
      </c>
      <c r="F375" s="213"/>
      <c r="G375" s="213"/>
      <c r="H375" s="169">
        <v>172500</v>
      </c>
    </row>
    <row r="376" spans="1:8" ht="15" customHeight="1">
      <c r="A376" s="3">
        <v>40704</v>
      </c>
      <c r="B376" s="129">
        <v>112926</v>
      </c>
      <c r="C376" s="140">
        <v>22885</v>
      </c>
      <c r="D376" s="138">
        <v>22905</v>
      </c>
      <c r="E376" s="19">
        <f t="shared" si="41"/>
        <v>380</v>
      </c>
      <c r="F376" s="213"/>
      <c r="G376" s="213"/>
      <c r="H376" s="169">
        <v>173250</v>
      </c>
    </row>
    <row r="377" spans="1:8" ht="15" customHeight="1">
      <c r="A377" s="3">
        <v>40707</v>
      </c>
      <c r="B377" s="129">
        <v>112536</v>
      </c>
      <c r="C377" s="140">
        <v>22250</v>
      </c>
      <c r="D377" s="138">
        <v>22230</v>
      </c>
      <c r="E377" s="19">
        <f t="shared" si="41"/>
        <v>-635</v>
      </c>
      <c r="F377" s="213"/>
      <c r="G377" s="213"/>
      <c r="H377" s="169">
        <v>172250</v>
      </c>
    </row>
    <row r="378" spans="1:8" ht="15" customHeight="1">
      <c r="A378" s="3">
        <v>40708</v>
      </c>
      <c r="B378" s="129">
        <v>112506</v>
      </c>
      <c r="C378" s="140">
        <v>22225</v>
      </c>
      <c r="D378" s="138">
        <v>22275</v>
      </c>
      <c r="E378" s="19">
        <f t="shared" si="41"/>
        <v>-25</v>
      </c>
      <c r="F378" s="213"/>
      <c r="G378" s="213"/>
      <c r="H378" s="169">
        <v>170500</v>
      </c>
    </row>
    <row r="379" spans="1:8" ht="15" customHeight="1">
      <c r="A379" s="3">
        <v>40709</v>
      </c>
      <c r="B379" s="129">
        <v>112266</v>
      </c>
      <c r="C379" s="140">
        <v>22275</v>
      </c>
      <c r="D379" s="138">
        <v>22300</v>
      </c>
      <c r="E379" s="19">
        <f t="shared" si="41"/>
        <v>50</v>
      </c>
      <c r="F379" s="213"/>
      <c r="G379" s="213"/>
      <c r="H379" s="169">
        <v>170750</v>
      </c>
    </row>
    <row r="380" spans="1:8" ht="15" customHeight="1">
      <c r="A380" s="3">
        <v>40710</v>
      </c>
      <c r="B380" s="129">
        <v>111744</v>
      </c>
      <c r="C380" s="140">
        <v>21715</v>
      </c>
      <c r="D380" s="138">
        <v>21775</v>
      </c>
      <c r="E380" s="19">
        <f t="shared" si="41"/>
        <v>-560</v>
      </c>
      <c r="F380" s="213"/>
      <c r="G380" s="213"/>
      <c r="H380" s="169">
        <v>169500</v>
      </c>
    </row>
    <row r="381" spans="1:8" ht="15" customHeight="1">
      <c r="A381" s="3">
        <v>40711</v>
      </c>
      <c r="B381" s="129">
        <v>111396</v>
      </c>
      <c r="C381" s="140">
        <v>21910</v>
      </c>
      <c r="D381" s="138">
        <v>21905</v>
      </c>
      <c r="E381" s="19">
        <f t="shared" ref="E381:E386" si="42">+C381-C380</f>
        <v>195</v>
      </c>
      <c r="F381" s="213"/>
      <c r="G381" s="213"/>
      <c r="H381" s="169">
        <v>167750</v>
      </c>
    </row>
    <row r="382" spans="1:8" ht="15" customHeight="1">
      <c r="A382" s="3">
        <v>40714</v>
      </c>
      <c r="B382" s="129">
        <v>110880</v>
      </c>
      <c r="C382" s="140">
        <v>21410</v>
      </c>
      <c r="D382" s="138">
        <v>21430</v>
      </c>
      <c r="E382" s="19">
        <f t="shared" si="42"/>
        <v>-500</v>
      </c>
      <c r="F382" s="213"/>
      <c r="G382" s="213"/>
      <c r="H382" s="169">
        <v>167750</v>
      </c>
    </row>
    <row r="383" spans="1:8" ht="15" customHeight="1">
      <c r="A383" s="3">
        <v>40715</v>
      </c>
      <c r="B383" s="129">
        <v>110574</v>
      </c>
      <c r="C383" s="140">
        <v>21955</v>
      </c>
      <c r="D383" s="138">
        <v>21960</v>
      </c>
      <c r="E383" s="19">
        <f t="shared" si="42"/>
        <v>545</v>
      </c>
      <c r="F383" s="213"/>
      <c r="G383" s="213"/>
      <c r="H383" s="169">
        <v>164750</v>
      </c>
    </row>
    <row r="384" spans="1:8" ht="15" customHeight="1">
      <c r="A384" s="3">
        <v>40716</v>
      </c>
      <c r="B384" s="129">
        <v>109968</v>
      </c>
      <c r="C384" s="140">
        <v>21875</v>
      </c>
      <c r="D384" s="138">
        <v>21925</v>
      </c>
      <c r="E384" s="19">
        <f t="shared" si="42"/>
        <v>-80</v>
      </c>
      <c r="F384" s="213"/>
      <c r="G384" s="213"/>
      <c r="H384" s="169">
        <v>164750</v>
      </c>
    </row>
    <row r="385" spans="1:8" ht="15" customHeight="1">
      <c r="A385" s="3">
        <v>40717</v>
      </c>
      <c r="B385" s="129">
        <v>109614</v>
      </c>
      <c r="C385" s="140">
        <v>21925</v>
      </c>
      <c r="D385" s="138">
        <v>21950</v>
      </c>
      <c r="E385" s="19">
        <f t="shared" si="42"/>
        <v>50</v>
      </c>
      <c r="F385" s="213"/>
      <c r="G385" s="213"/>
      <c r="H385" s="169">
        <v>164500</v>
      </c>
    </row>
    <row r="386" spans="1:8" ht="15" customHeight="1">
      <c r="A386" s="3">
        <v>40718</v>
      </c>
      <c r="B386" s="129">
        <v>109872</v>
      </c>
      <c r="C386" s="140">
        <v>21930</v>
      </c>
      <c r="D386" s="138">
        <v>22000</v>
      </c>
      <c r="E386" s="19">
        <f t="shared" si="42"/>
        <v>5</v>
      </c>
      <c r="F386" s="213"/>
      <c r="G386" s="213"/>
      <c r="H386" s="169">
        <v>164000</v>
      </c>
    </row>
    <row r="387" spans="1:8" ht="15" customHeight="1">
      <c r="A387" s="3">
        <v>40721</v>
      </c>
      <c r="B387" s="129">
        <v>109554</v>
      </c>
      <c r="C387" s="140">
        <v>21950</v>
      </c>
      <c r="D387" s="138">
        <v>22050</v>
      </c>
      <c r="E387" s="19">
        <f t="shared" ref="E387:E392" si="43">+C387-C386</f>
        <v>20</v>
      </c>
      <c r="F387" s="213"/>
      <c r="G387" s="213"/>
      <c r="H387" s="169">
        <v>164000</v>
      </c>
    </row>
    <row r="388" spans="1:8" ht="15" customHeight="1">
      <c r="A388" s="3">
        <v>40722</v>
      </c>
      <c r="B388" s="129">
        <v>108636</v>
      </c>
      <c r="C388" s="140">
        <v>22490</v>
      </c>
      <c r="D388" s="138">
        <v>22505</v>
      </c>
      <c r="E388" s="19">
        <f t="shared" si="43"/>
        <v>540</v>
      </c>
      <c r="F388" s="213"/>
      <c r="G388" s="213"/>
      <c r="H388" s="169">
        <v>164000</v>
      </c>
    </row>
    <row r="389" spans="1:8" ht="15" customHeight="1">
      <c r="A389" s="3">
        <v>40723</v>
      </c>
      <c r="B389" s="129">
        <v>107796</v>
      </c>
      <c r="C389" s="140">
        <v>22885</v>
      </c>
      <c r="D389" s="138">
        <v>22905</v>
      </c>
      <c r="E389" s="19">
        <f t="shared" si="43"/>
        <v>395</v>
      </c>
      <c r="F389" s="213"/>
      <c r="G389" s="213"/>
      <c r="H389" s="169">
        <v>165500</v>
      </c>
    </row>
    <row r="390" spans="1:8" ht="15" customHeight="1" thickBot="1">
      <c r="A390" s="12">
        <v>40724</v>
      </c>
      <c r="B390" s="142">
        <v>107148</v>
      </c>
      <c r="C390" s="143">
        <v>23125</v>
      </c>
      <c r="D390" s="144">
        <v>23160</v>
      </c>
      <c r="E390" s="20">
        <f t="shared" si="43"/>
        <v>240</v>
      </c>
      <c r="F390" s="171">
        <f>AVERAGE(C369:C390)</f>
        <v>22354.090909090908</v>
      </c>
      <c r="G390" s="165">
        <f>AVERAGE(C263:C390)</f>
        <v>25565.447154471545</v>
      </c>
      <c r="H390" s="170">
        <v>166500</v>
      </c>
    </row>
    <row r="391" spans="1:8" ht="15" customHeight="1">
      <c r="A391" s="36">
        <v>40725</v>
      </c>
      <c r="B391" s="152">
        <v>106836</v>
      </c>
      <c r="C391" s="153">
        <v>23115</v>
      </c>
      <c r="D391" s="154">
        <v>23150</v>
      </c>
      <c r="E391" s="21">
        <f t="shared" si="43"/>
        <v>-10</v>
      </c>
      <c r="F391" s="216"/>
      <c r="G391" s="216"/>
      <c r="H391" s="168">
        <v>168500</v>
      </c>
    </row>
    <row r="392" spans="1:8" ht="15" customHeight="1">
      <c r="A392" s="3">
        <v>40728</v>
      </c>
      <c r="B392" s="129">
        <v>106398</v>
      </c>
      <c r="C392" s="140">
        <v>23100</v>
      </c>
      <c r="D392" s="138">
        <v>23100</v>
      </c>
      <c r="E392" s="19">
        <f t="shared" si="43"/>
        <v>-15</v>
      </c>
      <c r="F392" s="213"/>
      <c r="G392" s="213"/>
      <c r="H392" s="169">
        <v>168500</v>
      </c>
    </row>
    <row r="393" spans="1:8" ht="15" customHeight="1">
      <c r="A393" s="3">
        <v>40729</v>
      </c>
      <c r="B393" s="129">
        <v>105804</v>
      </c>
      <c r="C393" s="140">
        <v>23105</v>
      </c>
      <c r="D393" s="138">
        <v>23160</v>
      </c>
      <c r="E393" s="19">
        <f t="shared" ref="E393:E398" si="44">+C393-C392</f>
        <v>5</v>
      </c>
      <c r="F393" s="213"/>
      <c r="G393" s="213"/>
      <c r="H393" s="169">
        <v>169000</v>
      </c>
    </row>
    <row r="394" spans="1:8" ht="15" customHeight="1">
      <c r="A394" s="3">
        <v>40730</v>
      </c>
      <c r="B394" s="129">
        <v>105480</v>
      </c>
      <c r="C394" s="140">
        <v>23210</v>
      </c>
      <c r="D394" s="138">
        <v>23255</v>
      </c>
      <c r="E394" s="19">
        <f t="shared" si="44"/>
        <v>105</v>
      </c>
      <c r="F394" s="213"/>
      <c r="G394" s="213"/>
      <c r="H394" s="169">
        <v>169500</v>
      </c>
    </row>
    <row r="395" spans="1:8" ht="15" customHeight="1">
      <c r="A395" s="3">
        <v>40731</v>
      </c>
      <c r="B395" s="129">
        <v>104682</v>
      </c>
      <c r="C395" s="140">
        <v>23375</v>
      </c>
      <c r="D395" s="138">
        <v>23360</v>
      </c>
      <c r="E395" s="19">
        <f t="shared" si="44"/>
        <v>165</v>
      </c>
      <c r="F395" s="213"/>
      <c r="G395" s="213"/>
      <c r="H395" s="169">
        <v>169500</v>
      </c>
    </row>
    <row r="396" spans="1:8" ht="15" customHeight="1">
      <c r="A396" s="3">
        <v>40732</v>
      </c>
      <c r="B396" s="129">
        <v>104370</v>
      </c>
      <c r="C396" s="140">
        <v>24060</v>
      </c>
      <c r="D396" s="138">
        <v>24105</v>
      </c>
      <c r="E396" s="19">
        <f t="shared" si="44"/>
        <v>685</v>
      </c>
      <c r="F396" s="213"/>
      <c r="G396" s="213"/>
      <c r="H396" s="169">
        <v>173500</v>
      </c>
    </row>
    <row r="397" spans="1:8" ht="15" customHeight="1">
      <c r="A397" s="3">
        <v>40735</v>
      </c>
      <c r="B397" s="129">
        <v>104226</v>
      </c>
      <c r="C397" s="140">
        <v>23410</v>
      </c>
      <c r="D397" s="138">
        <v>23440</v>
      </c>
      <c r="E397" s="19">
        <f t="shared" si="44"/>
        <v>-650</v>
      </c>
      <c r="F397" s="213"/>
      <c r="G397" s="213"/>
      <c r="H397" s="169">
        <v>172750</v>
      </c>
    </row>
    <row r="398" spans="1:8" ht="15" customHeight="1">
      <c r="A398" s="3">
        <v>40736</v>
      </c>
      <c r="B398" s="129">
        <v>104106</v>
      </c>
      <c r="C398" s="140">
        <v>23080</v>
      </c>
      <c r="D398" s="138">
        <v>23105</v>
      </c>
      <c r="E398" s="19">
        <f t="shared" si="44"/>
        <v>-330</v>
      </c>
      <c r="F398" s="213"/>
      <c r="G398" s="213"/>
      <c r="H398" s="169">
        <v>170750</v>
      </c>
    </row>
    <row r="399" spans="1:8" ht="15" customHeight="1">
      <c r="A399" s="3">
        <v>40737</v>
      </c>
      <c r="B399" s="129">
        <v>103854</v>
      </c>
      <c r="C399" s="140">
        <v>23710</v>
      </c>
      <c r="D399" s="138">
        <v>23735</v>
      </c>
      <c r="E399" s="19">
        <f t="shared" ref="E399:E406" si="45">+C399-C398</f>
        <v>630</v>
      </c>
      <c r="F399" s="213"/>
      <c r="G399" s="213"/>
      <c r="H399" s="169">
        <v>172250</v>
      </c>
    </row>
    <row r="400" spans="1:8" ht="15" customHeight="1">
      <c r="A400" s="3">
        <v>40738</v>
      </c>
      <c r="B400" s="129">
        <v>103644</v>
      </c>
      <c r="C400" s="140">
        <v>23840</v>
      </c>
      <c r="D400" s="138">
        <v>23870</v>
      </c>
      <c r="E400" s="19">
        <f t="shared" si="45"/>
        <v>130</v>
      </c>
      <c r="F400" s="213"/>
      <c r="G400" s="213"/>
      <c r="H400" s="169">
        <v>174250</v>
      </c>
    </row>
    <row r="401" spans="1:8" ht="15" customHeight="1">
      <c r="A401" s="3">
        <v>40739</v>
      </c>
      <c r="B401" s="129">
        <v>103194</v>
      </c>
      <c r="C401" s="140">
        <v>24060</v>
      </c>
      <c r="D401" s="138">
        <v>24100</v>
      </c>
      <c r="E401" s="19">
        <f t="shared" si="45"/>
        <v>220</v>
      </c>
      <c r="F401" s="213"/>
      <c r="G401" s="213"/>
      <c r="H401" s="169">
        <v>174500</v>
      </c>
    </row>
    <row r="402" spans="1:8" ht="15" customHeight="1">
      <c r="A402" s="3">
        <v>40742</v>
      </c>
      <c r="B402" s="129">
        <v>102354</v>
      </c>
      <c r="C402" s="140">
        <v>23770</v>
      </c>
      <c r="D402" s="138">
        <v>23820</v>
      </c>
      <c r="E402" s="19">
        <f t="shared" si="45"/>
        <v>-290</v>
      </c>
      <c r="F402" s="213"/>
      <c r="G402" s="213"/>
      <c r="H402" s="169">
        <v>174500</v>
      </c>
    </row>
    <row r="403" spans="1:8" ht="15" customHeight="1">
      <c r="A403" s="3">
        <v>40743</v>
      </c>
      <c r="B403" s="129">
        <v>101586</v>
      </c>
      <c r="C403" s="140">
        <v>23955</v>
      </c>
      <c r="D403" s="138">
        <v>24025</v>
      </c>
      <c r="E403" s="19">
        <f t="shared" si="45"/>
        <v>185</v>
      </c>
      <c r="F403" s="213"/>
      <c r="G403" s="213"/>
      <c r="H403" s="169">
        <v>174500</v>
      </c>
    </row>
    <row r="404" spans="1:8" ht="15" customHeight="1">
      <c r="A404" s="3">
        <v>40744</v>
      </c>
      <c r="B404" s="129">
        <v>101928</v>
      </c>
      <c r="C404" s="140">
        <v>23905</v>
      </c>
      <c r="D404" s="138">
        <v>23955</v>
      </c>
      <c r="E404" s="19">
        <f t="shared" si="45"/>
        <v>-50</v>
      </c>
      <c r="F404" s="213"/>
      <c r="G404" s="213"/>
      <c r="H404" s="169">
        <v>175000</v>
      </c>
    </row>
    <row r="405" spans="1:8" ht="15" customHeight="1">
      <c r="A405" s="3">
        <v>40745</v>
      </c>
      <c r="B405" s="129">
        <v>101574</v>
      </c>
      <c r="C405" s="140">
        <v>23720</v>
      </c>
      <c r="D405" s="138">
        <v>23755</v>
      </c>
      <c r="E405" s="19">
        <f t="shared" si="45"/>
        <v>-185</v>
      </c>
      <c r="F405" s="213"/>
      <c r="G405" s="213"/>
      <c r="H405" s="169">
        <v>175000</v>
      </c>
    </row>
    <row r="406" spans="1:8" ht="15" customHeight="1">
      <c r="A406" s="3">
        <v>40746</v>
      </c>
      <c r="B406" s="129">
        <v>101418</v>
      </c>
      <c r="C406" s="140">
        <v>24060</v>
      </c>
      <c r="D406" s="138">
        <v>24150</v>
      </c>
      <c r="E406" s="19">
        <f t="shared" si="45"/>
        <v>340</v>
      </c>
      <c r="F406" s="213"/>
      <c r="G406" s="213"/>
      <c r="H406" s="169">
        <v>174500</v>
      </c>
    </row>
    <row r="407" spans="1:8" ht="15" customHeight="1">
      <c r="A407" s="3">
        <v>40749</v>
      </c>
      <c r="B407" s="129">
        <v>101706</v>
      </c>
      <c r="C407" s="140">
        <v>23780</v>
      </c>
      <c r="D407" s="138">
        <v>23805</v>
      </c>
      <c r="E407" s="19">
        <f t="shared" ref="E407:E412" si="46">+C407-C406</f>
        <v>-280</v>
      </c>
      <c r="F407" s="213"/>
      <c r="G407" s="213"/>
      <c r="H407" s="169">
        <v>174500</v>
      </c>
    </row>
    <row r="408" spans="1:8" ht="15" customHeight="1">
      <c r="A408" s="3">
        <v>40750</v>
      </c>
      <c r="B408" s="129">
        <v>102486</v>
      </c>
      <c r="C408" s="140">
        <v>24175</v>
      </c>
      <c r="D408" s="138">
        <v>24200</v>
      </c>
      <c r="E408" s="19">
        <f t="shared" si="46"/>
        <v>395</v>
      </c>
      <c r="F408" s="213"/>
      <c r="G408" s="213"/>
      <c r="H408" s="169">
        <v>174500</v>
      </c>
    </row>
    <row r="409" spans="1:8" ht="15" customHeight="1">
      <c r="A409" s="3">
        <v>40751</v>
      </c>
      <c r="B409" s="129">
        <v>102996</v>
      </c>
      <c r="C409" s="140">
        <v>24055</v>
      </c>
      <c r="D409" s="138">
        <v>24145</v>
      </c>
      <c r="E409" s="19">
        <f t="shared" si="46"/>
        <v>-120</v>
      </c>
      <c r="F409" s="213"/>
      <c r="G409" s="213"/>
      <c r="H409" s="169">
        <v>175250</v>
      </c>
    </row>
    <row r="410" spans="1:8" ht="15" customHeight="1">
      <c r="A410" s="3">
        <v>40752</v>
      </c>
      <c r="B410" s="129">
        <v>102930</v>
      </c>
      <c r="C410" s="140">
        <v>24370</v>
      </c>
      <c r="D410" s="138">
        <v>24425</v>
      </c>
      <c r="E410" s="19">
        <f t="shared" si="46"/>
        <v>315</v>
      </c>
      <c r="F410" s="213"/>
      <c r="G410" s="213"/>
      <c r="H410" s="169">
        <v>176000</v>
      </c>
    </row>
    <row r="411" spans="1:8" ht="15" customHeight="1" thickBot="1">
      <c r="A411" s="12">
        <v>40753</v>
      </c>
      <c r="B411" s="142">
        <v>102540</v>
      </c>
      <c r="C411" s="143">
        <v>24500</v>
      </c>
      <c r="D411" s="144">
        <v>24525</v>
      </c>
      <c r="E411" s="20">
        <f t="shared" si="46"/>
        <v>130</v>
      </c>
      <c r="F411" s="171">
        <f>AVERAGE(C391:C411)</f>
        <v>23731.190476190477</v>
      </c>
      <c r="G411" s="165">
        <f>AVERAGE(C263:C411)</f>
        <v>25297.951388888891</v>
      </c>
      <c r="H411" s="170">
        <v>178250</v>
      </c>
    </row>
    <row r="412" spans="1:8" ht="15" customHeight="1">
      <c r="A412" s="36">
        <v>40756</v>
      </c>
      <c r="B412" s="152">
        <v>103098</v>
      </c>
      <c r="C412" s="153">
        <v>25080</v>
      </c>
      <c r="D412" s="154">
        <v>25135</v>
      </c>
      <c r="E412" s="21">
        <f t="shared" si="46"/>
        <v>580</v>
      </c>
      <c r="F412" s="216"/>
      <c r="G412" s="216"/>
      <c r="H412" s="168">
        <v>180500</v>
      </c>
    </row>
    <row r="413" spans="1:8" ht="15" customHeight="1">
      <c r="A413" s="3">
        <v>40757</v>
      </c>
      <c r="B413" s="129">
        <v>102942</v>
      </c>
      <c r="C413" s="140">
        <v>24515</v>
      </c>
      <c r="D413" s="138">
        <v>24525</v>
      </c>
      <c r="E413" s="19">
        <f t="shared" ref="E413:E418" si="47">+C413-C412</f>
        <v>-565</v>
      </c>
      <c r="F413" s="213"/>
      <c r="G413" s="213"/>
      <c r="H413" s="169">
        <v>180500</v>
      </c>
    </row>
    <row r="414" spans="1:8" ht="15" customHeight="1">
      <c r="A414" s="3">
        <v>40758</v>
      </c>
      <c r="B414" s="129">
        <v>102900</v>
      </c>
      <c r="C414" s="140">
        <v>23880</v>
      </c>
      <c r="D414" s="138">
        <v>23910</v>
      </c>
      <c r="E414" s="19">
        <f t="shared" si="47"/>
        <v>-635</v>
      </c>
      <c r="F414" s="213"/>
      <c r="G414" s="213"/>
      <c r="H414" s="169">
        <v>179750</v>
      </c>
    </row>
    <row r="415" spans="1:8" ht="15" customHeight="1">
      <c r="A415" s="3">
        <v>40759</v>
      </c>
      <c r="B415" s="129">
        <v>102780</v>
      </c>
      <c r="C415" s="140">
        <v>23580</v>
      </c>
      <c r="D415" s="138">
        <v>23580</v>
      </c>
      <c r="E415" s="19">
        <f t="shared" si="47"/>
        <v>-300</v>
      </c>
      <c r="F415" s="213"/>
      <c r="G415" s="213"/>
      <c r="H415" s="169">
        <v>177500</v>
      </c>
    </row>
    <row r="416" spans="1:8" ht="15" customHeight="1">
      <c r="A416" s="3">
        <v>40760</v>
      </c>
      <c r="B416" s="129">
        <v>102780</v>
      </c>
      <c r="C416" s="140">
        <v>23090</v>
      </c>
      <c r="D416" s="138">
        <v>23125</v>
      </c>
      <c r="E416" s="19">
        <f t="shared" si="47"/>
        <v>-490</v>
      </c>
      <c r="F416" s="213"/>
      <c r="G416" s="213"/>
      <c r="H416" s="169">
        <v>174000</v>
      </c>
    </row>
    <row r="417" spans="1:8" ht="15" customHeight="1">
      <c r="A417" s="3">
        <v>40763</v>
      </c>
      <c r="B417" s="129">
        <v>102576</v>
      </c>
      <c r="C417" s="140">
        <v>22300</v>
      </c>
      <c r="D417" s="138">
        <v>22300</v>
      </c>
      <c r="E417" s="19">
        <f t="shared" si="47"/>
        <v>-790</v>
      </c>
      <c r="F417" s="213"/>
      <c r="G417" s="213"/>
      <c r="H417" s="169">
        <v>168500</v>
      </c>
    </row>
    <row r="418" spans="1:8" ht="15" customHeight="1">
      <c r="A418" s="3">
        <v>40764</v>
      </c>
      <c r="B418" s="129">
        <v>102582</v>
      </c>
      <c r="C418" s="140">
        <v>21605</v>
      </c>
      <c r="D418" s="138">
        <v>21655</v>
      </c>
      <c r="E418" s="19">
        <f t="shared" si="47"/>
        <v>-695</v>
      </c>
      <c r="F418" s="213"/>
      <c r="G418" s="213"/>
      <c r="H418" s="169">
        <v>157750</v>
      </c>
    </row>
    <row r="419" spans="1:8" ht="15" customHeight="1">
      <c r="A419" s="3">
        <v>40765</v>
      </c>
      <c r="B419" s="129">
        <v>102876</v>
      </c>
      <c r="C419" s="140">
        <v>22055</v>
      </c>
      <c r="D419" s="138">
        <v>22075</v>
      </c>
      <c r="E419" s="19">
        <f t="shared" ref="E419:E424" si="48">+C419-C418</f>
        <v>450</v>
      </c>
      <c r="F419" s="213"/>
      <c r="G419" s="213"/>
      <c r="H419" s="169">
        <v>165500</v>
      </c>
    </row>
    <row r="420" spans="1:8" ht="15" customHeight="1">
      <c r="A420" s="3">
        <v>40766</v>
      </c>
      <c r="B420" s="129">
        <v>103500</v>
      </c>
      <c r="C420" s="140">
        <v>21225</v>
      </c>
      <c r="D420" s="138">
        <v>21225</v>
      </c>
      <c r="E420" s="19">
        <f t="shared" si="48"/>
        <v>-830</v>
      </c>
      <c r="F420" s="213"/>
      <c r="G420" s="213"/>
      <c r="H420" s="169">
        <v>164500</v>
      </c>
    </row>
    <row r="421" spans="1:8" ht="15" customHeight="1">
      <c r="A421" s="3">
        <v>40767</v>
      </c>
      <c r="B421" s="129">
        <v>103590</v>
      </c>
      <c r="C421" s="140">
        <v>21780</v>
      </c>
      <c r="D421" s="138">
        <v>21800</v>
      </c>
      <c r="E421" s="19">
        <f t="shared" si="48"/>
        <v>555</v>
      </c>
      <c r="F421" s="213"/>
      <c r="G421" s="213"/>
      <c r="H421" s="169">
        <v>165500</v>
      </c>
    </row>
    <row r="422" spans="1:8" ht="15" customHeight="1">
      <c r="A422" s="3">
        <v>40770</v>
      </c>
      <c r="B422" s="129">
        <v>103272</v>
      </c>
      <c r="C422" s="140">
        <v>21380</v>
      </c>
      <c r="D422" s="138">
        <v>21360</v>
      </c>
      <c r="E422" s="19">
        <f t="shared" si="48"/>
        <v>-400</v>
      </c>
      <c r="F422" s="213"/>
      <c r="G422" s="213"/>
      <c r="H422" s="169">
        <v>165000</v>
      </c>
    </row>
    <row r="423" spans="1:8" ht="15" customHeight="1">
      <c r="A423" s="3">
        <v>40771</v>
      </c>
      <c r="B423" s="129">
        <v>103278</v>
      </c>
      <c r="C423" s="140">
        <v>21600</v>
      </c>
      <c r="D423" s="138">
        <v>21555</v>
      </c>
      <c r="E423" s="19">
        <f t="shared" si="48"/>
        <v>220</v>
      </c>
      <c r="F423" s="213"/>
      <c r="G423" s="213"/>
      <c r="H423" s="169">
        <v>164500</v>
      </c>
    </row>
    <row r="424" spans="1:8" ht="15" customHeight="1">
      <c r="A424" s="3">
        <v>40772</v>
      </c>
      <c r="B424" s="129">
        <v>103254</v>
      </c>
      <c r="C424" s="140">
        <v>21605</v>
      </c>
      <c r="D424" s="138">
        <v>21655</v>
      </c>
      <c r="E424" s="19">
        <f t="shared" si="48"/>
        <v>5</v>
      </c>
      <c r="F424" s="213"/>
      <c r="G424" s="213"/>
      <c r="H424" s="169">
        <v>164500</v>
      </c>
    </row>
    <row r="425" spans="1:8" ht="15" customHeight="1">
      <c r="A425" s="3">
        <v>40773</v>
      </c>
      <c r="B425" s="129">
        <v>103092</v>
      </c>
      <c r="C425" s="140">
        <v>21550</v>
      </c>
      <c r="D425" s="138">
        <v>21580</v>
      </c>
      <c r="E425" s="19">
        <f t="shared" ref="E425:E430" si="49">+C425-C424</f>
        <v>-55</v>
      </c>
      <c r="F425" s="213"/>
      <c r="G425" s="213"/>
      <c r="H425" s="169">
        <v>164250</v>
      </c>
    </row>
    <row r="426" spans="1:8" ht="15" customHeight="1">
      <c r="A426" s="3">
        <v>40774</v>
      </c>
      <c r="B426" s="129">
        <v>103212</v>
      </c>
      <c r="C426" s="140">
        <v>21575</v>
      </c>
      <c r="D426" s="138">
        <v>21510</v>
      </c>
      <c r="E426" s="19">
        <f t="shared" si="49"/>
        <v>25</v>
      </c>
      <c r="F426" s="213"/>
      <c r="G426" s="213"/>
      <c r="H426" s="169">
        <v>162500</v>
      </c>
    </row>
    <row r="427" spans="1:8" ht="15" customHeight="1">
      <c r="A427" s="3">
        <v>40777</v>
      </c>
      <c r="B427" s="129">
        <v>103362</v>
      </c>
      <c r="C427" s="140">
        <v>21075</v>
      </c>
      <c r="D427" s="138">
        <v>21100</v>
      </c>
      <c r="E427" s="19">
        <f t="shared" si="49"/>
        <v>-500</v>
      </c>
      <c r="F427" s="213"/>
      <c r="G427" s="213"/>
      <c r="H427" s="169">
        <v>162000</v>
      </c>
    </row>
    <row r="428" spans="1:8" ht="15" customHeight="1">
      <c r="A428" s="3">
        <v>40778</v>
      </c>
      <c r="B428" s="129">
        <v>103266</v>
      </c>
      <c r="C428" s="140">
        <v>20965</v>
      </c>
      <c r="D428" s="138">
        <v>21030</v>
      </c>
      <c r="E428" s="19">
        <f t="shared" si="49"/>
        <v>-110</v>
      </c>
      <c r="F428" s="213"/>
      <c r="G428" s="213"/>
      <c r="H428" s="169">
        <v>160000</v>
      </c>
    </row>
    <row r="429" spans="1:8" ht="15" customHeight="1">
      <c r="A429" s="3">
        <v>40779</v>
      </c>
      <c r="B429" s="129">
        <v>103926</v>
      </c>
      <c r="C429" s="140">
        <v>20820</v>
      </c>
      <c r="D429" s="138">
        <v>20830</v>
      </c>
      <c r="E429" s="19">
        <f t="shared" si="49"/>
        <v>-145</v>
      </c>
      <c r="F429" s="213"/>
      <c r="G429" s="213"/>
      <c r="H429" s="169">
        <v>159000</v>
      </c>
    </row>
    <row r="430" spans="1:8" ht="15" customHeight="1">
      <c r="A430" s="3">
        <v>40780</v>
      </c>
      <c r="B430" s="129">
        <v>104010</v>
      </c>
      <c r="C430" s="140">
        <v>21050</v>
      </c>
      <c r="D430" s="138">
        <v>21100</v>
      </c>
      <c r="E430" s="19">
        <f t="shared" si="49"/>
        <v>230</v>
      </c>
      <c r="F430" s="213"/>
      <c r="G430" s="213"/>
      <c r="H430" s="169">
        <v>159000</v>
      </c>
    </row>
    <row r="431" spans="1:8" ht="15" customHeight="1">
      <c r="A431" s="3">
        <v>40781</v>
      </c>
      <c r="B431" s="129">
        <v>105018</v>
      </c>
      <c r="C431" s="140">
        <v>21255</v>
      </c>
      <c r="D431" s="138">
        <v>21275</v>
      </c>
      <c r="E431" s="19">
        <f>+C431-C430</f>
        <v>205</v>
      </c>
      <c r="F431" s="213"/>
      <c r="G431" s="213"/>
      <c r="H431" s="169">
        <v>159000</v>
      </c>
    </row>
    <row r="432" spans="1:8" ht="15" customHeight="1">
      <c r="A432" s="3">
        <v>40784</v>
      </c>
      <c r="B432" s="1069" t="s">
        <v>71</v>
      </c>
      <c r="C432" s="1069"/>
      <c r="D432" s="1069"/>
      <c r="E432" s="1069"/>
      <c r="F432" s="218"/>
      <c r="G432" s="218"/>
      <c r="H432" s="169">
        <v>161500</v>
      </c>
    </row>
    <row r="433" spans="1:8" ht="15" customHeight="1">
      <c r="A433" s="3">
        <v>40785</v>
      </c>
      <c r="B433" s="129">
        <v>105780</v>
      </c>
      <c r="C433" s="140">
        <v>21810</v>
      </c>
      <c r="D433" s="138">
        <v>21805</v>
      </c>
      <c r="E433" s="19">
        <f>+C433-C431</f>
        <v>555</v>
      </c>
      <c r="F433" s="213"/>
      <c r="G433" s="213"/>
      <c r="H433" s="169">
        <v>162000</v>
      </c>
    </row>
    <row r="434" spans="1:8" ht="15" customHeight="1" thickBot="1">
      <c r="A434" s="12">
        <v>40786</v>
      </c>
      <c r="B434" s="142">
        <v>103800</v>
      </c>
      <c r="C434" s="143">
        <v>22050</v>
      </c>
      <c r="D434" s="144">
        <v>22075</v>
      </c>
      <c r="E434" s="20">
        <f t="shared" ref="E434:E439" si="50">+C434-C433</f>
        <v>240</v>
      </c>
      <c r="F434" s="171">
        <f>AVERAGE(C412:C434)</f>
        <v>22083.863636363636</v>
      </c>
      <c r="G434" s="165">
        <f>AVERAGE(C263:C434)</f>
        <v>24871.98795180723</v>
      </c>
      <c r="H434" s="170">
        <v>163000</v>
      </c>
    </row>
    <row r="435" spans="1:8" ht="15" customHeight="1">
      <c r="A435" s="36">
        <v>40787</v>
      </c>
      <c r="B435" s="152">
        <v>104502</v>
      </c>
      <c r="C435" s="153">
        <v>21775</v>
      </c>
      <c r="D435" s="154">
        <v>21820</v>
      </c>
      <c r="E435" s="21">
        <f t="shared" si="50"/>
        <v>-275</v>
      </c>
      <c r="F435" s="216"/>
      <c r="G435" s="216"/>
      <c r="H435" s="168">
        <v>164500</v>
      </c>
    </row>
    <row r="436" spans="1:8" ht="15" customHeight="1">
      <c r="A436" s="3">
        <v>40788</v>
      </c>
      <c r="B436" s="129">
        <v>103290</v>
      </c>
      <c r="C436" s="140">
        <v>21570</v>
      </c>
      <c r="D436" s="138">
        <v>21605</v>
      </c>
      <c r="E436" s="19">
        <f t="shared" si="50"/>
        <v>-205</v>
      </c>
      <c r="F436" s="213"/>
      <c r="G436" s="213"/>
      <c r="H436" s="169">
        <v>163000</v>
      </c>
    </row>
    <row r="437" spans="1:8" ht="15" customHeight="1">
      <c r="A437" s="3">
        <v>40791</v>
      </c>
      <c r="B437" s="129">
        <v>102408</v>
      </c>
      <c r="C437" s="140">
        <v>21030</v>
      </c>
      <c r="D437" s="138">
        <v>21075</v>
      </c>
      <c r="E437" s="19">
        <f t="shared" si="50"/>
        <v>-540</v>
      </c>
      <c r="F437" s="213"/>
      <c r="G437" s="213"/>
      <c r="H437" s="169">
        <v>161500</v>
      </c>
    </row>
    <row r="438" spans="1:8" ht="15" customHeight="1">
      <c r="A438" s="3">
        <v>40792</v>
      </c>
      <c r="B438" s="129">
        <v>101610</v>
      </c>
      <c r="C438" s="140">
        <v>20625</v>
      </c>
      <c r="D438" s="138">
        <v>20625</v>
      </c>
      <c r="E438" s="19">
        <f t="shared" si="50"/>
        <v>-405</v>
      </c>
      <c r="F438" s="213"/>
      <c r="G438" s="213"/>
      <c r="H438" s="169">
        <v>159250</v>
      </c>
    </row>
    <row r="439" spans="1:8" ht="15" customHeight="1">
      <c r="A439" s="3">
        <v>40793</v>
      </c>
      <c r="B439" s="129">
        <v>100458</v>
      </c>
      <c r="C439" s="140">
        <v>21160</v>
      </c>
      <c r="D439" s="138">
        <v>21225</v>
      </c>
      <c r="E439" s="19">
        <f t="shared" si="50"/>
        <v>535</v>
      </c>
      <c r="F439" s="213"/>
      <c r="G439" s="213"/>
      <c r="H439" s="169">
        <v>159000</v>
      </c>
    </row>
    <row r="440" spans="1:8" ht="15" customHeight="1">
      <c r="A440" s="3">
        <v>40794</v>
      </c>
      <c r="B440" s="129">
        <v>99180</v>
      </c>
      <c r="C440" s="140">
        <v>21540</v>
      </c>
      <c r="D440" s="138">
        <v>21560</v>
      </c>
      <c r="E440" s="19">
        <f t="shared" ref="E440:E445" si="51">+C440-C439</f>
        <v>380</v>
      </c>
      <c r="F440" s="213"/>
      <c r="G440" s="213"/>
      <c r="H440" s="169">
        <v>163500</v>
      </c>
    </row>
    <row r="441" spans="1:8" ht="15" customHeight="1">
      <c r="A441" s="3">
        <v>40795</v>
      </c>
      <c r="B441" s="129">
        <v>99180</v>
      </c>
      <c r="C441" s="140">
        <v>21480</v>
      </c>
      <c r="D441" s="138">
        <v>21535</v>
      </c>
      <c r="E441" s="19">
        <f t="shared" si="51"/>
        <v>-60</v>
      </c>
      <c r="F441" s="213"/>
      <c r="G441" s="213"/>
      <c r="H441" s="169">
        <v>162000</v>
      </c>
    </row>
    <row r="442" spans="1:8" ht="15" customHeight="1">
      <c r="A442" s="3">
        <v>40798</v>
      </c>
      <c r="B442" s="129">
        <v>99060</v>
      </c>
      <c r="C442" s="140">
        <v>20855</v>
      </c>
      <c r="D442" s="138">
        <v>20880</v>
      </c>
      <c r="E442" s="19">
        <f t="shared" si="51"/>
        <v>-625</v>
      </c>
      <c r="F442" s="213"/>
      <c r="G442" s="213"/>
      <c r="H442" s="169">
        <v>161000</v>
      </c>
    </row>
    <row r="443" spans="1:8" ht="15" customHeight="1">
      <c r="A443" s="3">
        <v>40799</v>
      </c>
      <c r="B443" s="129">
        <v>99240</v>
      </c>
      <c r="C443" s="140">
        <v>21290</v>
      </c>
      <c r="D443" s="138">
        <v>21400</v>
      </c>
      <c r="E443" s="19">
        <f t="shared" si="51"/>
        <v>435</v>
      </c>
      <c r="F443" s="213"/>
      <c r="G443" s="213"/>
      <c r="H443" s="169">
        <v>160500</v>
      </c>
    </row>
    <row r="444" spans="1:8" ht="15" customHeight="1">
      <c r="A444" s="3">
        <v>40800</v>
      </c>
      <c r="B444" s="129">
        <v>98706</v>
      </c>
      <c r="C444" s="140">
        <v>21160</v>
      </c>
      <c r="D444" s="138">
        <v>21125</v>
      </c>
      <c r="E444" s="19">
        <f t="shared" si="51"/>
        <v>-130</v>
      </c>
      <c r="F444" s="213"/>
      <c r="G444" s="213"/>
      <c r="H444" s="169">
        <v>159500</v>
      </c>
    </row>
    <row r="445" spans="1:8" ht="15" customHeight="1">
      <c r="A445" s="3">
        <v>40801</v>
      </c>
      <c r="B445" s="129">
        <v>98220</v>
      </c>
      <c r="C445" s="140">
        <v>21650</v>
      </c>
      <c r="D445" s="138">
        <v>21675</v>
      </c>
      <c r="E445" s="19">
        <f t="shared" si="51"/>
        <v>490</v>
      </c>
      <c r="F445" s="213"/>
      <c r="G445" s="213"/>
      <c r="H445" s="169">
        <v>159250</v>
      </c>
    </row>
    <row r="446" spans="1:8" ht="15" customHeight="1">
      <c r="A446" s="3">
        <v>40802</v>
      </c>
      <c r="B446" s="129">
        <v>97650</v>
      </c>
      <c r="C446" s="140">
        <v>21705</v>
      </c>
      <c r="D446" s="138">
        <v>21740</v>
      </c>
      <c r="E446" s="19">
        <f t="shared" ref="E446:E451" si="52">+C446-C445</f>
        <v>55</v>
      </c>
      <c r="F446" s="213"/>
      <c r="G446" s="213"/>
      <c r="H446" s="169">
        <v>160500</v>
      </c>
    </row>
    <row r="447" spans="1:8" ht="15" customHeight="1">
      <c r="A447" s="3">
        <v>40805</v>
      </c>
      <c r="B447" s="129">
        <v>98082</v>
      </c>
      <c r="C447" s="140">
        <v>21090</v>
      </c>
      <c r="D447" s="138">
        <v>21105</v>
      </c>
      <c r="E447" s="19">
        <f t="shared" si="52"/>
        <v>-615</v>
      </c>
      <c r="F447" s="213"/>
      <c r="G447" s="213"/>
      <c r="H447" s="169">
        <v>157750</v>
      </c>
    </row>
    <row r="448" spans="1:8" ht="15" customHeight="1">
      <c r="A448" s="3">
        <v>40806</v>
      </c>
      <c r="B448" s="129">
        <v>98046</v>
      </c>
      <c r="C448" s="140">
        <v>21100</v>
      </c>
      <c r="D448" s="138">
        <v>21200</v>
      </c>
      <c r="E448" s="19">
        <f t="shared" si="52"/>
        <v>10</v>
      </c>
      <c r="F448" s="213"/>
      <c r="G448" s="213"/>
      <c r="H448" s="169">
        <v>156500</v>
      </c>
    </row>
    <row r="449" spans="1:8" ht="15" customHeight="1">
      <c r="A449" s="3">
        <v>40807</v>
      </c>
      <c r="B449" s="129">
        <v>97638</v>
      </c>
      <c r="C449" s="140">
        <v>20705</v>
      </c>
      <c r="D449" s="138">
        <v>20750</v>
      </c>
      <c r="E449" s="19">
        <f t="shared" si="52"/>
        <v>-395</v>
      </c>
      <c r="F449" s="213"/>
      <c r="G449" s="213"/>
      <c r="H449" s="169">
        <v>156250</v>
      </c>
    </row>
    <row r="450" spans="1:8" ht="15" customHeight="1">
      <c r="A450" s="3">
        <v>40808</v>
      </c>
      <c r="B450" s="129">
        <v>97818</v>
      </c>
      <c r="C450" s="140">
        <v>19505</v>
      </c>
      <c r="D450" s="138">
        <v>19555</v>
      </c>
      <c r="E450" s="19">
        <f t="shared" si="52"/>
        <v>-1200</v>
      </c>
      <c r="F450" s="213"/>
      <c r="G450" s="213"/>
      <c r="H450" s="169">
        <v>154250</v>
      </c>
    </row>
    <row r="451" spans="1:8" ht="15" customHeight="1">
      <c r="A451" s="3">
        <v>40809</v>
      </c>
      <c r="B451" s="129">
        <v>97424</v>
      </c>
      <c r="C451" s="140">
        <v>17925</v>
      </c>
      <c r="D451" s="138">
        <v>18050</v>
      </c>
      <c r="E451" s="19">
        <f t="shared" si="52"/>
        <v>-1580</v>
      </c>
      <c r="F451" s="213"/>
      <c r="G451" s="213"/>
      <c r="H451" s="169">
        <v>140500</v>
      </c>
    </row>
    <row r="452" spans="1:8" ht="15" customHeight="1">
      <c r="A452" s="3">
        <v>40812</v>
      </c>
      <c r="B452" s="129">
        <v>97140</v>
      </c>
      <c r="C452" s="140">
        <v>18400</v>
      </c>
      <c r="D452" s="138">
        <v>18400</v>
      </c>
      <c r="E452" s="19">
        <f t="shared" ref="E452:E457" si="53">+C452-C451</f>
        <v>475</v>
      </c>
      <c r="F452" s="213"/>
      <c r="G452" s="213"/>
      <c r="H452" s="169">
        <v>139500</v>
      </c>
    </row>
    <row r="453" spans="1:8" ht="15" customHeight="1">
      <c r="A453" s="3">
        <v>40813</v>
      </c>
      <c r="B453" s="129">
        <v>97458</v>
      </c>
      <c r="C453" s="140">
        <v>18670</v>
      </c>
      <c r="D453" s="138">
        <v>18750</v>
      </c>
      <c r="E453" s="19">
        <f t="shared" si="53"/>
        <v>270</v>
      </c>
      <c r="F453" s="213"/>
      <c r="G453" s="213"/>
      <c r="H453" s="169">
        <v>139000</v>
      </c>
    </row>
    <row r="454" spans="1:8" ht="15" customHeight="1">
      <c r="A454" s="3">
        <v>40814</v>
      </c>
      <c r="B454" s="129">
        <v>97290</v>
      </c>
      <c r="C454" s="140">
        <v>18610</v>
      </c>
      <c r="D454" s="138">
        <v>18635</v>
      </c>
      <c r="E454" s="19">
        <f t="shared" si="53"/>
        <v>-60</v>
      </c>
      <c r="F454" s="213"/>
      <c r="G454" s="213"/>
      <c r="H454" s="169">
        <v>140000</v>
      </c>
    </row>
    <row r="455" spans="1:8" ht="15" customHeight="1">
      <c r="A455" s="3">
        <v>40815</v>
      </c>
      <c r="B455" s="129">
        <v>97164</v>
      </c>
      <c r="C455" s="140">
        <v>18475</v>
      </c>
      <c r="D455" s="138">
        <v>18455</v>
      </c>
      <c r="E455" s="19">
        <f t="shared" si="53"/>
        <v>-135</v>
      </c>
      <c r="F455" s="213"/>
      <c r="G455" s="213"/>
      <c r="H455" s="169">
        <v>138750</v>
      </c>
    </row>
    <row r="456" spans="1:8" ht="15" customHeight="1" thickBot="1">
      <c r="A456" s="12">
        <v>40816</v>
      </c>
      <c r="B456" s="142">
        <v>96738</v>
      </c>
      <c r="C456" s="143">
        <v>18305</v>
      </c>
      <c r="D456" s="144">
        <v>18300</v>
      </c>
      <c r="E456" s="20">
        <f t="shared" si="53"/>
        <v>-170</v>
      </c>
      <c r="F456" s="171">
        <f>AVERAGE(C435:C456)</f>
        <v>20392.045454545456</v>
      </c>
      <c r="G456" s="165">
        <f>AVERAGE(C263:C456)</f>
        <v>24347.739361702126</v>
      </c>
      <c r="H456" s="170">
        <v>139500</v>
      </c>
    </row>
    <row r="457" spans="1:8" ht="15" customHeight="1">
      <c r="A457" s="36">
        <v>40819</v>
      </c>
      <c r="B457" s="152">
        <v>97074</v>
      </c>
      <c r="C457" s="153">
        <v>18105</v>
      </c>
      <c r="D457" s="154">
        <v>18150</v>
      </c>
      <c r="E457" s="21">
        <f t="shared" si="53"/>
        <v>-200</v>
      </c>
      <c r="F457" s="216"/>
      <c r="G457" s="216"/>
      <c r="H457" s="1067" t="s">
        <v>71</v>
      </c>
    </row>
    <row r="458" spans="1:8" ht="15" customHeight="1">
      <c r="A458" s="3">
        <v>40820</v>
      </c>
      <c r="B458" s="129">
        <v>96462</v>
      </c>
      <c r="C458" s="140">
        <v>18385</v>
      </c>
      <c r="D458" s="138">
        <v>18450</v>
      </c>
      <c r="E458" s="19">
        <f t="shared" ref="E458:E463" si="54">+C458-C457</f>
        <v>280</v>
      </c>
      <c r="F458" s="213"/>
      <c r="G458" s="213"/>
      <c r="H458" s="1068"/>
    </row>
    <row r="459" spans="1:8" ht="15" customHeight="1">
      <c r="A459" s="3">
        <v>40821</v>
      </c>
      <c r="B459" s="129">
        <v>95382</v>
      </c>
      <c r="C459" s="140">
        <v>18425</v>
      </c>
      <c r="D459" s="138">
        <v>18415</v>
      </c>
      <c r="E459" s="19">
        <f t="shared" si="54"/>
        <v>40</v>
      </c>
      <c r="F459" s="213"/>
      <c r="G459" s="213"/>
      <c r="H459" s="1068"/>
    </row>
    <row r="460" spans="1:8" ht="15" customHeight="1">
      <c r="A460" s="3">
        <v>40822</v>
      </c>
      <c r="B460" s="129">
        <v>94884</v>
      </c>
      <c r="C460" s="140">
        <v>18730</v>
      </c>
      <c r="D460" s="138">
        <v>18780</v>
      </c>
      <c r="E460" s="19">
        <f t="shared" si="54"/>
        <v>305</v>
      </c>
      <c r="F460" s="213"/>
      <c r="G460" s="213"/>
      <c r="H460" s="1068"/>
    </row>
    <row r="461" spans="1:8" ht="15" customHeight="1">
      <c r="A461" s="3">
        <v>40823</v>
      </c>
      <c r="B461" s="129">
        <v>94266</v>
      </c>
      <c r="C461" s="140">
        <v>18710</v>
      </c>
      <c r="D461" s="138">
        <v>18775</v>
      </c>
      <c r="E461" s="19">
        <f t="shared" si="54"/>
        <v>-20</v>
      </c>
      <c r="F461" s="213"/>
      <c r="G461" s="213"/>
      <c r="H461" s="1068"/>
    </row>
    <row r="462" spans="1:8" ht="15" customHeight="1">
      <c r="A462" s="3">
        <v>40826</v>
      </c>
      <c r="B462" s="129">
        <v>93366</v>
      </c>
      <c r="C462" s="140">
        <v>18835</v>
      </c>
      <c r="D462" s="138">
        <v>18805</v>
      </c>
      <c r="E462" s="19">
        <f t="shared" si="54"/>
        <v>125</v>
      </c>
      <c r="F462" s="213"/>
      <c r="G462" s="213"/>
      <c r="H462" s="169">
        <v>140250</v>
      </c>
    </row>
    <row r="463" spans="1:8" ht="15" customHeight="1">
      <c r="A463" s="3">
        <v>40827</v>
      </c>
      <c r="B463" s="129">
        <v>92502</v>
      </c>
      <c r="C463" s="140">
        <v>18845</v>
      </c>
      <c r="D463" s="138">
        <v>18945</v>
      </c>
      <c r="E463" s="19">
        <f t="shared" si="54"/>
        <v>10</v>
      </c>
      <c r="F463" s="213"/>
      <c r="G463" s="213"/>
      <c r="H463" s="169">
        <v>142500</v>
      </c>
    </row>
    <row r="464" spans="1:8" ht="15" customHeight="1">
      <c r="A464" s="3">
        <v>40828</v>
      </c>
      <c r="B464" s="129">
        <v>91782</v>
      </c>
      <c r="C464" s="140">
        <v>18925</v>
      </c>
      <c r="D464" s="138">
        <v>19050</v>
      </c>
      <c r="E464" s="19">
        <f t="shared" ref="E464:E469" si="55">+C464-C463</f>
        <v>80</v>
      </c>
      <c r="F464" s="213"/>
      <c r="G464" s="213"/>
      <c r="H464" s="169">
        <v>139500</v>
      </c>
    </row>
    <row r="465" spans="1:8" ht="15" customHeight="1">
      <c r="A465" s="3">
        <v>40829</v>
      </c>
      <c r="B465" s="129">
        <v>91020</v>
      </c>
      <c r="C465" s="140">
        <v>18475</v>
      </c>
      <c r="D465" s="138">
        <v>18460</v>
      </c>
      <c r="E465" s="19">
        <f t="shared" si="55"/>
        <v>-450</v>
      </c>
      <c r="F465" s="213"/>
      <c r="G465" s="213"/>
      <c r="H465" s="169">
        <v>140250</v>
      </c>
    </row>
    <row r="466" spans="1:8" ht="15" customHeight="1">
      <c r="A466" s="3">
        <v>40830</v>
      </c>
      <c r="B466" s="129">
        <v>91476</v>
      </c>
      <c r="C466" s="140">
        <v>18900</v>
      </c>
      <c r="D466" s="138">
        <v>18800</v>
      </c>
      <c r="E466" s="19">
        <f t="shared" si="55"/>
        <v>425</v>
      </c>
      <c r="F466" s="213"/>
      <c r="G466" s="213"/>
      <c r="H466" s="169">
        <v>139000</v>
      </c>
    </row>
    <row r="467" spans="1:8" ht="15" customHeight="1">
      <c r="A467" s="3">
        <v>40833</v>
      </c>
      <c r="B467" s="129">
        <v>90924</v>
      </c>
      <c r="C467" s="140">
        <v>18755</v>
      </c>
      <c r="D467" s="138">
        <v>18800</v>
      </c>
      <c r="E467" s="19">
        <f t="shared" si="55"/>
        <v>-145</v>
      </c>
      <c r="F467" s="213"/>
      <c r="G467" s="213"/>
      <c r="H467" s="169">
        <v>140500</v>
      </c>
    </row>
    <row r="468" spans="1:8" ht="15" customHeight="1">
      <c r="A468" s="3">
        <v>40834</v>
      </c>
      <c r="B468" s="129">
        <v>90438</v>
      </c>
      <c r="C468" s="140">
        <v>18580</v>
      </c>
      <c r="D468" s="138">
        <v>18650</v>
      </c>
      <c r="E468" s="19">
        <f t="shared" si="55"/>
        <v>-175</v>
      </c>
      <c r="F468" s="213"/>
      <c r="G468" s="213"/>
      <c r="H468" s="169">
        <v>139500</v>
      </c>
    </row>
    <row r="469" spans="1:8" ht="15" customHeight="1">
      <c r="A469" s="3">
        <v>40835</v>
      </c>
      <c r="B469" s="129">
        <v>89478</v>
      </c>
      <c r="C469" s="140">
        <v>18935</v>
      </c>
      <c r="D469" s="138">
        <v>18980</v>
      </c>
      <c r="E469" s="19">
        <f t="shared" si="55"/>
        <v>355</v>
      </c>
      <c r="F469" s="213"/>
      <c r="G469" s="213"/>
      <c r="H469" s="169">
        <v>139500</v>
      </c>
    </row>
    <row r="470" spans="1:8" ht="15" customHeight="1">
      <c r="A470" s="3">
        <v>40836</v>
      </c>
      <c r="B470" s="129">
        <v>88488</v>
      </c>
      <c r="C470" s="140">
        <v>18160</v>
      </c>
      <c r="D470" s="138">
        <v>18225</v>
      </c>
      <c r="E470" s="19">
        <f t="shared" ref="E470:E475" si="56">+C470-C469</f>
        <v>-775</v>
      </c>
      <c r="F470" s="213"/>
      <c r="G470" s="213"/>
      <c r="H470" s="169">
        <v>137000</v>
      </c>
    </row>
    <row r="471" spans="1:8" ht="15" customHeight="1">
      <c r="A471" s="3">
        <v>40837</v>
      </c>
      <c r="B471" s="129">
        <v>86820</v>
      </c>
      <c r="C471" s="140">
        <v>18675</v>
      </c>
      <c r="D471" s="138">
        <v>18730</v>
      </c>
      <c r="E471" s="19">
        <f t="shared" si="56"/>
        <v>515</v>
      </c>
      <c r="F471" s="213"/>
      <c r="G471" s="213"/>
      <c r="H471" s="169">
        <v>136000</v>
      </c>
    </row>
    <row r="472" spans="1:8" ht="15" customHeight="1">
      <c r="A472" s="3">
        <v>40840</v>
      </c>
      <c r="B472" s="129">
        <v>87726</v>
      </c>
      <c r="C472" s="140">
        <v>19035</v>
      </c>
      <c r="D472" s="138">
        <v>19075</v>
      </c>
      <c r="E472" s="19">
        <f t="shared" si="56"/>
        <v>360</v>
      </c>
      <c r="F472" s="213"/>
      <c r="G472" s="213"/>
      <c r="H472" s="169">
        <v>138250</v>
      </c>
    </row>
    <row r="473" spans="1:8" ht="15" customHeight="1">
      <c r="A473" s="3">
        <v>40841</v>
      </c>
      <c r="B473" s="129">
        <v>87828</v>
      </c>
      <c r="C473" s="140">
        <v>19825</v>
      </c>
      <c r="D473" s="138">
        <v>19900</v>
      </c>
      <c r="E473" s="19">
        <f t="shared" si="56"/>
        <v>790</v>
      </c>
      <c r="F473" s="213"/>
      <c r="G473" s="213"/>
      <c r="H473" s="169">
        <v>141750</v>
      </c>
    </row>
    <row r="474" spans="1:8" ht="15" customHeight="1">
      <c r="A474" s="3">
        <v>40842</v>
      </c>
      <c r="B474" s="129">
        <v>87577</v>
      </c>
      <c r="C474" s="140">
        <v>19635</v>
      </c>
      <c r="D474" s="138">
        <v>19655</v>
      </c>
      <c r="E474" s="19">
        <f t="shared" si="56"/>
        <v>-190</v>
      </c>
      <c r="F474" s="213"/>
      <c r="G474" s="213"/>
      <c r="H474" s="169">
        <v>140000</v>
      </c>
    </row>
    <row r="475" spans="1:8" ht="15" customHeight="1">
      <c r="A475" s="3">
        <v>40843</v>
      </c>
      <c r="B475" s="129">
        <v>88128</v>
      </c>
      <c r="C475" s="140">
        <v>19755</v>
      </c>
      <c r="D475" s="138">
        <v>19800</v>
      </c>
      <c r="E475" s="19">
        <f t="shared" si="56"/>
        <v>120</v>
      </c>
      <c r="F475" s="213"/>
      <c r="G475" s="213"/>
      <c r="H475" s="169">
        <v>140000</v>
      </c>
    </row>
    <row r="476" spans="1:8" ht="15" customHeight="1">
      <c r="A476" s="3">
        <v>40844</v>
      </c>
      <c r="B476" s="129">
        <v>87042</v>
      </c>
      <c r="C476" s="140">
        <v>19700</v>
      </c>
      <c r="D476" s="138">
        <v>19750</v>
      </c>
      <c r="E476" s="19">
        <f t="shared" ref="E476:E485" si="57">+C476-C475</f>
        <v>-55</v>
      </c>
      <c r="F476" s="213"/>
      <c r="G476" s="213"/>
      <c r="H476" s="169">
        <v>141250</v>
      </c>
    </row>
    <row r="477" spans="1:8" ht="15" customHeight="1" thickBot="1">
      <c r="A477" s="12">
        <v>40847</v>
      </c>
      <c r="B477" s="142">
        <v>86508</v>
      </c>
      <c r="C477" s="143">
        <v>19225</v>
      </c>
      <c r="D477" s="144">
        <v>19250</v>
      </c>
      <c r="E477" s="20">
        <f t="shared" si="57"/>
        <v>-475</v>
      </c>
      <c r="F477" s="171">
        <f>AVERAGE(C457:C477)</f>
        <v>18886.428571428572</v>
      </c>
      <c r="G477" s="165">
        <f>AVERAGE(C263:C477)</f>
        <v>23798.995215311006</v>
      </c>
      <c r="H477" s="170">
        <v>140250</v>
      </c>
    </row>
    <row r="478" spans="1:8" ht="15" customHeight="1">
      <c r="A478" s="36">
        <v>40848</v>
      </c>
      <c r="B478" s="152">
        <v>86676</v>
      </c>
      <c r="C478" s="153">
        <v>18600</v>
      </c>
      <c r="D478" s="154">
        <v>18650</v>
      </c>
      <c r="E478" s="21">
        <f t="shared" si="57"/>
        <v>-625</v>
      </c>
      <c r="F478" s="216"/>
      <c r="G478" s="216"/>
      <c r="H478" s="168">
        <v>139750</v>
      </c>
    </row>
    <row r="479" spans="1:8" ht="15" customHeight="1">
      <c r="A479" s="3">
        <v>40849</v>
      </c>
      <c r="B479" s="129">
        <v>86538</v>
      </c>
      <c r="C479" s="140">
        <v>18655</v>
      </c>
      <c r="D479" s="138">
        <v>18700</v>
      </c>
      <c r="E479" s="19">
        <f t="shared" si="57"/>
        <v>55</v>
      </c>
      <c r="F479" s="213"/>
      <c r="G479" s="213"/>
      <c r="H479" s="169">
        <v>138000</v>
      </c>
    </row>
    <row r="480" spans="1:8" ht="15" customHeight="1">
      <c r="A480" s="3">
        <v>40850</v>
      </c>
      <c r="B480" s="129">
        <v>85986</v>
      </c>
      <c r="C480" s="140">
        <v>18700</v>
      </c>
      <c r="D480" s="138">
        <v>18775</v>
      </c>
      <c r="E480" s="19">
        <f t="shared" si="57"/>
        <v>45</v>
      </c>
      <c r="F480" s="213"/>
      <c r="G480" s="213"/>
      <c r="H480" s="169">
        <v>137500</v>
      </c>
    </row>
    <row r="481" spans="1:8" ht="15" customHeight="1">
      <c r="A481" s="3">
        <v>40851</v>
      </c>
      <c r="B481" s="129">
        <v>85476</v>
      </c>
      <c r="C481" s="140">
        <v>18485</v>
      </c>
      <c r="D481" s="138">
        <v>18525</v>
      </c>
      <c r="E481" s="19">
        <f t="shared" si="57"/>
        <v>-215</v>
      </c>
      <c r="F481" s="213"/>
      <c r="G481" s="213"/>
      <c r="H481" s="169">
        <v>138000</v>
      </c>
    </row>
    <row r="482" spans="1:8" ht="15" customHeight="1">
      <c r="A482" s="3">
        <v>40854</v>
      </c>
      <c r="B482" s="129">
        <v>85056</v>
      </c>
      <c r="C482" s="140">
        <v>18610</v>
      </c>
      <c r="D482" s="138">
        <v>18680</v>
      </c>
      <c r="E482" s="19">
        <f t="shared" si="57"/>
        <v>125</v>
      </c>
      <c r="F482" s="213"/>
      <c r="G482" s="213"/>
      <c r="H482" s="169">
        <v>138250</v>
      </c>
    </row>
    <row r="483" spans="1:8" ht="15" customHeight="1">
      <c r="A483" s="3">
        <v>40855</v>
      </c>
      <c r="B483" s="129">
        <v>83640</v>
      </c>
      <c r="C483" s="140">
        <v>18565</v>
      </c>
      <c r="D483" s="138">
        <v>18560</v>
      </c>
      <c r="E483" s="19">
        <f t="shared" si="57"/>
        <v>-45</v>
      </c>
      <c r="F483" s="213"/>
      <c r="G483" s="213"/>
      <c r="H483" s="169">
        <v>137250</v>
      </c>
    </row>
    <row r="484" spans="1:8" ht="15" customHeight="1">
      <c r="A484" s="3">
        <v>40856</v>
      </c>
      <c r="B484" s="129">
        <v>83160</v>
      </c>
      <c r="C484" s="140">
        <v>18185</v>
      </c>
      <c r="D484" s="138">
        <v>18225</v>
      </c>
      <c r="E484" s="19">
        <f t="shared" si="57"/>
        <v>-380</v>
      </c>
      <c r="F484" s="213"/>
      <c r="G484" s="213"/>
      <c r="H484" s="169">
        <v>136000</v>
      </c>
    </row>
    <row r="485" spans="1:8" ht="15" customHeight="1">
      <c r="A485" s="3">
        <v>40857</v>
      </c>
      <c r="B485" s="129">
        <v>83280</v>
      </c>
      <c r="C485" s="140">
        <v>18150</v>
      </c>
      <c r="D485" s="138">
        <v>18155</v>
      </c>
      <c r="E485" s="19">
        <f t="shared" si="57"/>
        <v>-35</v>
      </c>
      <c r="F485" s="213"/>
      <c r="G485" s="213"/>
      <c r="H485" s="169">
        <v>134500</v>
      </c>
    </row>
    <row r="486" spans="1:8" ht="15" customHeight="1">
      <c r="A486" s="3">
        <v>40858</v>
      </c>
      <c r="B486" s="129">
        <v>84180</v>
      </c>
      <c r="C486" s="140">
        <v>18150</v>
      </c>
      <c r="D486" s="138">
        <v>18155</v>
      </c>
      <c r="E486" s="19">
        <f t="shared" ref="E486:E491" si="58">+C486-C485</f>
        <v>0</v>
      </c>
      <c r="F486" s="213"/>
      <c r="G486" s="213"/>
      <c r="H486" s="169">
        <v>133750</v>
      </c>
    </row>
    <row r="487" spans="1:8" ht="15" customHeight="1">
      <c r="A487" s="3">
        <v>40861</v>
      </c>
      <c r="B487" s="129">
        <v>83892</v>
      </c>
      <c r="C487" s="140">
        <v>18075</v>
      </c>
      <c r="D487" s="138">
        <v>18055</v>
      </c>
      <c r="E487" s="19">
        <f t="shared" si="58"/>
        <v>-75</v>
      </c>
      <c r="F487" s="213"/>
      <c r="G487" s="213"/>
      <c r="H487" s="169">
        <v>134500</v>
      </c>
    </row>
    <row r="488" spans="1:8" ht="15" customHeight="1">
      <c r="A488" s="3">
        <v>40862</v>
      </c>
      <c r="B488" s="129">
        <v>83688</v>
      </c>
      <c r="C488" s="140">
        <v>17615</v>
      </c>
      <c r="D488" s="138">
        <v>17605</v>
      </c>
      <c r="E488" s="19">
        <f t="shared" si="58"/>
        <v>-460</v>
      </c>
      <c r="F488" s="213"/>
      <c r="G488" s="213"/>
      <c r="H488" s="169">
        <v>133500</v>
      </c>
    </row>
    <row r="489" spans="1:8" ht="15" customHeight="1">
      <c r="A489" s="3">
        <v>40863</v>
      </c>
      <c r="B489" s="129">
        <v>83598</v>
      </c>
      <c r="C489" s="140">
        <v>17775</v>
      </c>
      <c r="D489" s="138">
        <v>17750</v>
      </c>
      <c r="E489" s="19">
        <f t="shared" si="58"/>
        <v>160</v>
      </c>
      <c r="F489" s="213"/>
      <c r="G489" s="213"/>
      <c r="H489" s="169">
        <v>132500</v>
      </c>
    </row>
    <row r="490" spans="1:8" ht="15" customHeight="1">
      <c r="A490" s="3">
        <v>40864</v>
      </c>
      <c r="B490" s="129">
        <v>83220</v>
      </c>
      <c r="C490" s="140">
        <v>17870</v>
      </c>
      <c r="D490" s="138">
        <v>17835</v>
      </c>
      <c r="E490" s="19">
        <f t="shared" si="58"/>
        <v>95</v>
      </c>
      <c r="F490" s="213"/>
      <c r="G490" s="213"/>
      <c r="H490" s="169">
        <v>132250</v>
      </c>
    </row>
    <row r="491" spans="1:8" ht="15" customHeight="1">
      <c r="A491" s="3">
        <v>40865</v>
      </c>
      <c r="B491" s="129">
        <v>84750</v>
      </c>
      <c r="C491" s="140">
        <v>17930</v>
      </c>
      <c r="D491" s="138">
        <v>17925</v>
      </c>
      <c r="E491" s="19">
        <f t="shared" si="58"/>
        <v>60</v>
      </c>
      <c r="F491" s="213"/>
      <c r="G491" s="213"/>
      <c r="H491" s="169">
        <v>131250</v>
      </c>
    </row>
    <row r="492" spans="1:8" ht="15" customHeight="1">
      <c r="A492" s="3">
        <v>40868</v>
      </c>
      <c r="B492" s="129">
        <v>83940</v>
      </c>
      <c r="C492" s="140">
        <v>17650</v>
      </c>
      <c r="D492" s="138">
        <v>17700</v>
      </c>
      <c r="E492" s="19">
        <f t="shared" ref="E492:E497" si="59">+C492-C491</f>
        <v>-280</v>
      </c>
      <c r="F492" s="213"/>
      <c r="G492" s="213"/>
      <c r="H492" s="169">
        <v>130500</v>
      </c>
    </row>
    <row r="493" spans="1:8" ht="15" customHeight="1">
      <c r="A493" s="3">
        <v>40869</v>
      </c>
      <c r="B493" s="129">
        <v>85998</v>
      </c>
      <c r="C493" s="140">
        <v>17750</v>
      </c>
      <c r="D493" s="138">
        <v>17805</v>
      </c>
      <c r="E493" s="19">
        <f t="shared" si="59"/>
        <v>100</v>
      </c>
      <c r="F493" s="213"/>
      <c r="G493" s="213"/>
      <c r="H493" s="169">
        <v>129000</v>
      </c>
    </row>
    <row r="494" spans="1:8" ht="15" customHeight="1">
      <c r="A494" s="3">
        <v>40870</v>
      </c>
      <c r="B494" s="129">
        <v>86286</v>
      </c>
      <c r="C494" s="140">
        <v>17150</v>
      </c>
      <c r="D494" s="138">
        <v>17130</v>
      </c>
      <c r="E494" s="19">
        <f t="shared" si="59"/>
        <v>-600</v>
      </c>
      <c r="F494" s="213"/>
      <c r="G494" s="213"/>
      <c r="H494" s="169">
        <v>128250</v>
      </c>
    </row>
    <row r="495" spans="1:8" ht="15" customHeight="1">
      <c r="A495" s="3">
        <v>40871</v>
      </c>
      <c r="B495" s="129">
        <v>88476</v>
      </c>
      <c r="C495" s="140">
        <v>17205</v>
      </c>
      <c r="D495" s="138">
        <v>17220</v>
      </c>
      <c r="E495" s="19">
        <f t="shared" si="59"/>
        <v>55</v>
      </c>
      <c r="F495" s="213"/>
      <c r="G495" s="213"/>
      <c r="H495" s="169">
        <v>126500</v>
      </c>
    </row>
    <row r="496" spans="1:8" ht="15" customHeight="1">
      <c r="A496" s="3">
        <v>40872</v>
      </c>
      <c r="B496" s="129">
        <v>88668</v>
      </c>
      <c r="C496" s="140">
        <v>17095</v>
      </c>
      <c r="D496" s="138">
        <v>17100</v>
      </c>
      <c r="E496" s="19">
        <f t="shared" si="59"/>
        <v>-110</v>
      </c>
      <c r="F496" s="213"/>
      <c r="G496" s="213"/>
      <c r="H496" s="169">
        <v>126500</v>
      </c>
    </row>
    <row r="497" spans="1:8" ht="15" customHeight="1">
      <c r="A497" s="3">
        <v>40875</v>
      </c>
      <c r="B497" s="129">
        <v>89094</v>
      </c>
      <c r="C497" s="140">
        <v>17275</v>
      </c>
      <c r="D497" s="138">
        <v>17320</v>
      </c>
      <c r="E497" s="19">
        <f t="shared" si="59"/>
        <v>180</v>
      </c>
      <c r="F497" s="213"/>
      <c r="G497" s="213"/>
      <c r="H497" s="169">
        <v>126500</v>
      </c>
    </row>
    <row r="498" spans="1:8" ht="15" customHeight="1">
      <c r="A498" s="3">
        <v>40876</v>
      </c>
      <c r="B498" s="129">
        <v>89778</v>
      </c>
      <c r="C498" s="140">
        <v>16980</v>
      </c>
      <c r="D498" s="138">
        <v>17025</v>
      </c>
      <c r="E498" s="19">
        <f t="shared" ref="E498:E503" si="60">+C498-C497</f>
        <v>-295</v>
      </c>
      <c r="F498" s="213"/>
      <c r="G498" s="213"/>
      <c r="H498" s="169">
        <v>126500</v>
      </c>
    </row>
    <row r="499" spans="1:8" ht="15" customHeight="1" thickBot="1">
      <c r="A499" s="12">
        <v>40877</v>
      </c>
      <c r="B499" s="142">
        <v>90390</v>
      </c>
      <c r="C499" s="143">
        <v>16935</v>
      </c>
      <c r="D499" s="144">
        <v>16950</v>
      </c>
      <c r="E499" s="20">
        <f t="shared" si="60"/>
        <v>-45</v>
      </c>
      <c r="F499" s="171">
        <f>AVERAGE(C478:C499)</f>
        <v>17882.045454545456</v>
      </c>
      <c r="G499" s="165">
        <f>AVERAGE(C263:C499)</f>
        <v>23235.476190476191</v>
      </c>
      <c r="H499" s="170">
        <v>126000</v>
      </c>
    </row>
    <row r="500" spans="1:8" ht="15" customHeight="1">
      <c r="A500" s="36">
        <v>40878</v>
      </c>
      <c r="B500" s="152">
        <v>91074</v>
      </c>
      <c r="C500" s="153">
        <v>17175</v>
      </c>
      <c r="D500" s="154">
        <v>17150</v>
      </c>
      <c r="E500" s="21">
        <f t="shared" si="60"/>
        <v>240</v>
      </c>
      <c r="F500" s="216"/>
      <c r="G500" s="216"/>
      <c r="H500" s="168">
        <v>126500</v>
      </c>
    </row>
    <row r="501" spans="1:8" ht="15" customHeight="1">
      <c r="A501" s="3">
        <v>40879</v>
      </c>
      <c r="B501" s="129">
        <v>90822</v>
      </c>
      <c r="C501" s="140">
        <v>17300</v>
      </c>
      <c r="D501" s="138">
        <v>17215</v>
      </c>
      <c r="E501" s="19">
        <f t="shared" si="60"/>
        <v>125</v>
      </c>
      <c r="F501" s="213"/>
      <c r="G501" s="213"/>
      <c r="H501" s="169">
        <v>125000</v>
      </c>
    </row>
    <row r="502" spans="1:8" ht="15" customHeight="1">
      <c r="A502" s="3">
        <v>40882</v>
      </c>
      <c r="B502" s="129">
        <v>90456</v>
      </c>
      <c r="C502" s="140">
        <v>17890</v>
      </c>
      <c r="D502" s="138">
        <v>17950</v>
      </c>
      <c r="E502" s="19">
        <f t="shared" si="60"/>
        <v>590</v>
      </c>
      <c r="F502" s="213"/>
      <c r="G502" s="213"/>
      <c r="H502" s="169">
        <v>128000</v>
      </c>
    </row>
    <row r="503" spans="1:8" ht="15" customHeight="1">
      <c r="A503" s="3">
        <v>40883</v>
      </c>
      <c r="B503" s="129">
        <v>91056</v>
      </c>
      <c r="C503" s="140">
        <v>18125</v>
      </c>
      <c r="D503" s="138">
        <v>18135</v>
      </c>
      <c r="E503" s="19">
        <f t="shared" si="60"/>
        <v>235</v>
      </c>
      <c r="F503" s="213"/>
      <c r="G503" s="213"/>
      <c r="H503" s="169">
        <v>129500</v>
      </c>
    </row>
    <row r="504" spans="1:8" ht="15" customHeight="1">
      <c r="A504" s="3">
        <v>40884</v>
      </c>
      <c r="B504" s="129">
        <v>90510</v>
      </c>
      <c r="C504" s="140">
        <v>18135</v>
      </c>
      <c r="D504" s="138">
        <v>18160</v>
      </c>
      <c r="E504" s="19">
        <f t="shared" ref="E504:E509" si="61">+C504-C503</f>
        <v>10</v>
      </c>
      <c r="F504" s="213"/>
      <c r="G504" s="213"/>
      <c r="H504" s="169">
        <v>129750</v>
      </c>
    </row>
    <row r="505" spans="1:8" ht="15" customHeight="1">
      <c r="A505" s="3">
        <v>40885</v>
      </c>
      <c r="B505" s="129">
        <v>90348</v>
      </c>
      <c r="C505" s="140">
        <v>18150</v>
      </c>
      <c r="D505" s="138">
        <v>18205</v>
      </c>
      <c r="E505" s="19">
        <f t="shared" si="61"/>
        <v>15</v>
      </c>
      <c r="F505" s="213"/>
      <c r="G505" s="213"/>
      <c r="H505" s="169">
        <v>129750</v>
      </c>
    </row>
    <row r="506" spans="1:8" ht="15" customHeight="1">
      <c r="A506" s="3">
        <v>40886</v>
      </c>
      <c r="B506" s="129">
        <v>90042</v>
      </c>
      <c r="C506" s="140">
        <v>18325</v>
      </c>
      <c r="D506" s="138">
        <v>18330</v>
      </c>
      <c r="E506" s="19">
        <f t="shared" si="61"/>
        <v>175</v>
      </c>
      <c r="F506" s="213"/>
      <c r="G506" s="213"/>
      <c r="H506" s="169">
        <v>129750</v>
      </c>
    </row>
    <row r="507" spans="1:8" ht="15" customHeight="1">
      <c r="A507" s="3">
        <v>40889</v>
      </c>
      <c r="B507" s="129">
        <v>90324</v>
      </c>
      <c r="C507" s="140">
        <v>18265</v>
      </c>
      <c r="D507" s="138">
        <v>18275</v>
      </c>
      <c r="E507" s="19">
        <f t="shared" si="61"/>
        <v>-60</v>
      </c>
      <c r="F507" s="213"/>
      <c r="G507" s="213"/>
      <c r="H507" s="169">
        <v>130250</v>
      </c>
    </row>
    <row r="508" spans="1:8" ht="15" customHeight="1">
      <c r="A508" s="3">
        <v>40890</v>
      </c>
      <c r="B508" s="129">
        <v>89994</v>
      </c>
      <c r="C508" s="140">
        <v>18390</v>
      </c>
      <c r="D508" s="138">
        <v>18415</v>
      </c>
      <c r="E508" s="19">
        <f t="shared" si="61"/>
        <v>125</v>
      </c>
      <c r="F508" s="213"/>
      <c r="G508" s="213"/>
      <c r="H508" s="169">
        <v>129000</v>
      </c>
    </row>
    <row r="509" spans="1:8" ht="15" customHeight="1">
      <c r="A509" s="3">
        <v>40891</v>
      </c>
      <c r="B509" s="129">
        <v>89820</v>
      </c>
      <c r="C509" s="140">
        <v>17830</v>
      </c>
      <c r="D509" s="138">
        <v>17805</v>
      </c>
      <c r="E509" s="19">
        <f t="shared" si="61"/>
        <v>-560</v>
      </c>
      <c r="F509" s="213"/>
      <c r="G509" s="213"/>
      <c r="H509" s="169">
        <v>129000</v>
      </c>
    </row>
    <row r="510" spans="1:8" ht="15" customHeight="1">
      <c r="A510" s="3">
        <v>40892</v>
      </c>
      <c r="B510" s="129">
        <v>89544</v>
      </c>
      <c r="C510" s="140">
        <v>17850</v>
      </c>
      <c r="D510" s="138">
        <v>17850</v>
      </c>
      <c r="E510" s="19">
        <f t="shared" ref="E510:E515" si="62">+C510-C509</f>
        <v>20</v>
      </c>
      <c r="F510" s="213"/>
      <c r="G510" s="213"/>
      <c r="H510" s="169">
        <v>126250</v>
      </c>
    </row>
    <row r="511" spans="1:8" ht="15" customHeight="1">
      <c r="A511" s="3">
        <v>40893</v>
      </c>
      <c r="B511" s="129">
        <v>88710</v>
      </c>
      <c r="C511" s="140">
        <v>18075</v>
      </c>
      <c r="D511" s="138">
        <v>18125</v>
      </c>
      <c r="E511" s="19">
        <f t="shared" si="62"/>
        <v>225</v>
      </c>
      <c r="F511" s="213"/>
      <c r="G511" s="213"/>
      <c r="H511" s="169">
        <v>126250</v>
      </c>
    </row>
    <row r="512" spans="1:8" ht="15" customHeight="1">
      <c r="A512" s="3">
        <v>40896</v>
      </c>
      <c r="B512" s="129">
        <v>88338</v>
      </c>
      <c r="C512" s="140">
        <v>18350</v>
      </c>
      <c r="D512" s="138">
        <v>18400</v>
      </c>
      <c r="E512" s="19">
        <f t="shared" si="62"/>
        <v>275</v>
      </c>
      <c r="F512" s="213"/>
      <c r="G512" s="213"/>
      <c r="H512" s="169">
        <v>127250</v>
      </c>
    </row>
    <row r="513" spans="1:8" ht="15" customHeight="1">
      <c r="A513" s="3">
        <v>40897</v>
      </c>
      <c r="B513" s="129">
        <v>88086</v>
      </c>
      <c r="C513" s="140">
        <v>18555</v>
      </c>
      <c r="D513" s="138">
        <v>18580</v>
      </c>
      <c r="E513" s="19">
        <f t="shared" si="62"/>
        <v>205</v>
      </c>
      <c r="F513" s="213"/>
      <c r="G513" s="213"/>
      <c r="H513" s="169">
        <v>127500</v>
      </c>
    </row>
    <row r="514" spans="1:8" ht="15" customHeight="1">
      <c r="A514" s="3">
        <v>40898</v>
      </c>
      <c r="B514" s="129">
        <v>87900</v>
      </c>
      <c r="C514" s="140">
        <v>18570</v>
      </c>
      <c r="D514" s="138">
        <v>18545</v>
      </c>
      <c r="E514" s="19">
        <f t="shared" si="62"/>
        <v>15</v>
      </c>
      <c r="F514" s="213"/>
      <c r="G514" s="213"/>
      <c r="H514" s="169">
        <v>129500</v>
      </c>
    </row>
    <row r="515" spans="1:8" ht="15" customHeight="1">
      <c r="A515" s="3">
        <v>40899</v>
      </c>
      <c r="B515" s="129">
        <v>89568</v>
      </c>
      <c r="C515" s="140">
        <v>18855</v>
      </c>
      <c r="D515" s="138">
        <v>18900</v>
      </c>
      <c r="E515" s="19">
        <f t="shared" si="62"/>
        <v>285</v>
      </c>
      <c r="F515" s="213"/>
      <c r="G515" s="213"/>
      <c r="H515" s="169">
        <v>130000</v>
      </c>
    </row>
    <row r="516" spans="1:8" ht="15" customHeight="1">
      <c r="A516" s="3">
        <v>40900</v>
      </c>
      <c r="B516" s="129">
        <v>90042</v>
      </c>
      <c r="C516" s="140">
        <v>18630</v>
      </c>
      <c r="D516" s="138">
        <v>18745</v>
      </c>
      <c r="E516" s="19">
        <f>+C516-C515</f>
        <v>-225</v>
      </c>
      <c r="F516" s="213"/>
      <c r="G516" s="213"/>
      <c r="H516" s="169">
        <v>129500</v>
      </c>
    </row>
    <row r="517" spans="1:8" ht="15" customHeight="1">
      <c r="A517" s="3">
        <v>40903</v>
      </c>
      <c r="B517" s="1066" t="s">
        <v>71</v>
      </c>
      <c r="C517" s="1066"/>
      <c r="D517" s="1066"/>
      <c r="E517" s="1066"/>
      <c r="F517" s="213"/>
      <c r="G517" s="213"/>
      <c r="H517" s="169">
        <v>129500</v>
      </c>
    </row>
    <row r="518" spans="1:8" ht="15" customHeight="1">
      <c r="A518" s="3">
        <v>40904</v>
      </c>
      <c r="B518" s="1066"/>
      <c r="C518" s="1066"/>
      <c r="D518" s="1066"/>
      <c r="E518" s="1066"/>
      <c r="F518" s="213"/>
      <c r="G518" s="213"/>
      <c r="H518" s="169">
        <v>129500</v>
      </c>
    </row>
    <row r="519" spans="1:8" ht="15" customHeight="1">
      <c r="A519" s="3">
        <v>40905</v>
      </c>
      <c r="B519" s="129">
        <v>90600</v>
      </c>
      <c r="C519" s="140">
        <v>18365</v>
      </c>
      <c r="D519" s="138">
        <v>18410</v>
      </c>
      <c r="E519" s="19">
        <f>+C519-C516</f>
        <v>-265</v>
      </c>
      <c r="F519" s="213"/>
      <c r="G519" s="213"/>
      <c r="H519" s="169">
        <v>129500</v>
      </c>
    </row>
    <row r="520" spans="1:8" ht="15" customHeight="1">
      <c r="A520" s="3">
        <v>40906</v>
      </c>
      <c r="B520" s="129">
        <v>90300</v>
      </c>
      <c r="C520" s="140">
        <v>17955</v>
      </c>
      <c r="D520" s="138">
        <v>17955</v>
      </c>
      <c r="E520" s="19">
        <f>+C520-C519</f>
        <v>-410</v>
      </c>
      <c r="F520" s="213"/>
      <c r="G520" s="213"/>
      <c r="H520" s="169">
        <v>127000</v>
      </c>
    </row>
    <row r="521" spans="1:8" ht="15" customHeight="1" thickBot="1">
      <c r="A521" s="12">
        <v>40907</v>
      </c>
      <c r="B521" s="142">
        <v>90048</v>
      </c>
      <c r="C521" s="143">
        <v>18280</v>
      </c>
      <c r="D521" s="144">
        <v>18255</v>
      </c>
      <c r="E521" s="20">
        <f>+C521-C520</f>
        <v>325</v>
      </c>
      <c r="F521" s="171">
        <f>AVERAGE(C500:C521)</f>
        <v>18153.5</v>
      </c>
      <c r="G521" s="165">
        <f>AVERAGE(C263:C521)</f>
        <v>22830.537848605578</v>
      </c>
      <c r="H521" s="170">
        <v>127500</v>
      </c>
    </row>
    <row r="522" spans="1:8" ht="15" customHeight="1">
      <c r="A522" s="36">
        <v>40910</v>
      </c>
      <c r="B522" s="1082" t="s">
        <v>71</v>
      </c>
      <c r="C522" s="1082"/>
      <c r="D522" s="1082"/>
      <c r="E522" s="1082"/>
      <c r="F522" s="155"/>
      <c r="H522" s="1067" t="s">
        <v>71</v>
      </c>
    </row>
    <row r="523" spans="1:8" ht="15" customHeight="1">
      <c r="A523" s="3">
        <v>40911</v>
      </c>
      <c r="B523" s="129">
        <v>90516</v>
      </c>
      <c r="C523" s="140">
        <v>18430</v>
      </c>
      <c r="D523" s="138">
        <v>18425</v>
      </c>
      <c r="E523" s="19">
        <f>+C523-C521</f>
        <v>150</v>
      </c>
      <c r="F523" s="161"/>
      <c r="G523" s="161" t="s">
        <v>116</v>
      </c>
      <c r="H523" s="1068"/>
    </row>
    <row r="524" spans="1:8" ht="15" customHeight="1">
      <c r="A524" s="3">
        <v>40912</v>
      </c>
      <c r="B524" s="129">
        <v>89550</v>
      </c>
      <c r="C524" s="140">
        <v>18705</v>
      </c>
      <c r="D524" s="138">
        <v>18680</v>
      </c>
      <c r="E524" s="19">
        <f t="shared" ref="E524:E533" si="63">+C524-C523</f>
        <v>275</v>
      </c>
      <c r="F524" s="161"/>
      <c r="G524" s="161"/>
      <c r="H524" s="169">
        <v>129750</v>
      </c>
    </row>
    <row r="525" spans="1:8" ht="15" customHeight="1">
      <c r="A525" s="3">
        <v>40913</v>
      </c>
      <c r="B525" s="129">
        <v>89838</v>
      </c>
      <c r="C525" s="140">
        <v>18590</v>
      </c>
      <c r="D525" s="138">
        <v>18560</v>
      </c>
      <c r="E525" s="19">
        <f t="shared" si="63"/>
        <v>-115</v>
      </c>
      <c r="F525" s="213"/>
      <c r="G525" s="213"/>
      <c r="H525" s="169">
        <v>130500</v>
      </c>
    </row>
    <row r="526" spans="1:8" ht="15" customHeight="1">
      <c r="A526" s="3">
        <v>40914</v>
      </c>
      <c r="B526" s="129">
        <v>89838</v>
      </c>
      <c r="C526" s="140">
        <v>18680</v>
      </c>
      <c r="D526" s="138">
        <v>18650</v>
      </c>
      <c r="E526" s="19">
        <f t="shared" si="63"/>
        <v>90</v>
      </c>
      <c r="F526" s="213"/>
      <c r="G526" s="213"/>
      <c r="H526" s="169">
        <v>130500</v>
      </c>
    </row>
    <row r="527" spans="1:8" ht="15" customHeight="1">
      <c r="A527" s="3">
        <v>40917</v>
      </c>
      <c r="B527" s="129">
        <v>89838</v>
      </c>
      <c r="C527" s="140">
        <v>18855</v>
      </c>
      <c r="D527" s="138">
        <v>18875</v>
      </c>
      <c r="E527" s="19">
        <f t="shared" si="63"/>
        <v>175</v>
      </c>
      <c r="F527" s="213"/>
      <c r="G527" s="213"/>
      <c r="H527" s="169">
        <v>131000</v>
      </c>
    </row>
    <row r="528" spans="1:8" ht="15" customHeight="1">
      <c r="A528" s="3">
        <v>40918</v>
      </c>
      <c r="B528" s="129">
        <v>92538</v>
      </c>
      <c r="C528" s="140">
        <v>19425</v>
      </c>
      <c r="D528" s="138">
        <v>19410</v>
      </c>
      <c r="E528" s="19">
        <f t="shared" si="63"/>
        <v>570</v>
      </c>
      <c r="F528" s="213"/>
      <c r="G528" s="213"/>
      <c r="H528" s="169">
        <v>131750</v>
      </c>
    </row>
    <row r="529" spans="1:8" ht="15" customHeight="1">
      <c r="A529" s="3">
        <v>40919</v>
      </c>
      <c r="B529" s="129">
        <v>92844</v>
      </c>
      <c r="C529" s="140">
        <v>19360</v>
      </c>
      <c r="D529" s="138">
        <v>19400</v>
      </c>
      <c r="E529" s="19">
        <f t="shared" si="63"/>
        <v>-65</v>
      </c>
      <c r="F529" s="213"/>
      <c r="G529" s="213"/>
      <c r="H529" s="169">
        <v>134250</v>
      </c>
    </row>
    <row r="530" spans="1:8" ht="15" customHeight="1">
      <c r="A530" s="3">
        <v>40920</v>
      </c>
      <c r="B530" s="129">
        <v>92334</v>
      </c>
      <c r="C530" s="140">
        <v>19575</v>
      </c>
      <c r="D530" s="138">
        <v>19600</v>
      </c>
      <c r="E530" s="19">
        <f t="shared" si="63"/>
        <v>215</v>
      </c>
      <c r="F530" s="213"/>
      <c r="G530" s="213"/>
      <c r="H530" s="169">
        <v>134250</v>
      </c>
    </row>
    <row r="531" spans="1:8" ht="15" customHeight="1">
      <c r="A531" s="3">
        <v>40921</v>
      </c>
      <c r="B531" s="129">
        <v>92460</v>
      </c>
      <c r="C531" s="140">
        <v>19630</v>
      </c>
      <c r="D531" s="138">
        <v>19650</v>
      </c>
      <c r="E531" s="19">
        <f t="shared" si="63"/>
        <v>55</v>
      </c>
      <c r="F531" s="213"/>
      <c r="G531" s="213"/>
      <c r="H531" s="169">
        <v>136000</v>
      </c>
    </row>
    <row r="532" spans="1:8" ht="15" customHeight="1">
      <c r="A532" s="3">
        <v>40924</v>
      </c>
      <c r="B532" s="129">
        <v>92232</v>
      </c>
      <c r="C532" s="140">
        <v>19270</v>
      </c>
      <c r="D532" s="138">
        <v>19305</v>
      </c>
      <c r="E532" s="19">
        <f t="shared" si="63"/>
        <v>-360</v>
      </c>
      <c r="F532" s="213"/>
      <c r="G532" s="213"/>
      <c r="H532" s="169">
        <v>136750</v>
      </c>
    </row>
    <row r="533" spans="1:8" ht="15" customHeight="1">
      <c r="A533" s="3">
        <v>40925</v>
      </c>
      <c r="B533" s="129">
        <v>92034</v>
      </c>
      <c r="C533" s="140">
        <v>19480</v>
      </c>
      <c r="D533" s="138">
        <v>19605</v>
      </c>
      <c r="E533" s="19">
        <f t="shared" si="63"/>
        <v>210</v>
      </c>
      <c r="F533" s="213"/>
      <c r="G533" s="213"/>
      <c r="H533" s="169">
        <v>136750</v>
      </c>
    </row>
    <row r="534" spans="1:8" ht="15" customHeight="1">
      <c r="A534" s="3">
        <v>40926</v>
      </c>
      <c r="B534" s="129">
        <v>91908</v>
      </c>
      <c r="C534" s="140">
        <v>19460</v>
      </c>
      <c r="D534" s="138">
        <v>19525</v>
      </c>
      <c r="E534" s="19">
        <f>+C534-C532</f>
        <v>190</v>
      </c>
      <c r="F534" s="213"/>
      <c r="G534" s="213"/>
      <c r="H534" s="169">
        <v>137250</v>
      </c>
    </row>
    <row r="535" spans="1:8" ht="15" customHeight="1">
      <c r="A535" s="3">
        <v>40927</v>
      </c>
      <c r="B535" s="129">
        <v>91788</v>
      </c>
      <c r="C535" s="140">
        <v>19680</v>
      </c>
      <c r="D535" s="138">
        <v>19740</v>
      </c>
      <c r="E535" s="19">
        <f t="shared" ref="E535:E540" si="64">+C535-C534</f>
        <v>220</v>
      </c>
      <c r="F535" s="213"/>
      <c r="G535" s="213"/>
      <c r="H535" s="169">
        <v>138000</v>
      </c>
    </row>
    <row r="536" spans="1:8" ht="15" customHeight="1">
      <c r="A536" s="3">
        <v>40928</v>
      </c>
      <c r="B536" s="129">
        <v>91668</v>
      </c>
      <c r="C536" s="140">
        <v>20155</v>
      </c>
      <c r="D536" s="138">
        <v>20180</v>
      </c>
      <c r="E536" s="19">
        <f t="shared" si="64"/>
        <v>475</v>
      </c>
      <c r="F536" s="213"/>
      <c r="G536" s="213"/>
      <c r="H536" s="169">
        <v>140150</v>
      </c>
    </row>
    <row r="537" spans="1:8" ht="15" customHeight="1">
      <c r="A537" s="3">
        <v>40931</v>
      </c>
      <c r="B537" s="129">
        <v>92772</v>
      </c>
      <c r="C537" s="140">
        <v>20620</v>
      </c>
      <c r="D537" s="138">
        <v>20670</v>
      </c>
      <c r="E537" s="19">
        <f t="shared" si="64"/>
        <v>465</v>
      </c>
      <c r="F537" s="213"/>
      <c r="G537" s="213"/>
      <c r="H537" s="1068" t="s">
        <v>86</v>
      </c>
    </row>
    <row r="538" spans="1:8" ht="15" customHeight="1">
      <c r="A538" s="3">
        <v>40932</v>
      </c>
      <c r="B538" s="129">
        <v>92892</v>
      </c>
      <c r="C538" s="140">
        <v>20295</v>
      </c>
      <c r="D538" s="138">
        <v>20295</v>
      </c>
      <c r="E538" s="19">
        <f t="shared" si="64"/>
        <v>-325</v>
      </c>
      <c r="F538" s="213"/>
      <c r="G538" s="213"/>
      <c r="H538" s="1068"/>
    </row>
    <row r="539" spans="1:8" ht="15" customHeight="1">
      <c r="A539" s="3">
        <v>40933</v>
      </c>
      <c r="B539" s="129">
        <v>94104</v>
      </c>
      <c r="C539" s="140">
        <v>20510</v>
      </c>
      <c r="D539" s="138">
        <v>20555</v>
      </c>
      <c r="E539" s="19">
        <f t="shared" si="64"/>
        <v>215</v>
      </c>
      <c r="F539" s="213"/>
      <c r="G539" s="213"/>
      <c r="H539" s="1068"/>
    </row>
    <row r="540" spans="1:8" ht="15" customHeight="1">
      <c r="A540" s="3">
        <v>40934</v>
      </c>
      <c r="B540" s="129">
        <v>94452</v>
      </c>
      <c r="C540" s="140">
        <v>21350</v>
      </c>
      <c r="D540" s="138">
        <v>21450</v>
      </c>
      <c r="E540" s="19">
        <f t="shared" si="64"/>
        <v>840</v>
      </c>
      <c r="F540" s="213"/>
      <c r="G540" s="213"/>
      <c r="H540" s="1068"/>
    </row>
    <row r="541" spans="1:8" ht="15" customHeight="1">
      <c r="A541" s="3">
        <v>40935</v>
      </c>
      <c r="B541" s="129">
        <v>95016</v>
      </c>
      <c r="C541" s="140">
        <v>21670</v>
      </c>
      <c r="D541" s="138">
        <v>21730</v>
      </c>
      <c r="E541" s="19">
        <f t="shared" ref="E541:E546" si="65">+C541-C540</f>
        <v>320</v>
      </c>
      <c r="F541" s="213"/>
      <c r="G541" s="213"/>
      <c r="H541" s="1068"/>
    </row>
    <row r="542" spans="1:8" ht="15" customHeight="1">
      <c r="A542" s="3">
        <v>40938</v>
      </c>
      <c r="B542" s="129">
        <v>94776</v>
      </c>
      <c r="C542" s="140">
        <v>21370</v>
      </c>
      <c r="D542" s="138">
        <v>21415</v>
      </c>
      <c r="E542" s="19">
        <f t="shared" si="65"/>
        <v>-300</v>
      </c>
      <c r="F542" s="213"/>
      <c r="G542" s="213"/>
      <c r="H542" s="169">
        <v>148000</v>
      </c>
    </row>
    <row r="543" spans="1:8" ht="15" customHeight="1" thickBot="1">
      <c r="A543" s="12">
        <v>40939</v>
      </c>
      <c r="B543" s="142">
        <v>94512</v>
      </c>
      <c r="C543" s="143">
        <v>21150</v>
      </c>
      <c r="D543" s="144">
        <v>21275</v>
      </c>
      <c r="E543" s="20">
        <f t="shared" si="65"/>
        <v>-220</v>
      </c>
      <c r="F543" s="260">
        <f>AVERAGE(C523:C543)</f>
        <v>19821.904761904763</v>
      </c>
      <c r="G543" s="261">
        <f>AVERAGE(C523:C543)</f>
        <v>19821.904761904763</v>
      </c>
      <c r="H543" s="170">
        <v>146750</v>
      </c>
    </row>
    <row r="544" spans="1:8" ht="15" customHeight="1">
      <c r="A544" s="3">
        <v>40940</v>
      </c>
      <c r="B544" s="132">
        <v>95598</v>
      </c>
      <c r="C544" s="137">
        <v>20870</v>
      </c>
      <c r="D544" s="136">
        <v>20980</v>
      </c>
      <c r="E544" s="19">
        <f t="shared" si="65"/>
        <v>-280</v>
      </c>
      <c r="F544" s="145"/>
      <c r="G544" s="145"/>
      <c r="H544" s="168">
        <v>144000</v>
      </c>
    </row>
    <row r="545" spans="1:10" ht="15" customHeight="1">
      <c r="A545" s="3">
        <v>40941</v>
      </c>
      <c r="B545" s="132">
        <v>95850</v>
      </c>
      <c r="C545" s="137">
        <v>20905</v>
      </c>
      <c r="D545" s="136">
        <v>21000</v>
      </c>
      <c r="E545" s="19">
        <f t="shared" si="65"/>
        <v>35</v>
      </c>
      <c r="F545" s="145"/>
      <c r="G545" s="145"/>
      <c r="H545" s="169">
        <v>143500</v>
      </c>
    </row>
    <row r="546" spans="1:10" ht="15" customHeight="1">
      <c r="A546" s="3">
        <v>40942</v>
      </c>
      <c r="B546" s="132">
        <v>94524</v>
      </c>
      <c r="C546" s="137">
        <v>20780</v>
      </c>
      <c r="D546" s="136">
        <v>20845</v>
      </c>
      <c r="E546" s="19">
        <f t="shared" si="65"/>
        <v>-125</v>
      </c>
      <c r="F546" s="145"/>
      <c r="G546" s="145"/>
      <c r="H546" s="169">
        <v>142250</v>
      </c>
    </row>
    <row r="547" spans="1:10" ht="15" customHeight="1">
      <c r="A547" s="3">
        <v>40945</v>
      </c>
      <c r="B547" s="132">
        <v>94518</v>
      </c>
      <c r="C547" s="137">
        <v>21105</v>
      </c>
      <c r="D547" s="136">
        <v>21200</v>
      </c>
      <c r="E547" s="19">
        <f t="shared" ref="E547:E552" si="66">+C547-C546</f>
        <v>325</v>
      </c>
      <c r="F547" s="145"/>
      <c r="G547" s="145"/>
      <c r="H547" s="169">
        <v>144500</v>
      </c>
    </row>
    <row r="548" spans="1:10" ht="15" customHeight="1">
      <c r="A548" s="3">
        <v>40946</v>
      </c>
      <c r="B548" s="132">
        <v>94518</v>
      </c>
      <c r="C548" s="137">
        <v>21300</v>
      </c>
      <c r="D548" s="136">
        <v>21375</v>
      </c>
      <c r="E548" s="19">
        <f t="shared" si="66"/>
        <v>195</v>
      </c>
      <c r="F548" s="145"/>
      <c r="G548" s="145"/>
      <c r="H548" s="169">
        <v>145250</v>
      </c>
    </row>
    <row r="549" spans="1:10" ht="15" customHeight="1">
      <c r="A549" s="3">
        <v>40947</v>
      </c>
      <c r="B549" s="132">
        <v>94170</v>
      </c>
      <c r="C549" s="137">
        <v>21830</v>
      </c>
      <c r="D549" s="136">
        <v>21880</v>
      </c>
      <c r="E549" s="19">
        <f t="shared" si="66"/>
        <v>530</v>
      </c>
      <c r="F549" s="145"/>
      <c r="G549" s="145"/>
      <c r="H549" s="169">
        <v>145250</v>
      </c>
    </row>
    <row r="550" spans="1:10" ht="15" customHeight="1">
      <c r="A550" s="3">
        <v>40948</v>
      </c>
      <c r="B550" s="132">
        <v>94308</v>
      </c>
      <c r="C550" s="137">
        <v>21350</v>
      </c>
      <c r="D550" s="136">
        <v>21400</v>
      </c>
      <c r="E550" s="19">
        <f t="shared" si="66"/>
        <v>-480</v>
      </c>
      <c r="F550" s="145"/>
      <c r="G550" s="145"/>
      <c r="H550" s="169">
        <v>145250</v>
      </c>
    </row>
    <row r="551" spans="1:10" ht="15" customHeight="1">
      <c r="A551" s="3">
        <v>40949</v>
      </c>
      <c r="B551" s="132">
        <v>94488</v>
      </c>
      <c r="C551" s="137">
        <v>21050</v>
      </c>
      <c r="D551" s="136">
        <v>21125</v>
      </c>
      <c r="E551" s="19">
        <f t="shared" si="66"/>
        <v>-300</v>
      </c>
      <c r="F551" s="145"/>
      <c r="G551" s="145"/>
      <c r="H551" s="169">
        <v>145750</v>
      </c>
    </row>
    <row r="552" spans="1:10" ht="15" customHeight="1">
      <c r="A552" s="3">
        <v>40952</v>
      </c>
      <c r="B552" s="132">
        <v>94380</v>
      </c>
      <c r="C552" s="137">
        <v>20980</v>
      </c>
      <c r="D552" s="136">
        <v>21050</v>
      </c>
      <c r="E552" s="19">
        <f t="shared" si="66"/>
        <v>-70</v>
      </c>
      <c r="F552" s="145"/>
      <c r="G552" s="145"/>
      <c r="H552" s="169">
        <v>143750</v>
      </c>
      <c r="J552" s="134"/>
    </row>
    <row r="553" spans="1:10" ht="15" customHeight="1">
      <c r="A553" s="3">
        <v>40953</v>
      </c>
      <c r="B553" s="132">
        <v>94320</v>
      </c>
      <c r="C553" s="137">
        <v>20205</v>
      </c>
      <c r="D553" s="136">
        <v>20355</v>
      </c>
      <c r="E553" s="19">
        <f t="shared" ref="E553:E558" si="67">+C553-C552</f>
        <v>-775</v>
      </c>
      <c r="F553" s="145"/>
      <c r="G553" s="145"/>
      <c r="H553" s="169">
        <v>143500</v>
      </c>
    </row>
    <row r="554" spans="1:10" ht="15" customHeight="1">
      <c r="A554" s="3">
        <v>40954</v>
      </c>
      <c r="B554" s="132">
        <v>95712</v>
      </c>
      <c r="C554" s="137">
        <v>20350</v>
      </c>
      <c r="D554" s="136">
        <v>20350</v>
      </c>
      <c r="E554" s="19">
        <f t="shared" si="67"/>
        <v>145</v>
      </c>
      <c r="F554" s="145"/>
      <c r="G554" s="145"/>
      <c r="H554" s="169">
        <v>141250</v>
      </c>
    </row>
    <row r="555" spans="1:10" ht="15" customHeight="1">
      <c r="A555" s="3">
        <v>40955</v>
      </c>
      <c r="B555" s="132">
        <v>97770</v>
      </c>
      <c r="C555" s="137">
        <v>19755</v>
      </c>
      <c r="D555" s="136">
        <v>19830</v>
      </c>
      <c r="E555" s="19">
        <f t="shared" si="67"/>
        <v>-595</v>
      </c>
      <c r="F555" s="145"/>
      <c r="G555" s="145"/>
      <c r="H555" s="169">
        <v>141000</v>
      </c>
    </row>
    <row r="556" spans="1:10" ht="15" customHeight="1">
      <c r="A556" s="3">
        <v>40956</v>
      </c>
      <c r="B556" s="132">
        <v>97218</v>
      </c>
      <c r="C556" s="137">
        <v>19735</v>
      </c>
      <c r="D556" s="136">
        <v>19850</v>
      </c>
      <c r="E556" s="19">
        <f t="shared" si="67"/>
        <v>-20</v>
      </c>
      <c r="F556" s="145"/>
      <c r="G556" s="145"/>
      <c r="H556" s="169">
        <v>139250</v>
      </c>
    </row>
    <row r="557" spans="1:10" ht="15" customHeight="1">
      <c r="A557" s="3">
        <v>40959</v>
      </c>
      <c r="B557" s="132">
        <v>96816</v>
      </c>
      <c r="C557" s="137">
        <v>19600</v>
      </c>
      <c r="D557" s="136">
        <v>19745</v>
      </c>
      <c r="E557" s="19">
        <f t="shared" si="67"/>
        <v>-135</v>
      </c>
      <c r="F557" s="145"/>
      <c r="G557" s="145"/>
      <c r="H557" s="169">
        <v>139500</v>
      </c>
    </row>
    <row r="558" spans="1:10" ht="15" customHeight="1">
      <c r="A558" s="3">
        <v>40960</v>
      </c>
      <c r="B558" s="132">
        <v>97308</v>
      </c>
      <c r="C558" s="137">
        <v>19990</v>
      </c>
      <c r="D558" s="136">
        <v>20125</v>
      </c>
      <c r="E558" s="19">
        <f t="shared" si="67"/>
        <v>390</v>
      </c>
      <c r="F558" s="145"/>
      <c r="G558" s="145"/>
      <c r="H558" s="169">
        <v>139500</v>
      </c>
    </row>
    <row r="559" spans="1:10" ht="15" customHeight="1">
      <c r="A559" s="3">
        <v>40961</v>
      </c>
      <c r="B559" s="132">
        <v>98016</v>
      </c>
      <c r="C559" s="137">
        <v>20100</v>
      </c>
      <c r="D559" s="136">
        <v>20160</v>
      </c>
      <c r="E559" s="19">
        <f t="shared" ref="E559:E565" si="68">+C559-C558</f>
        <v>110</v>
      </c>
      <c r="F559" s="145"/>
      <c r="G559" s="145"/>
      <c r="H559" s="169">
        <v>140000</v>
      </c>
    </row>
    <row r="560" spans="1:10" ht="15" customHeight="1">
      <c r="A560" s="3">
        <v>40962</v>
      </c>
      <c r="B560" s="132">
        <v>97818</v>
      </c>
      <c r="C560" s="137">
        <v>20000</v>
      </c>
      <c r="D560" s="136">
        <v>20195</v>
      </c>
      <c r="E560" s="19">
        <f t="shared" si="68"/>
        <v>-100</v>
      </c>
      <c r="F560" s="145"/>
      <c r="G560" s="145"/>
      <c r="H560" s="169">
        <v>139500</v>
      </c>
    </row>
    <row r="561" spans="1:8" ht="15" customHeight="1">
      <c r="A561" s="3">
        <v>40963</v>
      </c>
      <c r="B561" s="132">
        <v>97536</v>
      </c>
      <c r="C561" s="137">
        <v>19905</v>
      </c>
      <c r="D561" s="136">
        <v>20020</v>
      </c>
      <c r="E561" s="19">
        <f t="shared" si="68"/>
        <v>-95</v>
      </c>
      <c r="F561" s="145"/>
      <c r="G561" s="145"/>
      <c r="H561" s="169">
        <v>139500</v>
      </c>
    </row>
    <row r="562" spans="1:8" ht="15" customHeight="1">
      <c r="A562" s="3">
        <v>40966</v>
      </c>
      <c r="B562" s="132">
        <v>97398</v>
      </c>
      <c r="C562" s="137">
        <v>19835</v>
      </c>
      <c r="D562" s="136">
        <v>20000</v>
      </c>
      <c r="E562" s="19">
        <f t="shared" si="68"/>
        <v>-70</v>
      </c>
      <c r="F562" s="145"/>
      <c r="G562" s="145"/>
      <c r="H562" s="169">
        <v>140000</v>
      </c>
    </row>
    <row r="563" spans="1:8" ht="15" customHeight="1">
      <c r="A563" s="3">
        <v>40967</v>
      </c>
      <c r="B563" s="129">
        <v>98442</v>
      </c>
      <c r="C563" s="140">
        <v>20210</v>
      </c>
      <c r="D563" s="138">
        <v>20260</v>
      </c>
      <c r="E563" s="19">
        <f t="shared" si="68"/>
        <v>375</v>
      </c>
      <c r="F563" s="213"/>
      <c r="G563" s="213"/>
      <c r="H563" s="169">
        <v>139750</v>
      </c>
    </row>
    <row r="564" spans="1:8" s="230" customFormat="1" ht="15" customHeight="1" thickBot="1">
      <c r="A564" s="12">
        <v>40968</v>
      </c>
      <c r="B564" s="142">
        <v>98446</v>
      </c>
      <c r="C564" s="143">
        <v>19910</v>
      </c>
      <c r="D564" s="144">
        <v>20000</v>
      </c>
      <c r="E564" s="20">
        <f t="shared" si="68"/>
        <v>-300</v>
      </c>
      <c r="F564" s="260">
        <f>AVERAGE(C544:C564)</f>
        <v>20465</v>
      </c>
      <c r="G564" s="261">
        <f>AVERAGE(C523:C564)</f>
        <v>20143.452380952382</v>
      </c>
      <c r="H564" s="170"/>
    </row>
    <row r="565" spans="1:8" ht="15" customHeight="1">
      <c r="A565" s="36">
        <v>40969</v>
      </c>
      <c r="B565" s="152">
        <v>99030</v>
      </c>
      <c r="C565" s="153">
        <v>19745</v>
      </c>
      <c r="D565" s="154">
        <v>19755</v>
      </c>
      <c r="E565" s="21">
        <f t="shared" si="68"/>
        <v>-165</v>
      </c>
      <c r="F565" s="216"/>
      <c r="G565" s="216"/>
      <c r="H565" s="168">
        <v>138250</v>
      </c>
    </row>
    <row r="566" spans="1:8" ht="15" customHeight="1">
      <c r="A566" s="3">
        <v>40970</v>
      </c>
      <c r="B566" s="129">
        <v>98622</v>
      </c>
      <c r="C566" s="140">
        <v>19390</v>
      </c>
      <c r="D566" s="138">
        <v>19525</v>
      </c>
      <c r="E566" s="19">
        <f t="shared" ref="E566:E571" si="69">+C566-C565</f>
        <v>-355</v>
      </c>
      <c r="F566" s="213"/>
      <c r="G566" s="213"/>
      <c r="H566" s="169">
        <v>138250</v>
      </c>
    </row>
    <row r="567" spans="1:8" ht="15" customHeight="1">
      <c r="A567" s="3">
        <v>40973</v>
      </c>
      <c r="B567" s="129">
        <v>98610</v>
      </c>
      <c r="C567" s="140">
        <v>19300</v>
      </c>
      <c r="D567" s="138">
        <v>19355</v>
      </c>
      <c r="E567" s="19">
        <f t="shared" si="69"/>
        <v>-90</v>
      </c>
      <c r="F567" s="213"/>
      <c r="G567" s="213"/>
      <c r="H567" s="169">
        <v>138250</v>
      </c>
    </row>
    <row r="568" spans="1:8" ht="15" customHeight="1">
      <c r="A568" s="3">
        <v>40974</v>
      </c>
      <c r="B568" s="129">
        <v>98322</v>
      </c>
      <c r="C568" s="140">
        <v>18700</v>
      </c>
      <c r="D568" s="138">
        <v>18850</v>
      </c>
      <c r="E568" s="19">
        <f t="shared" si="69"/>
        <v>-600</v>
      </c>
      <c r="F568" s="213"/>
      <c r="G568" s="213"/>
      <c r="H568" s="169">
        <v>135500</v>
      </c>
    </row>
    <row r="569" spans="1:8" ht="15" customHeight="1">
      <c r="A569" s="3">
        <v>40975</v>
      </c>
      <c r="B569" s="129">
        <v>98034</v>
      </c>
      <c r="C569" s="140">
        <v>18775</v>
      </c>
      <c r="D569" s="138">
        <v>18895</v>
      </c>
      <c r="E569" s="19">
        <f t="shared" si="69"/>
        <v>75</v>
      </c>
      <c r="F569" s="213"/>
      <c r="G569" s="213"/>
      <c r="H569" s="169">
        <v>134250</v>
      </c>
    </row>
    <row r="570" spans="1:8" ht="15" customHeight="1">
      <c r="A570" s="3">
        <v>40976</v>
      </c>
      <c r="B570" s="129">
        <v>97926</v>
      </c>
      <c r="C570" s="140">
        <v>19000</v>
      </c>
      <c r="D570" s="138">
        <v>19105</v>
      </c>
      <c r="E570" s="19">
        <f t="shared" si="69"/>
        <v>225</v>
      </c>
      <c r="F570" s="213"/>
      <c r="G570" s="213"/>
      <c r="H570" s="169">
        <v>135250</v>
      </c>
    </row>
    <row r="571" spans="1:8" ht="15" customHeight="1">
      <c r="A571" s="3">
        <v>40977</v>
      </c>
      <c r="B571" s="129">
        <v>97146</v>
      </c>
      <c r="C571" s="140">
        <v>18750</v>
      </c>
      <c r="D571" s="138">
        <v>18875</v>
      </c>
      <c r="E571" s="19">
        <f t="shared" si="69"/>
        <v>-250</v>
      </c>
      <c r="F571" s="213"/>
      <c r="G571" s="213"/>
      <c r="H571" s="169">
        <v>135250</v>
      </c>
    </row>
    <row r="572" spans="1:8" ht="15" customHeight="1">
      <c r="A572" s="3">
        <v>40980</v>
      </c>
      <c r="B572" s="129">
        <v>96864</v>
      </c>
      <c r="C572" s="140">
        <v>19000</v>
      </c>
      <c r="D572" s="138">
        <v>19075</v>
      </c>
      <c r="E572" s="19">
        <f t="shared" ref="E572:E577" si="70">+C572-C571</f>
        <v>250</v>
      </c>
      <c r="F572" s="213"/>
      <c r="G572" s="213"/>
      <c r="H572" s="169">
        <v>136250</v>
      </c>
    </row>
    <row r="573" spans="1:8" ht="15" customHeight="1">
      <c r="A573" s="3">
        <v>40981</v>
      </c>
      <c r="B573" s="129">
        <v>96750</v>
      </c>
      <c r="C573" s="140">
        <v>19250</v>
      </c>
      <c r="D573" s="138">
        <v>19330</v>
      </c>
      <c r="E573" s="19">
        <f t="shared" si="70"/>
        <v>250</v>
      </c>
      <c r="F573" s="213"/>
      <c r="G573" s="213"/>
      <c r="H573" s="169">
        <v>136250</v>
      </c>
    </row>
    <row r="574" spans="1:8" ht="15" customHeight="1">
      <c r="A574" s="3">
        <v>40982</v>
      </c>
      <c r="B574" s="129">
        <v>96726</v>
      </c>
      <c r="C574" s="140">
        <v>19350</v>
      </c>
      <c r="D574" s="138">
        <v>19455</v>
      </c>
      <c r="E574" s="19">
        <f t="shared" si="70"/>
        <v>100</v>
      </c>
      <c r="F574" s="213"/>
      <c r="G574" s="213"/>
      <c r="H574" s="169">
        <v>137750</v>
      </c>
    </row>
    <row r="575" spans="1:8" ht="15" customHeight="1">
      <c r="A575" s="3">
        <v>40983</v>
      </c>
      <c r="B575" s="129">
        <v>97170</v>
      </c>
      <c r="C575" s="140">
        <v>19195</v>
      </c>
      <c r="D575" s="138">
        <v>19255</v>
      </c>
      <c r="E575" s="19">
        <f t="shared" si="70"/>
        <v>-155</v>
      </c>
      <c r="F575" s="213"/>
      <c r="G575" s="213"/>
      <c r="H575" s="169">
        <v>137500</v>
      </c>
    </row>
    <row r="576" spans="1:8" ht="15" customHeight="1">
      <c r="A576" s="3">
        <v>40984</v>
      </c>
      <c r="B576" s="129">
        <v>97422</v>
      </c>
      <c r="C576" s="140">
        <v>19200</v>
      </c>
      <c r="D576" s="138">
        <v>19275</v>
      </c>
      <c r="E576" s="19">
        <f t="shared" si="70"/>
        <v>5</v>
      </c>
      <c r="F576" s="213"/>
      <c r="G576" s="213"/>
      <c r="H576" s="169">
        <v>137000</v>
      </c>
    </row>
    <row r="577" spans="1:14" ht="15" customHeight="1">
      <c r="A577" s="3">
        <v>40987</v>
      </c>
      <c r="B577" s="129">
        <v>97326</v>
      </c>
      <c r="C577" s="140">
        <v>18755</v>
      </c>
      <c r="D577" s="138">
        <v>18850</v>
      </c>
      <c r="E577" s="19">
        <f t="shared" si="70"/>
        <v>-445</v>
      </c>
      <c r="F577" s="213"/>
      <c r="G577" s="213"/>
      <c r="H577" s="169">
        <v>135500</v>
      </c>
      <c r="N577" s="132"/>
    </row>
    <row r="578" spans="1:14" ht="15" customHeight="1">
      <c r="A578" s="3">
        <v>40988</v>
      </c>
      <c r="B578" s="129">
        <v>97050</v>
      </c>
      <c r="C578" s="140">
        <v>18770</v>
      </c>
      <c r="D578" s="138">
        <v>18825</v>
      </c>
      <c r="E578" s="19">
        <f t="shared" ref="E578:E583" si="71">+C578-C577</f>
        <v>15</v>
      </c>
      <c r="F578" s="213"/>
      <c r="G578" s="213"/>
      <c r="H578" s="169">
        <v>135000</v>
      </c>
      <c r="L578" s="232"/>
    </row>
    <row r="579" spans="1:14" ht="15" customHeight="1">
      <c r="A579" s="3">
        <v>40989</v>
      </c>
      <c r="B579" s="129">
        <v>97848</v>
      </c>
      <c r="C579" s="140">
        <v>18880</v>
      </c>
      <c r="D579" s="138">
        <v>18940</v>
      </c>
      <c r="E579" s="19">
        <f t="shared" si="71"/>
        <v>110</v>
      </c>
      <c r="F579" s="213"/>
      <c r="G579" s="213"/>
      <c r="H579" s="169">
        <v>135000</v>
      </c>
    </row>
    <row r="580" spans="1:14" ht="15" customHeight="1">
      <c r="A580" s="3">
        <v>40990</v>
      </c>
      <c r="B580" s="129">
        <v>97788</v>
      </c>
      <c r="C580" s="140">
        <v>18470</v>
      </c>
      <c r="D580" s="138">
        <v>18530</v>
      </c>
      <c r="E580" s="19">
        <f t="shared" si="71"/>
        <v>-410</v>
      </c>
      <c r="F580" s="213"/>
      <c r="G580" s="213"/>
      <c r="H580" s="169">
        <v>134500</v>
      </c>
    </row>
    <row r="581" spans="1:14" ht="15" customHeight="1">
      <c r="A581" s="3">
        <v>40991</v>
      </c>
      <c r="B581" s="129">
        <v>97740</v>
      </c>
      <c r="C581" s="140">
        <v>18305</v>
      </c>
      <c r="D581" s="138">
        <v>18400</v>
      </c>
      <c r="E581" s="19">
        <f t="shared" si="71"/>
        <v>-165</v>
      </c>
      <c r="F581" s="213"/>
      <c r="G581" s="213"/>
      <c r="H581" s="169">
        <v>133500</v>
      </c>
    </row>
    <row r="582" spans="1:14" ht="15" customHeight="1">
      <c r="A582" s="3">
        <v>40994</v>
      </c>
      <c r="B582" s="129">
        <v>97692</v>
      </c>
      <c r="C582" s="140">
        <v>18190</v>
      </c>
      <c r="D582" s="138">
        <v>18260</v>
      </c>
      <c r="E582" s="19">
        <f t="shared" si="71"/>
        <v>-115</v>
      </c>
      <c r="F582" s="213"/>
      <c r="G582" s="213"/>
      <c r="H582" s="169">
        <v>133000</v>
      </c>
    </row>
    <row r="583" spans="1:14" ht="15" customHeight="1">
      <c r="A583" s="3">
        <v>40995</v>
      </c>
      <c r="B583" s="129">
        <v>99222</v>
      </c>
      <c r="C583" s="140">
        <v>18030</v>
      </c>
      <c r="D583" s="138">
        <v>18070</v>
      </c>
      <c r="E583" s="19">
        <f t="shared" si="71"/>
        <v>-160</v>
      </c>
      <c r="F583" s="213"/>
      <c r="G583" s="213"/>
      <c r="H583" s="169">
        <v>133250</v>
      </c>
    </row>
    <row r="584" spans="1:14" ht="15" customHeight="1">
      <c r="A584" s="3">
        <v>40996</v>
      </c>
      <c r="B584" s="129">
        <v>99960</v>
      </c>
      <c r="C584" s="140">
        <v>17720</v>
      </c>
      <c r="D584" s="138">
        <v>17800</v>
      </c>
      <c r="E584" s="19">
        <f t="shared" ref="E584:E589" si="72">+C584-C583</f>
        <v>-310</v>
      </c>
      <c r="F584" s="213"/>
      <c r="G584" s="213"/>
      <c r="H584" s="169">
        <v>132000</v>
      </c>
    </row>
    <row r="585" spans="1:14" ht="15" customHeight="1">
      <c r="A585" s="3">
        <v>40997</v>
      </c>
      <c r="B585" s="129">
        <v>99918</v>
      </c>
      <c r="C585" s="140">
        <v>17405</v>
      </c>
      <c r="D585" s="138">
        <v>17480</v>
      </c>
      <c r="E585" s="19">
        <f t="shared" si="72"/>
        <v>-315</v>
      </c>
      <c r="F585" s="213"/>
      <c r="G585" s="213"/>
      <c r="H585" s="169">
        <v>130500</v>
      </c>
    </row>
    <row r="586" spans="1:14" ht="15" customHeight="1" thickBot="1">
      <c r="A586" s="12">
        <v>40998</v>
      </c>
      <c r="B586" s="142">
        <v>99882</v>
      </c>
      <c r="C586" s="143">
        <v>17430</v>
      </c>
      <c r="D586" s="144">
        <v>17500</v>
      </c>
      <c r="E586" s="20">
        <f t="shared" si="72"/>
        <v>25</v>
      </c>
      <c r="F586" s="260">
        <f>AVERAGE(C565:C586)</f>
        <v>18709.545454545456</v>
      </c>
      <c r="G586" s="261">
        <f>AVERAGE(C523:C586)</f>
        <v>19650.546875</v>
      </c>
      <c r="H586" s="170">
        <v>129000</v>
      </c>
    </row>
    <row r="587" spans="1:14" ht="15" customHeight="1">
      <c r="A587" s="36">
        <v>41001</v>
      </c>
      <c r="B587" s="152">
        <v>100542</v>
      </c>
      <c r="C587" s="153">
        <v>17780</v>
      </c>
      <c r="D587" s="154">
        <v>17910</v>
      </c>
      <c r="E587" s="21">
        <f t="shared" si="72"/>
        <v>350</v>
      </c>
      <c r="F587" s="216"/>
      <c r="G587" s="216"/>
      <c r="H587" s="1067" t="s">
        <v>90</v>
      </c>
    </row>
    <row r="588" spans="1:14" ht="15" customHeight="1">
      <c r="A588" s="3">
        <v>41002</v>
      </c>
      <c r="B588" s="129">
        <v>100542</v>
      </c>
      <c r="C588" s="140">
        <v>18325</v>
      </c>
      <c r="D588" s="138">
        <v>18380</v>
      </c>
      <c r="E588" s="19">
        <f t="shared" si="72"/>
        <v>545</v>
      </c>
      <c r="F588" s="213"/>
      <c r="G588" s="213"/>
      <c r="H588" s="1068"/>
    </row>
    <row r="589" spans="1:14" ht="15" customHeight="1">
      <c r="A589" s="3">
        <v>41003</v>
      </c>
      <c r="B589" s="129">
        <v>100614</v>
      </c>
      <c r="C589" s="140">
        <v>18035</v>
      </c>
      <c r="D589" s="138">
        <v>18120</v>
      </c>
      <c r="E589" s="19">
        <f t="shared" si="72"/>
        <v>-290</v>
      </c>
      <c r="F589" s="213"/>
      <c r="G589" s="213"/>
      <c r="H589" s="1068"/>
    </row>
    <row r="590" spans="1:14" ht="15" customHeight="1">
      <c r="A590" s="3">
        <v>41004</v>
      </c>
      <c r="B590" s="129">
        <v>100146</v>
      </c>
      <c r="C590" s="140">
        <v>17865</v>
      </c>
      <c r="D590" s="138">
        <v>17945</v>
      </c>
      <c r="E590" s="19">
        <f>+C590-C589</f>
        <v>-170</v>
      </c>
      <c r="F590" s="213"/>
      <c r="G590" s="213"/>
      <c r="H590" s="169">
        <v>130500</v>
      </c>
    </row>
    <row r="591" spans="1:14" ht="15" customHeight="1">
      <c r="A591" s="3">
        <v>41005</v>
      </c>
      <c r="B591" s="1066" t="s">
        <v>71</v>
      </c>
      <c r="C591" s="1066"/>
      <c r="D591" s="1066"/>
      <c r="E591" s="1066"/>
      <c r="F591" s="213"/>
      <c r="G591" s="213"/>
      <c r="H591" s="169">
        <v>130500</v>
      </c>
    </row>
    <row r="592" spans="1:14" ht="15" customHeight="1">
      <c r="A592" s="3">
        <v>41008</v>
      </c>
      <c r="B592" s="1066"/>
      <c r="C592" s="1066"/>
      <c r="D592" s="1066"/>
      <c r="E592" s="1066"/>
      <c r="F592" s="213"/>
      <c r="G592" s="213"/>
      <c r="H592" s="169">
        <v>132250</v>
      </c>
    </row>
    <row r="593" spans="1:10" ht="15" customHeight="1">
      <c r="A593" s="3">
        <v>41009</v>
      </c>
      <c r="B593" s="129">
        <v>100026</v>
      </c>
      <c r="C593" s="140">
        <v>18010</v>
      </c>
      <c r="D593" s="138">
        <v>18090</v>
      </c>
      <c r="E593" s="161">
        <f>+C593-C590</f>
        <v>145</v>
      </c>
      <c r="F593" s="213"/>
      <c r="G593" s="213"/>
      <c r="H593" s="169">
        <v>131750</v>
      </c>
    </row>
    <row r="594" spans="1:10" ht="15" customHeight="1">
      <c r="A594" s="3">
        <v>41010</v>
      </c>
      <c r="B594" s="129">
        <v>99330</v>
      </c>
      <c r="C594" s="140">
        <v>17925</v>
      </c>
      <c r="D594" s="138">
        <v>17955</v>
      </c>
      <c r="E594" s="161">
        <f t="shared" ref="E594:E599" si="73">+C594-C593</f>
        <v>-85</v>
      </c>
      <c r="F594" s="213"/>
      <c r="G594" s="213"/>
      <c r="H594" s="169">
        <v>130500</v>
      </c>
      <c r="J594" s="134"/>
    </row>
    <row r="595" spans="1:10" ht="15" customHeight="1">
      <c r="A595" s="3">
        <v>41011</v>
      </c>
      <c r="B595" s="129">
        <v>98442</v>
      </c>
      <c r="C595" s="140">
        <v>18200</v>
      </c>
      <c r="D595" s="138">
        <v>18260</v>
      </c>
      <c r="E595" s="161">
        <f t="shared" si="73"/>
        <v>275</v>
      </c>
      <c r="F595" s="213"/>
      <c r="G595" s="213"/>
      <c r="H595" s="169">
        <v>130500</v>
      </c>
      <c r="J595" s="134"/>
    </row>
    <row r="596" spans="1:10" ht="15" customHeight="1">
      <c r="A596" s="3">
        <v>41012</v>
      </c>
      <c r="B596" s="129">
        <v>98388</v>
      </c>
      <c r="C596" s="140">
        <v>18400</v>
      </c>
      <c r="D596" s="138">
        <v>18460</v>
      </c>
      <c r="E596" s="161">
        <f t="shared" si="73"/>
        <v>200</v>
      </c>
      <c r="F596" s="213"/>
      <c r="G596" s="213"/>
      <c r="H596" s="169">
        <v>132750</v>
      </c>
      <c r="J596" s="134"/>
    </row>
    <row r="597" spans="1:10" ht="15" customHeight="1">
      <c r="A597" s="3">
        <v>41015</v>
      </c>
      <c r="B597" s="129">
        <v>99330</v>
      </c>
      <c r="C597" s="140">
        <v>17945</v>
      </c>
      <c r="D597" s="138">
        <v>18010</v>
      </c>
      <c r="E597" s="161">
        <f t="shared" si="73"/>
        <v>-455</v>
      </c>
      <c r="F597" s="213"/>
      <c r="G597" s="213"/>
      <c r="H597" s="169">
        <v>131500</v>
      </c>
      <c r="J597" s="134"/>
    </row>
    <row r="598" spans="1:10" ht="15" customHeight="1">
      <c r="A598" s="3">
        <v>41016</v>
      </c>
      <c r="B598" s="129">
        <v>98856</v>
      </c>
      <c r="C598" s="140">
        <v>17755</v>
      </c>
      <c r="D598" s="138">
        <v>17810</v>
      </c>
      <c r="E598" s="161">
        <f t="shared" si="73"/>
        <v>-190</v>
      </c>
      <c r="F598" s="213"/>
      <c r="G598" s="213"/>
      <c r="H598" s="169">
        <v>129250</v>
      </c>
      <c r="J598" s="134"/>
    </row>
    <row r="599" spans="1:10" ht="15" customHeight="1">
      <c r="A599" s="3">
        <v>41017</v>
      </c>
      <c r="B599" s="129">
        <v>99624</v>
      </c>
      <c r="C599" s="140">
        <v>17720</v>
      </c>
      <c r="D599" s="138">
        <v>17815</v>
      </c>
      <c r="E599" s="161">
        <f t="shared" si="73"/>
        <v>-35</v>
      </c>
      <c r="F599" s="213"/>
      <c r="G599" s="213"/>
      <c r="H599" s="169">
        <v>130250</v>
      </c>
      <c r="J599" s="134"/>
    </row>
    <row r="600" spans="1:10" ht="15" customHeight="1">
      <c r="A600" s="3">
        <v>41018</v>
      </c>
      <c r="B600" s="129">
        <v>99762</v>
      </c>
      <c r="C600" s="140">
        <v>17605</v>
      </c>
      <c r="D600" s="138">
        <v>17680</v>
      </c>
      <c r="E600" s="161">
        <f t="shared" ref="E600:E605" si="74">+C600-C599</f>
        <v>-115</v>
      </c>
      <c r="F600" s="213"/>
      <c r="G600" s="213"/>
      <c r="H600" s="169">
        <v>130000</v>
      </c>
      <c r="J600" s="134"/>
    </row>
    <row r="601" spans="1:10" ht="15" customHeight="1">
      <c r="A601" s="3">
        <v>41019</v>
      </c>
      <c r="B601" s="129">
        <v>100080</v>
      </c>
      <c r="C601" s="140">
        <v>17750</v>
      </c>
      <c r="D601" s="138">
        <v>17810</v>
      </c>
      <c r="E601" s="161">
        <f t="shared" si="74"/>
        <v>145</v>
      </c>
      <c r="F601" s="213"/>
      <c r="G601" s="213"/>
      <c r="H601" s="169">
        <v>130250</v>
      </c>
      <c r="J601" s="134"/>
    </row>
    <row r="602" spans="1:10" ht="15" customHeight="1">
      <c r="A602" s="3">
        <v>41022</v>
      </c>
      <c r="B602" s="129">
        <v>99630</v>
      </c>
      <c r="C602" s="140">
        <v>17595</v>
      </c>
      <c r="D602" s="138">
        <v>17630</v>
      </c>
      <c r="E602" s="161">
        <f t="shared" si="74"/>
        <v>-155</v>
      </c>
      <c r="F602" s="213"/>
      <c r="G602" s="213"/>
      <c r="H602" s="169">
        <v>130750</v>
      </c>
      <c r="J602" s="134"/>
    </row>
    <row r="603" spans="1:10" ht="15" customHeight="1">
      <c r="A603" s="3">
        <v>41023</v>
      </c>
      <c r="B603" s="129">
        <v>99798</v>
      </c>
      <c r="C603" s="140">
        <v>17600</v>
      </c>
      <c r="D603" s="138">
        <v>17665</v>
      </c>
      <c r="E603" s="161">
        <f t="shared" si="74"/>
        <v>5</v>
      </c>
      <c r="F603" s="213"/>
      <c r="G603" s="213"/>
      <c r="H603" s="169">
        <v>130250</v>
      </c>
      <c r="J603" s="134"/>
    </row>
    <row r="604" spans="1:10" ht="15" customHeight="1">
      <c r="A604" s="3">
        <v>41024</v>
      </c>
      <c r="B604" s="129">
        <v>100830</v>
      </c>
      <c r="C604" s="140">
        <v>17485</v>
      </c>
      <c r="D604" s="138">
        <v>17550</v>
      </c>
      <c r="E604" s="161">
        <f t="shared" si="74"/>
        <v>-115</v>
      </c>
      <c r="F604" s="213"/>
      <c r="G604" s="213"/>
      <c r="H604" s="169">
        <v>130250</v>
      </c>
      <c r="J604" s="134"/>
    </row>
    <row r="605" spans="1:10" ht="15" customHeight="1">
      <c r="A605" s="3">
        <v>41025</v>
      </c>
      <c r="B605" s="129">
        <v>100734</v>
      </c>
      <c r="C605" s="140">
        <v>17965</v>
      </c>
      <c r="D605" s="138">
        <v>18070</v>
      </c>
      <c r="E605" s="161">
        <f t="shared" si="74"/>
        <v>480</v>
      </c>
      <c r="F605" s="213"/>
      <c r="G605" s="213"/>
      <c r="H605" s="169">
        <v>130500</v>
      </c>
      <c r="J605" s="134"/>
    </row>
    <row r="606" spans="1:10" ht="15" customHeight="1">
      <c r="A606" s="3">
        <v>41026</v>
      </c>
      <c r="B606" s="129">
        <v>101760</v>
      </c>
      <c r="C606" s="140">
        <v>18255</v>
      </c>
      <c r="D606" s="138">
        <v>18330</v>
      </c>
      <c r="E606" s="161">
        <f t="shared" ref="E606:E611" si="75">+C606-C605</f>
        <v>290</v>
      </c>
      <c r="F606" s="213"/>
      <c r="G606" s="213"/>
      <c r="H606" s="169">
        <v>132500</v>
      </c>
      <c r="J606" s="134"/>
    </row>
    <row r="607" spans="1:10" ht="15" customHeight="1" thickBot="1">
      <c r="A607" s="12">
        <v>41029</v>
      </c>
      <c r="B607" s="142">
        <v>103902</v>
      </c>
      <c r="C607" s="143">
        <v>17835</v>
      </c>
      <c r="D607" s="144">
        <v>17910</v>
      </c>
      <c r="E607" s="233">
        <f t="shared" si="75"/>
        <v>-420</v>
      </c>
      <c r="F607" s="260">
        <f>AVERAGE(C587:C607)</f>
        <v>17897.36842105263</v>
      </c>
      <c r="G607" s="261">
        <f>AVERAGE(C523:C607)</f>
        <v>19249.216867469881</v>
      </c>
      <c r="H607" s="234" t="s">
        <v>77</v>
      </c>
      <c r="J607" s="134"/>
    </row>
    <row r="608" spans="1:10" ht="15" customHeight="1">
      <c r="A608" s="36">
        <v>41030</v>
      </c>
      <c r="B608" s="152">
        <v>103902</v>
      </c>
      <c r="C608" s="153">
        <v>17525</v>
      </c>
      <c r="D608" s="154">
        <v>17625</v>
      </c>
      <c r="E608" s="155">
        <f t="shared" si="75"/>
        <v>-310</v>
      </c>
      <c r="F608" s="216"/>
      <c r="G608" s="216"/>
      <c r="H608" s="237" t="s">
        <v>77</v>
      </c>
      <c r="J608" s="134"/>
    </row>
    <row r="609" spans="1:10" ht="15" customHeight="1">
      <c r="A609" s="3">
        <v>41031</v>
      </c>
      <c r="B609" s="129">
        <v>103896</v>
      </c>
      <c r="C609" s="140">
        <v>17430</v>
      </c>
      <c r="D609" s="138">
        <v>17475</v>
      </c>
      <c r="E609" s="161">
        <f t="shared" si="75"/>
        <v>-95</v>
      </c>
      <c r="F609" s="213"/>
      <c r="G609" s="213"/>
      <c r="H609" s="169">
        <v>131250</v>
      </c>
      <c r="J609" s="134"/>
    </row>
    <row r="610" spans="1:10" ht="15" customHeight="1">
      <c r="A610" s="3">
        <v>41032</v>
      </c>
      <c r="B610" s="129">
        <v>103764</v>
      </c>
      <c r="C610" s="140">
        <v>17380</v>
      </c>
      <c r="D610" s="138">
        <v>17475</v>
      </c>
      <c r="E610" s="161">
        <f t="shared" si="75"/>
        <v>-50</v>
      </c>
      <c r="F610" s="213"/>
      <c r="G610" s="213"/>
      <c r="H610" s="169">
        <v>130250</v>
      </c>
      <c r="J610" s="134"/>
    </row>
    <row r="611" spans="1:10" ht="15" customHeight="1">
      <c r="A611" s="3">
        <v>41033</v>
      </c>
      <c r="B611" s="129">
        <v>104280</v>
      </c>
      <c r="C611" s="140">
        <v>17370</v>
      </c>
      <c r="D611" s="138">
        <v>17450</v>
      </c>
      <c r="E611" s="161">
        <f t="shared" si="75"/>
        <v>-10</v>
      </c>
      <c r="F611" s="213"/>
      <c r="G611" s="213"/>
      <c r="H611" s="169">
        <v>130000</v>
      </c>
      <c r="J611" s="134"/>
    </row>
    <row r="612" spans="1:10" ht="15" customHeight="1">
      <c r="A612" s="3">
        <v>41036</v>
      </c>
      <c r="B612" s="1069" t="s">
        <v>86</v>
      </c>
      <c r="C612" s="1069"/>
      <c r="D612" s="1069"/>
      <c r="E612" s="1069"/>
      <c r="F612" s="213"/>
      <c r="G612" s="213"/>
      <c r="H612" s="169">
        <v>130000</v>
      </c>
      <c r="J612" s="134"/>
    </row>
    <row r="613" spans="1:10" ht="15" customHeight="1">
      <c r="A613" s="3">
        <v>41037</v>
      </c>
      <c r="B613" s="129">
        <v>105642</v>
      </c>
      <c r="C613" s="140">
        <v>17405</v>
      </c>
      <c r="D613" s="138">
        <v>17470</v>
      </c>
      <c r="E613" s="161">
        <f t="shared" ref="E613:E618" si="76">+C613-C612</f>
        <v>17405</v>
      </c>
      <c r="F613" s="213"/>
      <c r="G613" s="213"/>
      <c r="H613" s="169">
        <v>130000</v>
      </c>
      <c r="J613" s="134"/>
    </row>
    <row r="614" spans="1:10" ht="15" customHeight="1">
      <c r="A614" s="3">
        <v>41038</v>
      </c>
      <c r="B614" s="129">
        <v>105792</v>
      </c>
      <c r="C614" s="140">
        <v>17030</v>
      </c>
      <c r="D614" s="138">
        <v>17075</v>
      </c>
      <c r="E614" s="161">
        <f t="shared" si="76"/>
        <v>-375</v>
      </c>
      <c r="F614" s="213"/>
      <c r="G614" s="213"/>
      <c r="H614" s="169">
        <v>129500</v>
      </c>
      <c r="J614" s="134"/>
    </row>
    <row r="615" spans="1:10" ht="15" customHeight="1">
      <c r="A615" s="3">
        <v>41039</v>
      </c>
      <c r="B615" s="129">
        <v>106362</v>
      </c>
      <c r="C615" s="140">
        <v>17135</v>
      </c>
      <c r="D615" s="138">
        <v>17225</v>
      </c>
      <c r="E615" s="161">
        <f t="shared" si="76"/>
        <v>105</v>
      </c>
      <c r="F615" s="213"/>
      <c r="G615" s="213"/>
      <c r="H615" s="169">
        <v>129250</v>
      </c>
      <c r="J615" s="134"/>
    </row>
    <row r="616" spans="1:10" ht="15" customHeight="1">
      <c r="A616" s="3">
        <v>41040</v>
      </c>
      <c r="B616" s="129">
        <v>106302</v>
      </c>
      <c r="C616" s="140">
        <v>17025</v>
      </c>
      <c r="D616" s="138">
        <v>17060</v>
      </c>
      <c r="E616" s="161">
        <f t="shared" si="76"/>
        <v>-110</v>
      </c>
      <c r="F616" s="213"/>
      <c r="G616" s="213"/>
      <c r="H616" s="169">
        <v>129250</v>
      </c>
      <c r="J616" s="134"/>
    </row>
    <row r="617" spans="1:10" ht="15" customHeight="1">
      <c r="A617" s="3">
        <v>41043</v>
      </c>
      <c r="B617" s="129">
        <v>106230</v>
      </c>
      <c r="C617" s="140">
        <v>16980</v>
      </c>
      <c r="D617" s="138">
        <v>17005</v>
      </c>
      <c r="E617" s="161">
        <f t="shared" si="76"/>
        <v>-45</v>
      </c>
      <c r="F617" s="213"/>
      <c r="G617" s="213"/>
      <c r="H617" s="169">
        <v>128000</v>
      </c>
      <c r="J617" s="134"/>
    </row>
    <row r="618" spans="1:10" ht="15" customHeight="1">
      <c r="A618" s="3">
        <v>41044</v>
      </c>
      <c r="B618" s="129">
        <v>105774</v>
      </c>
      <c r="C618" s="140">
        <v>16985</v>
      </c>
      <c r="D618" s="138">
        <v>17035</v>
      </c>
      <c r="E618" s="161">
        <f t="shared" si="76"/>
        <v>5</v>
      </c>
      <c r="F618" s="213"/>
      <c r="G618" s="213"/>
      <c r="H618" s="169">
        <v>127000</v>
      </c>
      <c r="J618" s="134"/>
    </row>
    <row r="619" spans="1:10" ht="15" customHeight="1">
      <c r="A619" s="3">
        <v>41045</v>
      </c>
      <c r="B619" s="129">
        <v>105630</v>
      </c>
      <c r="C619" s="140">
        <v>16950</v>
      </c>
      <c r="D619" s="138">
        <v>17000</v>
      </c>
      <c r="E619" s="161">
        <f t="shared" ref="E619:E624" si="77">+C619-C618</f>
        <v>-35</v>
      </c>
      <c r="F619" s="213"/>
      <c r="G619" s="213"/>
      <c r="H619" s="169">
        <v>126000</v>
      </c>
      <c r="J619" s="134"/>
    </row>
    <row r="620" spans="1:10" ht="15" customHeight="1">
      <c r="A620" s="3">
        <v>41046</v>
      </c>
      <c r="B620" s="129">
        <v>105564</v>
      </c>
      <c r="C620" s="140">
        <v>16910</v>
      </c>
      <c r="D620" s="138">
        <v>16980</v>
      </c>
      <c r="E620" s="161">
        <f t="shared" si="77"/>
        <v>-40</v>
      </c>
      <c r="F620" s="213"/>
      <c r="G620" s="213"/>
      <c r="H620" s="169">
        <v>126000</v>
      </c>
      <c r="J620" s="134"/>
    </row>
    <row r="621" spans="1:10" ht="15" customHeight="1">
      <c r="A621" s="3">
        <v>41047</v>
      </c>
      <c r="B621" s="129">
        <v>106182</v>
      </c>
      <c r="C621" s="140">
        <v>17105</v>
      </c>
      <c r="D621" s="138">
        <v>17150</v>
      </c>
      <c r="E621" s="161">
        <f t="shared" si="77"/>
        <v>195</v>
      </c>
      <c r="F621" s="213"/>
      <c r="G621" s="213"/>
      <c r="H621" s="169">
        <v>126000</v>
      </c>
      <c r="J621" s="134"/>
    </row>
    <row r="622" spans="1:10" ht="15" customHeight="1">
      <c r="A622" s="3">
        <v>41050</v>
      </c>
      <c r="B622" s="129">
        <v>106122</v>
      </c>
      <c r="C622" s="140">
        <v>16775</v>
      </c>
      <c r="D622" s="138">
        <v>16860</v>
      </c>
      <c r="E622" s="161">
        <f t="shared" si="77"/>
        <v>-330</v>
      </c>
      <c r="F622" s="213"/>
      <c r="G622" s="213"/>
      <c r="H622" s="169">
        <v>126000</v>
      </c>
      <c r="J622" s="134"/>
    </row>
    <row r="623" spans="1:10" ht="15" customHeight="1">
      <c r="A623" s="3">
        <v>41051</v>
      </c>
      <c r="B623" s="129">
        <v>105732</v>
      </c>
      <c r="C623" s="140">
        <v>17030</v>
      </c>
      <c r="D623" s="138">
        <v>17060</v>
      </c>
      <c r="E623" s="161">
        <f t="shared" si="77"/>
        <v>255</v>
      </c>
      <c r="F623" s="213"/>
      <c r="G623" s="213"/>
      <c r="H623" s="169">
        <v>127000</v>
      </c>
      <c r="J623" s="134"/>
    </row>
    <row r="624" spans="1:10" ht="15" customHeight="1">
      <c r="A624" s="3">
        <v>41052</v>
      </c>
      <c r="B624" s="129">
        <v>105168</v>
      </c>
      <c r="C624" s="140">
        <v>16880</v>
      </c>
      <c r="D624" s="138">
        <v>16905</v>
      </c>
      <c r="E624" s="161">
        <f t="shared" si="77"/>
        <v>-150</v>
      </c>
      <c r="F624" s="213"/>
      <c r="G624" s="213"/>
      <c r="H624" s="169">
        <v>126000</v>
      </c>
      <c r="J624" s="134"/>
    </row>
    <row r="625" spans="1:10" ht="15" customHeight="1">
      <c r="A625" s="3">
        <v>41053</v>
      </c>
      <c r="B625" s="129">
        <v>105510</v>
      </c>
      <c r="C625" s="140">
        <v>16915</v>
      </c>
      <c r="D625" s="138">
        <v>17005</v>
      </c>
      <c r="E625" s="161">
        <f t="shared" ref="E625:E631" si="78">+C625-C624</f>
        <v>35</v>
      </c>
      <c r="F625" s="213"/>
      <c r="G625" s="213"/>
      <c r="H625" s="169">
        <v>125000</v>
      </c>
      <c r="J625" s="134"/>
    </row>
    <row r="626" spans="1:10" ht="15" customHeight="1">
      <c r="A626" s="3">
        <v>41054</v>
      </c>
      <c r="B626" s="129">
        <v>105156</v>
      </c>
      <c r="C626" s="140">
        <v>16980</v>
      </c>
      <c r="D626" s="138">
        <v>17070</v>
      </c>
      <c r="E626" s="161">
        <f t="shared" si="78"/>
        <v>65</v>
      </c>
      <c r="F626" s="213"/>
      <c r="G626" s="213"/>
      <c r="H626" s="169">
        <v>125750</v>
      </c>
      <c r="J626" s="134"/>
    </row>
    <row r="627" spans="1:10" ht="15" customHeight="1">
      <c r="A627" s="3">
        <v>41057</v>
      </c>
      <c r="B627" s="129">
        <v>106122</v>
      </c>
      <c r="C627" s="140">
        <v>16980</v>
      </c>
      <c r="D627" s="138">
        <v>17080</v>
      </c>
      <c r="E627" s="161">
        <f t="shared" si="78"/>
        <v>0</v>
      </c>
      <c r="F627" s="213"/>
      <c r="G627" s="213"/>
      <c r="H627" s="169">
        <v>126000</v>
      </c>
      <c r="J627" s="134"/>
    </row>
    <row r="628" spans="1:10" ht="15" customHeight="1">
      <c r="A628" s="3">
        <v>41058</v>
      </c>
      <c r="B628" s="129">
        <v>106104</v>
      </c>
      <c r="C628" s="140">
        <v>16885</v>
      </c>
      <c r="D628" s="138">
        <v>16970</v>
      </c>
      <c r="E628" s="161">
        <f t="shared" si="78"/>
        <v>-95</v>
      </c>
      <c r="F628" s="213"/>
      <c r="G628" s="213"/>
      <c r="H628" s="169">
        <v>126000</v>
      </c>
      <c r="J628" s="134"/>
    </row>
    <row r="629" spans="1:10" ht="15" customHeight="1">
      <c r="A629" s="3">
        <v>41059</v>
      </c>
      <c r="B629" s="129">
        <v>106752</v>
      </c>
      <c r="C629" s="140">
        <v>16390</v>
      </c>
      <c r="D629" s="138">
        <v>16450</v>
      </c>
      <c r="E629" s="161">
        <f t="shared" si="78"/>
        <v>-495</v>
      </c>
      <c r="F629" s="213"/>
      <c r="G629" s="213"/>
      <c r="H629" s="169">
        <v>125000</v>
      </c>
      <c r="J629" s="134"/>
    </row>
    <row r="630" spans="1:10" ht="15" customHeight="1" thickBot="1">
      <c r="A630" s="12">
        <v>41060</v>
      </c>
      <c r="B630" s="142">
        <v>107106</v>
      </c>
      <c r="C630" s="143">
        <v>16375</v>
      </c>
      <c r="D630" s="144">
        <v>16475</v>
      </c>
      <c r="E630" s="233">
        <f t="shared" si="78"/>
        <v>-15</v>
      </c>
      <c r="F630" s="260">
        <f>AVERAGE(C608:C630)</f>
        <v>17020</v>
      </c>
      <c r="G630" s="261">
        <f>AVERAGE(C523:C630)</f>
        <v>18782.142857142859</v>
      </c>
      <c r="H630" s="170">
        <v>123750</v>
      </c>
      <c r="J630" s="134"/>
    </row>
    <row r="631" spans="1:10" ht="15" customHeight="1">
      <c r="A631" s="36">
        <v>41061</v>
      </c>
      <c r="B631" s="152">
        <v>107826</v>
      </c>
      <c r="C631" s="153">
        <v>16025</v>
      </c>
      <c r="D631" s="154">
        <v>16090</v>
      </c>
      <c r="E631" s="155">
        <f t="shared" si="78"/>
        <v>-350</v>
      </c>
      <c r="F631" s="216"/>
      <c r="G631" s="216"/>
      <c r="H631" s="168">
        <v>123250</v>
      </c>
      <c r="J631" s="134"/>
    </row>
    <row r="632" spans="1:10" ht="15" customHeight="1">
      <c r="A632" s="3">
        <v>41064</v>
      </c>
      <c r="B632" s="1066" t="s">
        <v>93</v>
      </c>
      <c r="C632" s="1066"/>
      <c r="D632" s="1066"/>
      <c r="E632" s="1066"/>
      <c r="F632" s="213"/>
      <c r="G632" s="213"/>
      <c r="H632" s="169">
        <v>123250</v>
      </c>
      <c r="J632" s="134"/>
    </row>
    <row r="633" spans="1:10" ht="15" customHeight="1">
      <c r="A633" s="3">
        <v>41065</v>
      </c>
      <c r="B633" s="1066"/>
      <c r="C633" s="1066"/>
      <c r="D633" s="1066"/>
      <c r="E633" s="1066"/>
      <c r="F633" s="213"/>
      <c r="G633" s="213"/>
      <c r="H633" s="169">
        <v>121000</v>
      </c>
      <c r="J633" s="134"/>
    </row>
    <row r="634" spans="1:10" ht="15" customHeight="1">
      <c r="A634" s="3">
        <v>41066</v>
      </c>
      <c r="B634" s="129">
        <v>107724</v>
      </c>
      <c r="C634" s="140">
        <v>16060</v>
      </c>
      <c r="D634" s="138">
        <v>16200</v>
      </c>
      <c r="E634" s="161">
        <f>+C634-C631</f>
        <v>35</v>
      </c>
      <c r="F634" s="213"/>
      <c r="G634" s="213"/>
      <c r="H634" s="169">
        <v>121000</v>
      </c>
      <c r="J634" s="134"/>
    </row>
    <row r="635" spans="1:10" ht="15" customHeight="1">
      <c r="A635" s="3">
        <v>41067</v>
      </c>
      <c r="B635" s="129">
        <v>106116</v>
      </c>
      <c r="C635" s="140">
        <v>16450</v>
      </c>
      <c r="D635" s="138">
        <v>16505</v>
      </c>
      <c r="E635" s="161">
        <f t="shared" ref="E635:E640" si="79">+C635-C634</f>
        <v>390</v>
      </c>
      <c r="F635" s="213"/>
      <c r="G635" s="213"/>
      <c r="H635" s="169">
        <v>120750</v>
      </c>
      <c r="J635" s="134"/>
    </row>
    <row r="636" spans="1:10" ht="15" customHeight="1">
      <c r="A636" s="3">
        <v>41068</v>
      </c>
      <c r="B636" s="129">
        <v>105318</v>
      </c>
      <c r="C636" s="140">
        <v>16335</v>
      </c>
      <c r="D636" s="138">
        <v>16405</v>
      </c>
      <c r="E636" s="161">
        <f t="shared" si="79"/>
        <v>-115</v>
      </c>
      <c r="F636" s="213"/>
      <c r="G636" s="213"/>
      <c r="H636" s="169">
        <v>121250</v>
      </c>
      <c r="J636" s="134"/>
    </row>
    <row r="637" spans="1:10" ht="15" customHeight="1">
      <c r="A637" s="3">
        <v>41071</v>
      </c>
      <c r="B637" s="129">
        <v>104484</v>
      </c>
      <c r="C637" s="140">
        <v>16815</v>
      </c>
      <c r="D637" s="138">
        <v>16900</v>
      </c>
      <c r="E637" s="161">
        <f t="shared" si="79"/>
        <v>480</v>
      </c>
      <c r="F637" s="213"/>
      <c r="G637" s="213"/>
      <c r="H637" s="169">
        <v>121750</v>
      </c>
      <c r="J637" s="134"/>
    </row>
    <row r="638" spans="1:10" ht="15" customHeight="1">
      <c r="A638" s="3">
        <v>41072</v>
      </c>
      <c r="B638" s="129">
        <v>104334</v>
      </c>
      <c r="C638" s="140">
        <v>17085</v>
      </c>
      <c r="D638" s="138">
        <v>17200</v>
      </c>
      <c r="E638" s="161">
        <f t="shared" si="79"/>
        <v>270</v>
      </c>
      <c r="F638" s="213"/>
      <c r="G638" s="213"/>
      <c r="H638" s="169">
        <v>123500</v>
      </c>
      <c r="J638" s="134"/>
    </row>
    <row r="639" spans="1:10" ht="15" customHeight="1">
      <c r="A639" s="3">
        <v>41073</v>
      </c>
      <c r="B639" s="129">
        <v>103998</v>
      </c>
      <c r="C639" s="140">
        <v>17085</v>
      </c>
      <c r="D639" s="138">
        <v>17200</v>
      </c>
      <c r="E639" s="161">
        <f t="shared" si="79"/>
        <v>0</v>
      </c>
      <c r="F639" s="213"/>
      <c r="G639" s="213"/>
      <c r="H639" s="169">
        <v>123000</v>
      </c>
      <c r="J639" s="134"/>
    </row>
    <row r="640" spans="1:10" ht="15" customHeight="1">
      <c r="A640" s="3">
        <v>41074</v>
      </c>
      <c r="B640" s="129">
        <v>106932</v>
      </c>
      <c r="C640" s="140">
        <v>16775</v>
      </c>
      <c r="D640" s="138">
        <v>16830</v>
      </c>
      <c r="E640" s="161">
        <f t="shared" si="79"/>
        <v>-310</v>
      </c>
      <c r="F640" s="213"/>
      <c r="G640" s="213"/>
      <c r="H640" s="169">
        <v>123000</v>
      </c>
      <c r="J640" s="134"/>
    </row>
    <row r="641" spans="1:10" ht="15" customHeight="1">
      <c r="A641" s="3">
        <v>41075</v>
      </c>
      <c r="B641" s="129">
        <v>103560</v>
      </c>
      <c r="C641" s="140">
        <v>16610</v>
      </c>
      <c r="D641" s="138">
        <v>16655</v>
      </c>
      <c r="E641" s="161">
        <f t="shared" ref="E641:E646" si="80">+C641-C640</f>
        <v>-165</v>
      </c>
      <c r="F641" s="213"/>
      <c r="H641" s="169">
        <v>123000</v>
      </c>
      <c r="J641" s="134"/>
    </row>
    <row r="642" spans="1:10" ht="15" customHeight="1">
      <c r="A642" s="3">
        <v>41078</v>
      </c>
      <c r="B642" s="129">
        <v>102936</v>
      </c>
      <c r="C642" s="140">
        <v>16625</v>
      </c>
      <c r="D642" s="138">
        <v>16680</v>
      </c>
      <c r="E642" s="161">
        <f t="shared" si="80"/>
        <v>15</v>
      </c>
      <c r="F642" s="213"/>
      <c r="G642" s="213"/>
      <c r="H642" s="169">
        <v>123500</v>
      </c>
      <c r="J642" s="134"/>
    </row>
    <row r="643" spans="1:10" ht="15" customHeight="1">
      <c r="A643" s="3">
        <v>41079</v>
      </c>
      <c r="B643" s="129">
        <v>102894</v>
      </c>
      <c r="C643" s="140">
        <v>16675</v>
      </c>
      <c r="D643" s="138">
        <v>16745</v>
      </c>
      <c r="E643" s="161">
        <f t="shared" si="80"/>
        <v>50</v>
      </c>
      <c r="F643" s="213"/>
      <c r="G643" s="213"/>
      <c r="H643" s="169">
        <v>123000</v>
      </c>
      <c r="J643" s="134"/>
    </row>
    <row r="644" spans="1:10" ht="15" customHeight="1">
      <c r="A644" s="3">
        <v>41080</v>
      </c>
      <c r="B644" s="129">
        <v>102894</v>
      </c>
      <c r="C644" s="140">
        <v>17040</v>
      </c>
      <c r="D644" s="138">
        <v>17150</v>
      </c>
      <c r="E644" s="161">
        <f t="shared" si="80"/>
        <v>365</v>
      </c>
      <c r="F644" s="213"/>
      <c r="G644" s="213"/>
      <c r="H644" s="169">
        <v>124000</v>
      </c>
      <c r="J644" s="134"/>
    </row>
    <row r="645" spans="1:10" ht="15" customHeight="1">
      <c r="A645" s="3">
        <v>41081</v>
      </c>
      <c r="B645" s="129">
        <v>103086</v>
      </c>
      <c r="C645" s="140">
        <v>16780</v>
      </c>
      <c r="D645" s="138">
        <v>16875</v>
      </c>
      <c r="E645" s="161">
        <f t="shared" si="80"/>
        <v>-260</v>
      </c>
      <c r="F645" s="213"/>
      <c r="G645" s="213"/>
      <c r="H645" s="169">
        <v>123000</v>
      </c>
      <c r="J645" s="134"/>
    </row>
    <row r="646" spans="1:10" ht="15" customHeight="1">
      <c r="A646" s="3">
        <v>41082</v>
      </c>
      <c r="B646" s="129">
        <v>102876</v>
      </c>
      <c r="C646" s="140">
        <v>16270</v>
      </c>
      <c r="D646" s="138">
        <v>16325</v>
      </c>
      <c r="E646" s="161">
        <f t="shared" si="80"/>
        <v>-510</v>
      </c>
      <c r="F646" s="213"/>
      <c r="G646" s="213"/>
      <c r="H646" s="169" t="s">
        <v>71</v>
      </c>
      <c r="J646" s="134"/>
    </row>
    <row r="647" spans="1:10" ht="15" customHeight="1">
      <c r="A647" s="3">
        <v>41085</v>
      </c>
      <c r="B647" s="129">
        <v>103080</v>
      </c>
      <c r="C647" s="140">
        <v>16330</v>
      </c>
      <c r="D647" s="138">
        <v>16410</v>
      </c>
      <c r="E647" s="161">
        <f t="shared" ref="E647:E652" si="81">+C647-C646</f>
        <v>60</v>
      </c>
      <c r="F647" s="213"/>
      <c r="G647" s="213"/>
      <c r="H647" s="169">
        <v>121000</v>
      </c>
      <c r="J647" s="134"/>
    </row>
    <row r="648" spans="1:10" ht="15" customHeight="1">
      <c r="A648" s="3">
        <v>41086</v>
      </c>
      <c r="B648" s="129">
        <v>103794</v>
      </c>
      <c r="C648" s="140">
        <v>16255</v>
      </c>
      <c r="D648" s="138">
        <v>16320</v>
      </c>
      <c r="E648" s="161">
        <f t="shared" si="81"/>
        <v>-75</v>
      </c>
      <c r="F648" s="213"/>
      <c r="G648" s="213"/>
      <c r="H648" s="169">
        <v>120750</v>
      </c>
      <c r="J648" s="134"/>
    </row>
    <row r="649" spans="1:10" ht="15" customHeight="1">
      <c r="A649" s="3">
        <v>41087</v>
      </c>
      <c r="B649" s="129">
        <v>103800</v>
      </c>
      <c r="C649" s="140">
        <v>16180</v>
      </c>
      <c r="D649" s="138">
        <v>16220</v>
      </c>
      <c r="E649" s="161">
        <f t="shared" si="81"/>
        <v>-75</v>
      </c>
      <c r="F649" s="213"/>
      <c r="G649" s="213"/>
      <c r="H649" s="169">
        <v>120500</v>
      </c>
      <c r="J649" s="134"/>
    </row>
    <row r="650" spans="1:10" ht="15" customHeight="1">
      <c r="A650" s="3">
        <v>41088</v>
      </c>
      <c r="B650" s="129">
        <v>103746</v>
      </c>
      <c r="C650" s="140">
        <v>16375</v>
      </c>
      <c r="D650" s="138">
        <v>16430</v>
      </c>
      <c r="E650" s="161">
        <f t="shared" si="81"/>
        <v>195</v>
      </c>
      <c r="F650" s="213"/>
      <c r="G650" s="213"/>
      <c r="H650" s="169">
        <v>120500</v>
      </c>
      <c r="J650" s="134"/>
    </row>
    <row r="651" spans="1:10" ht="15" customHeight="1" thickBot="1">
      <c r="A651" s="12">
        <v>41089</v>
      </c>
      <c r="B651" s="142">
        <v>102852</v>
      </c>
      <c r="C651" s="143">
        <v>16475</v>
      </c>
      <c r="D651" s="144">
        <v>16455</v>
      </c>
      <c r="E651" s="233">
        <f t="shared" si="81"/>
        <v>100</v>
      </c>
      <c r="F651" s="260">
        <f>AVERAGE(C631:C651)</f>
        <v>16539.21052631579</v>
      </c>
      <c r="G651" s="261">
        <f>AVERAGE(C523:C651)</f>
        <v>18438.467741935485</v>
      </c>
      <c r="H651" s="170">
        <v>120250</v>
      </c>
      <c r="J651" s="134"/>
    </row>
    <row r="652" spans="1:10" ht="15" customHeight="1">
      <c r="A652" s="36">
        <v>41092</v>
      </c>
      <c r="B652" s="152">
        <v>103350</v>
      </c>
      <c r="C652" s="153">
        <v>16575</v>
      </c>
      <c r="D652" s="154">
        <v>16635</v>
      </c>
      <c r="E652" s="155">
        <f t="shared" si="81"/>
        <v>100</v>
      </c>
      <c r="F652" s="216"/>
      <c r="G652" s="216"/>
      <c r="H652" s="168">
        <v>122000</v>
      </c>
      <c r="J652" s="134"/>
    </row>
    <row r="653" spans="1:10" ht="15" customHeight="1">
      <c r="A653" s="3">
        <v>41093</v>
      </c>
      <c r="B653" s="129">
        <v>103860</v>
      </c>
      <c r="C653" s="140">
        <v>17105</v>
      </c>
      <c r="D653" s="138">
        <v>17180</v>
      </c>
      <c r="E653" s="161">
        <f t="shared" ref="E653:E658" si="82">+C653-C652</f>
        <v>530</v>
      </c>
      <c r="F653" s="213"/>
      <c r="G653" s="213"/>
      <c r="H653" s="169">
        <v>121500</v>
      </c>
      <c r="J653" s="134"/>
    </row>
    <row r="654" spans="1:10" ht="15" customHeight="1">
      <c r="A654" s="3">
        <v>41094</v>
      </c>
      <c r="B654" s="129">
        <v>103674</v>
      </c>
      <c r="C654" s="140">
        <v>17000</v>
      </c>
      <c r="D654" s="138">
        <v>17025</v>
      </c>
      <c r="E654" s="161">
        <f t="shared" si="82"/>
        <v>-105</v>
      </c>
      <c r="F654" s="213"/>
      <c r="G654" s="213"/>
      <c r="H654" s="169">
        <v>123500</v>
      </c>
      <c r="J654" s="134"/>
    </row>
    <row r="655" spans="1:10" ht="15" customHeight="1">
      <c r="A655" s="3">
        <v>41095</v>
      </c>
      <c r="B655" s="129">
        <v>103578</v>
      </c>
      <c r="C655" s="140">
        <v>16915</v>
      </c>
      <c r="D655" s="138">
        <v>17000</v>
      </c>
      <c r="E655" s="161">
        <f t="shared" si="82"/>
        <v>-85</v>
      </c>
      <c r="F655" s="213"/>
      <c r="G655" s="213"/>
      <c r="H655" s="169">
        <v>122750</v>
      </c>
      <c r="J655" s="134"/>
    </row>
    <row r="656" spans="1:10" ht="15" customHeight="1">
      <c r="A656" s="3">
        <v>41096</v>
      </c>
      <c r="B656" s="129">
        <v>103854</v>
      </c>
      <c r="C656" s="140">
        <v>16460</v>
      </c>
      <c r="D656" s="138">
        <v>16505</v>
      </c>
      <c r="E656" s="161">
        <f t="shared" si="82"/>
        <v>-455</v>
      </c>
      <c r="F656" s="213"/>
      <c r="G656" s="213"/>
      <c r="H656" s="169">
        <v>121750</v>
      </c>
      <c r="J656" s="134"/>
    </row>
    <row r="657" spans="1:10" ht="15" customHeight="1">
      <c r="A657" s="3">
        <v>41099</v>
      </c>
      <c r="B657" s="129">
        <v>105060</v>
      </c>
      <c r="C657" s="140">
        <v>16245</v>
      </c>
      <c r="D657" s="138">
        <v>16280</v>
      </c>
      <c r="E657" s="161">
        <f t="shared" si="82"/>
        <v>-215</v>
      </c>
      <c r="F657" s="213"/>
      <c r="H657" s="169">
        <v>121000</v>
      </c>
      <c r="J657" s="134"/>
    </row>
    <row r="658" spans="1:10" ht="15" customHeight="1">
      <c r="A658" s="3">
        <v>41100</v>
      </c>
      <c r="B658" s="129">
        <v>105006</v>
      </c>
      <c r="C658" s="140">
        <v>16180</v>
      </c>
      <c r="D658" s="138">
        <v>16230</v>
      </c>
      <c r="E658" s="161">
        <f t="shared" si="82"/>
        <v>-65</v>
      </c>
      <c r="F658" s="213"/>
      <c r="G658" s="213"/>
      <c r="H658" s="169">
        <v>120250</v>
      </c>
      <c r="J658" s="134"/>
    </row>
    <row r="659" spans="1:10" ht="15" customHeight="1">
      <c r="A659" s="3">
        <v>41101</v>
      </c>
      <c r="B659" s="129">
        <v>105528</v>
      </c>
      <c r="C659" s="140">
        <v>16165</v>
      </c>
      <c r="D659" s="138">
        <v>16225</v>
      </c>
      <c r="E659" s="161">
        <f t="shared" ref="E659:E664" si="83">+C659-C658</f>
        <v>-15</v>
      </c>
      <c r="F659" s="213"/>
      <c r="G659" s="213"/>
      <c r="H659" s="169">
        <v>119250</v>
      </c>
      <c r="J659" s="134"/>
    </row>
    <row r="660" spans="1:10" ht="15" customHeight="1">
      <c r="A660" s="3">
        <v>41102</v>
      </c>
      <c r="B660" s="129">
        <v>105912</v>
      </c>
      <c r="C660" s="140">
        <v>15840</v>
      </c>
      <c r="D660" s="138">
        <v>15885</v>
      </c>
      <c r="E660" s="161">
        <f t="shared" si="83"/>
        <v>-325</v>
      </c>
      <c r="F660" s="213"/>
      <c r="G660" s="213"/>
      <c r="H660" s="169">
        <v>119250</v>
      </c>
      <c r="J660" s="134"/>
    </row>
    <row r="661" spans="1:10" ht="15" customHeight="1">
      <c r="A661" s="3">
        <v>41103</v>
      </c>
      <c r="B661" s="129">
        <v>105762</v>
      </c>
      <c r="C661" s="140">
        <v>16155</v>
      </c>
      <c r="D661" s="138">
        <v>16200</v>
      </c>
      <c r="E661" s="161">
        <f t="shared" si="83"/>
        <v>315</v>
      </c>
      <c r="F661" s="213"/>
      <c r="H661" s="169">
        <v>117500</v>
      </c>
      <c r="J661" s="134"/>
    </row>
    <row r="662" spans="1:10" ht="15" customHeight="1">
      <c r="A662" s="3">
        <v>41106</v>
      </c>
      <c r="B662" s="129">
        <v>107130</v>
      </c>
      <c r="C662" s="140">
        <v>15960</v>
      </c>
      <c r="D662" s="138">
        <v>16020</v>
      </c>
      <c r="E662" s="161">
        <f t="shared" si="83"/>
        <v>-195</v>
      </c>
      <c r="F662" s="213"/>
      <c r="G662" s="213"/>
      <c r="H662" s="169">
        <v>118750</v>
      </c>
      <c r="J662" s="134"/>
    </row>
    <row r="663" spans="1:10" ht="15" customHeight="1">
      <c r="A663" s="3">
        <v>41107</v>
      </c>
      <c r="B663" s="129">
        <v>106998</v>
      </c>
      <c r="C663" s="140">
        <v>16125</v>
      </c>
      <c r="D663" s="138">
        <v>16205</v>
      </c>
      <c r="E663" s="161">
        <f t="shared" si="83"/>
        <v>165</v>
      </c>
      <c r="F663" s="213"/>
      <c r="G663" s="213"/>
      <c r="H663" s="169">
        <v>118750</v>
      </c>
      <c r="J663" s="134"/>
    </row>
    <row r="664" spans="1:10" ht="15" customHeight="1">
      <c r="A664" s="3">
        <v>41108</v>
      </c>
      <c r="B664" s="129">
        <v>109326</v>
      </c>
      <c r="C664" s="140">
        <v>15985</v>
      </c>
      <c r="D664" s="138">
        <v>16050</v>
      </c>
      <c r="E664" s="161">
        <f t="shared" si="83"/>
        <v>-140</v>
      </c>
      <c r="F664" s="213"/>
      <c r="G664" s="213"/>
      <c r="H664" s="169">
        <v>118250</v>
      </c>
      <c r="J664" s="134"/>
    </row>
    <row r="665" spans="1:10" ht="15" customHeight="1">
      <c r="A665" s="3">
        <v>41109</v>
      </c>
      <c r="B665" s="129">
        <v>111174</v>
      </c>
      <c r="C665" s="140">
        <v>16180</v>
      </c>
      <c r="D665" s="138">
        <v>16200</v>
      </c>
      <c r="E665" s="161">
        <f t="shared" ref="E665:E670" si="84">+C665-C664</f>
        <v>195</v>
      </c>
      <c r="F665" s="213"/>
      <c r="G665" s="213"/>
      <c r="H665" s="169">
        <v>118000</v>
      </c>
      <c r="J665" s="134"/>
    </row>
    <row r="666" spans="1:10" ht="15" customHeight="1">
      <c r="A666" s="3">
        <v>41110</v>
      </c>
      <c r="B666" s="129">
        <v>110658</v>
      </c>
      <c r="C666" s="140">
        <v>15830</v>
      </c>
      <c r="D666" s="138">
        <v>15900</v>
      </c>
      <c r="E666" s="161">
        <f t="shared" si="84"/>
        <v>-350</v>
      </c>
      <c r="F666" s="213"/>
      <c r="G666" s="213"/>
      <c r="H666" s="169">
        <v>118000</v>
      </c>
      <c r="J666" s="134"/>
    </row>
    <row r="667" spans="1:10" ht="15" customHeight="1">
      <c r="A667" s="3">
        <v>41113</v>
      </c>
      <c r="B667" s="129">
        <v>110622</v>
      </c>
      <c r="C667" s="140">
        <v>15650</v>
      </c>
      <c r="D667" s="138">
        <v>15650</v>
      </c>
      <c r="E667" s="161">
        <f t="shared" si="84"/>
        <v>-180</v>
      </c>
      <c r="F667" s="213"/>
      <c r="H667" s="169">
        <v>116250</v>
      </c>
      <c r="J667" s="134"/>
    </row>
    <row r="668" spans="1:10" ht="15" customHeight="1">
      <c r="A668" s="3">
        <v>41114</v>
      </c>
      <c r="B668" s="129">
        <v>110580</v>
      </c>
      <c r="C668" s="140">
        <v>15605</v>
      </c>
      <c r="D668" s="138">
        <v>15685</v>
      </c>
      <c r="E668" s="161">
        <f t="shared" si="84"/>
        <v>-45</v>
      </c>
      <c r="F668" s="213"/>
      <c r="G668" s="213"/>
      <c r="H668" s="169">
        <v>115250</v>
      </c>
      <c r="J668" s="134"/>
    </row>
    <row r="669" spans="1:10" ht="15" customHeight="1">
      <c r="A669" s="3">
        <v>41115</v>
      </c>
      <c r="B669" s="129">
        <v>111762</v>
      </c>
      <c r="C669" s="140">
        <v>15715</v>
      </c>
      <c r="D669" s="138">
        <v>15760</v>
      </c>
      <c r="E669" s="161">
        <f t="shared" si="84"/>
        <v>110</v>
      </c>
      <c r="F669" s="213"/>
      <c r="G669" s="213"/>
      <c r="H669" s="169">
        <v>115250</v>
      </c>
      <c r="J669" s="134"/>
    </row>
    <row r="670" spans="1:10" ht="15" customHeight="1">
      <c r="A670" s="3">
        <v>41116</v>
      </c>
      <c r="B670" s="129">
        <v>112236</v>
      </c>
      <c r="C670" s="140">
        <v>15930</v>
      </c>
      <c r="D670" s="138">
        <v>15970</v>
      </c>
      <c r="E670" s="161">
        <f t="shared" si="84"/>
        <v>215</v>
      </c>
      <c r="F670" s="213"/>
      <c r="G670" s="213"/>
      <c r="H670" s="169">
        <v>115250</v>
      </c>
      <c r="J670" s="134"/>
    </row>
    <row r="671" spans="1:10" ht="15" customHeight="1">
      <c r="A671" s="3">
        <v>41117</v>
      </c>
      <c r="B671" s="129">
        <v>112698</v>
      </c>
      <c r="C671" s="140">
        <v>15860</v>
      </c>
      <c r="D671" s="138">
        <v>15940</v>
      </c>
      <c r="E671" s="161">
        <f t="shared" ref="E671:E676" si="85">+C671-C670</f>
        <v>-70</v>
      </c>
      <c r="F671" s="213"/>
      <c r="G671" s="213"/>
      <c r="H671" s="169">
        <v>115250</v>
      </c>
      <c r="J671" s="134"/>
    </row>
    <row r="672" spans="1:10" ht="15" customHeight="1">
      <c r="A672" s="3">
        <v>41120</v>
      </c>
      <c r="B672" s="129">
        <v>113676</v>
      </c>
      <c r="C672" s="140">
        <v>16020</v>
      </c>
      <c r="D672" s="138">
        <v>16065</v>
      </c>
      <c r="E672" s="161">
        <f t="shared" si="85"/>
        <v>160</v>
      </c>
      <c r="F672" s="213"/>
      <c r="G672" s="213"/>
      <c r="H672" s="169">
        <v>116000</v>
      </c>
      <c r="J672" s="134"/>
    </row>
    <row r="673" spans="1:10" ht="15" customHeight="1" thickBot="1">
      <c r="A673" s="12">
        <v>41121</v>
      </c>
      <c r="B673" s="142">
        <v>114912</v>
      </c>
      <c r="C673" s="143">
        <v>16000</v>
      </c>
      <c r="D673" s="144">
        <v>16025</v>
      </c>
      <c r="E673" s="233">
        <f t="shared" si="85"/>
        <v>-20</v>
      </c>
      <c r="F673" s="260">
        <f>AVERAGE(C652:C673)</f>
        <v>16159.09090909091</v>
      </c>
      <c r="G673" s="261">
        <f>AVERAGE(C523:C673)</f>
        <v>18095</v>
      </c>
      <c r="H673" s="170">
        <v>116500</v>
      </c>
      <c r="J673" s="134"/>
    </row>
    <row r="674" spans="1:10" ht="15" customHeight="1">
      <c r="A674" s="36">
        <v>41122</v>
      </c>
      <c r="B674" s="152">
        <v>115884</v>
      </c>
      <c r="C674" s="153">
        <v>15710</v>
      </c>
      <c r="D674" s="154">
        <v>15800</v>
      </c>
      <c r="E674" s="155">
        <f t="shared" si="85"/>
        <v>-290</v>
      </c>
      <c r="F674" s="216"/>
      <c r="G674" s="216"/>
      <c r="H674" s="168">
        <v>115000</v>
      </c>
      <c r="J674" s="134"/>
    </row>
    <row r="675" spans="1:10" ht="15" customHeight="1">
      <c r="A675" s="3">
        <v>41123</v>
      </c>
      <c r="B675" s="129">
        <v>115578</v>
      </c>
      <c r="C675" s="140">
        <v>15480</v>
      </c>
      <c r="D675" s="138">
        <v>15595</v>
      </c>
      <c r="E675" s="161">
        <f t="shared" si="85"/>
        <v>-230</v>
      </c>
      <c r="F675" s="213"/>
      <c r="G675" s="213"/>
      <c r="H675" s="169">
        <v>114250</v>
      </c>
      <c r="J675" s="134"/>
    </row>
    <row r="676" spans="1:10" ht="15" customHeight="1">
      <c r="A676" s="3">
        <v>41124</v>
      </c>
      <c r="B676" s="129">
        <v>115314</v>
      </c>
      <c r="C676" s="140">
        <v>15400</v>
      </c>
      <c r="D676" s="138">
        <v>15405</v>
      </c>
      <c r="E676" s="161">
        <f t="shared" si="85"/>
        <v>-80</v>
      </c>
      <c r="F676" s="213"/>
      <c r="G676" s="213"/>
      <c r="H676" s="169">
        <v>113000</v>
      </c>
      <c r="J676" s="134"/>
    </row>
    <row r="677" spans="1:10" ht="15" customHeight="1">
      <c r="A677" s="3">
        <v>41127</v>
      </c>
      <c r="B677" s="129">
        <v>115992</v>
      </c>
      <c r="C677" s="140">
        <v>15455</v>
      </c>
      <c r="D677" s="138">
        <v>15530</v>
      </c>
      <c r="E677" s="161">
        <f t="shared" ref="E677:E682" si="86">+C677-C676</f>
        <v>55</v>
      </c>
      <c r="F677" s="213"/>
      <c r="G677" s="213"/>
      <c r="H677" s="169">
        <v>114000</v>
      </c>
      <c r="J677" s="134"/>
    </row>
    <row r="678" spans="1:10" ht="15" customHeight="1">
      <c r="A678" s="3">
        <v>41128</v>
      </c>
      <c r="B678" s="129">
        <v>116670</v>
      </c>
      <c r="C678" s="140">
        <v>15660</v>
      </c>
      <c r="D678" s="138">
        <v>15700</v>
      </c>
      <c r="E678" s="161">
        <f t="shared" si="86"/>
        <v>205</v>
      </c>
      <c r="F678" s="213"/>
      <c r="G678" s="213"/>
      <c r="H678" s="169">
        <v>114000</v>
      </c>
      <c r="J678" s="134"/>
    </row>
    <row r="679" spans="1:10" ht="15" customHeight="1">
      <c r="A679" s="3">
        <v>41129</v>
      </c>
      <c r="B679" s="129">
        <v>116604</v>
      </c>
      <c r="C679" s="140">
        <v>15480</v>
      </c>
      <c r="D679" s="138">
        <v>15550</v>
      </c>
      <c r="E679" s="161">
        <f t="shared" si="86"/>
        <v>-180</v>
      </c>
      <c r="F679" s="213"/>
      <c r="G679" s="213"/>
      <c r="H679" s="169">
        <v>114000</v>
      </c>
      <c r="J679" s="134"/>
    </row>
    <row r="680" spans="1:10" ht="15" customHeight="1">
      <c r="A680" s="3">
        <v>41130</v>
      </c>
      <c r="B680" s="129">
        <v>116808</v>
      </c>
      <c r="C680" s="140">
        <v>15450</v>
      </c>
      <c r="D680" s="138">
        <v>15510</v>
      </c>
      <c r="E680" s="161">
        <f t="shared" si="86"/>
        <v>-30</v>
      </c>
      <c r="F680" s="213"/>
      <c r="G680" s="213"/>
      <c r="H680" s="169">
        <v>113500</v>
      </c>
      <c r="J680" s="134"/>
    </row>
    <row r="681" spans="1:10" ht="15" customHeight="1">
      <c r="A681" s="3">
        <v>41131</v>
      </c>
      <c r="B681" s="129">
        <v>116676</v>
      </c>
      <c r="C681" s="140">
        <v>15225</v>
      </c>
      <c r="D681" s="138">
        <v>15275</v>
      </c>
      <c r="E681" s="161">
        <f t="shared" si="86"/>
        <v>-225</v>
      </c>
      <c r="F681" s="213"/>
      <c r="G681" s="213"/>
      <c r="H681" s="169">
        <v>112250</v>
      </c>
      <c r="J681" s="134"/>
    </row>
    <row r="682" spans="1:10" ht="15" customHeight="1">
      <c r="A682" s="3">
        <v>41134</v>
      </c>
      <c r="B682" s="129">
        <v>116004</v>
      </c>
      <c r="C682" s="140">
        <v>15320</v>
      </c>
      <c r="D682" s="138">
        <v>15425</v>
      </c>
      <c r="E682" s="161">
        <f t="shared" si="86"/>
        <v>95</v>
      </c>
      <c r="F682" s="213"/>
      <c r="H682" s="169">
        <v>111750</v>
      </c>
      <c r="J682" s="134"/>
    </row>
    <row r="683" spans="1:10" ht="15" customHeight="1">
      <c r="A683" s="3">
        <v>41135</v>
      </c>
      <c r="B683" s="129">
        <v>115878</v>
      </c>
      <c r="C683" s="140">
        <v>15555</v>
      </c>
      <c r="D683" s="138">
        <v>15360</v>
      </c>
      <c r="E683" s="161">
        <f t="shared" ref="E683:E688" si="87">+C683-C682</f>
        <v>235</v>
      </c>
      <c r="F683" s="213"/>
      <c r="G683" s="213"/>
      <c r="H683" s="169">
        <v>112000</v>
      </c>
      <c r="J683" s="134"/>
    </row>
    <row r="684" spans="1:10" ht="15" customHeight="1">
      <c r="A684" s="3">
        <v>41136</v>
      </c>
      <c r="B684" s="129">
        <v>115404</v>
      </c>
      <c r="C684" s="140">
        <v>15230</v>
      </c>
      <c r="D684" s="138">
        <v>15325</v>
      </c>
      <c r="E684" s="161">
        <f t="shared" si="87"/>
        <v>-325</v>
      </c>
      <c r="F684" s="213"/>
      <c r="G684" s="213"/>
      <c r="H684" s="169">
        <v>112250</v>
      </c>
      <c r="J684" s="134"/>
    </row>
    <row r="685" spans="1:10" ht="15" customHeight="1">
      <c r="A685" s="3">
        <v>41137</v>
      </c>
      <c r="B685" s="129">
        <v>115056</v>
      </c>
      <c r="C685" s="140">
        <v>15190</v>
      </c>
      <c r="D685" s="138">
        <v>15260</v>
      </c>
      <c r="E685" s="161">
        <f t="shared" si="87"/>
        <v>-40</v>
      </c>
      <c r="F685" s="213"/>
      <c r="G685" s="213"/>
      <c r="H685" s="169">
        <v>111850</v>
      </c>
      <c r="J685" s="134"/>
    </row>
    <row r="686" spans="1:10" ht="15" customHeight="1">
      <c r="A686" s="3">
        <v>41138</v>
      </c>
      <c r="B686" s="129">
        <v>114900</v>
      </c>
      <c r="C686" s="140">
        <v>15435</v>
      </c>
      <c r="D686" s="138">
        <v>15505</v>
      </c>
      <c r="E686" s="161">
        <f t="shared" si="87"/>
        <v>245</v>
      </c>
      <c r="F686" s="213"/>
      <c r="G686" s="213"/>
      <c r="H686" s="169">
        <v>112250</v>
      </c>
      <c r="J686" s="134"/>
    </row>
    <row r="687" spans="1:10" ht="15" customHeight="1">
      <c r="A687" s="3">
        <v>41141</v>
      </c>
      <c r="B687" s="129">
        <v>115758</v>
      </c>
      <c r="C687" s="140">
        <v>15350</v>
      </c>
      <c r="D687" s="138">
        <v>15425</v>
      </c>
      <c r="E687" s="161">
        <f t="shared" si="87"/>
        <v>-85</v>
      </c>
      <c r="F687" s="213"/>
      <c r="G687" s="213"/>
      <c r="H687" s="169">
        <v>112250</v>
      </c>
      <c r="J687" s="134"/>
    </row>
    <row r="688" spans="1:10" ht="15" customHeight="1">
      <c r="A688" s="3">
        <v>41142</v>
      </c>
      <c r="B688" s="129">
        <v>115662</v>
      </c>
      <c r="C688" s="140">
        <v>15610</v>
      </c>
      <c r="D688" s="138">
        <v>15655</v>
      </c>
      <c r="E688" s="161">
        <f t="shared" si="87"/>
        <v>260</v>
      </c>
      <c r="F688" s="213"/>
      <c r="G688" s="213"/>
      <c r="H688" s="169">
        <v>111750</v>
      </c>
      <c r="J688" s="134"/>
    </row>
    <row r="689" spans="1:10" ht="15" customHeight="1">
      <c r="A689" s="3">
        <v>41143</v>
      </c>
      <c r="B689" s="129">
        <v>115590</v>
      </c>
      <c r="C689" s="140">
        <v>15755</v>
      </c>
      <c r="D689" s="138">
        <v>15855</v>
      </c>
      <c r="E689" s="161">
        <f>+C689-C688</f>
        <v>145</v>
      </c>
      <c r="F689" s="213"/>
      <c r="G689" s="213"/>
      <c r="H689" s="169">
        <v>113250</v>
      </c>
      <c r="J689" s="134"/>
    </row>
    <row r="690" spans="1:10" ht="15" customHeight="1">
      <c r="A690" s="3">
        <v>41144</v>
      </c>
      <c r="B690" s="129">
        <v>114834</v>
      </c>
      <c r="C690" s="140">
        <v>16135</v>
      </c>
      <c r="D690" s="138">
        <v>16205</v>
      </c>
      <c r="E690" s="161">
        <f>+C690-C689</f>
        <v>380</v>
      </c>
      <c r="F690" s="213"/>
      <c r="G690" s="213"/>
      <c r="H690" s="169">
        <v>114000</v>
      </c>
      <c r="J690" s="134"/>
    </row>
    <row r="691" spans="1:10" ht="15" customHeight="1">
      <c r="A691" s="3">
        <v>41145</v>
      </c>
      <c r="B691" s="129">
        <v>114522</v>
      </c>
      <c r="C691" s="140">
        <v>16430</v>
      </c>
      <c r="D691" s="138">
        <v>16550</v>
      </c>
      <c r="E691" s="161">
        <f>+C691-C690</f>
        <v>295</v>
      </c>
      <c r="F691" s="213"/>
      <c r="G691" s="213"/>
      <c r="H691" s="169">
        <v>114850</v>
      </c>
      <c r="J691" s="134"/>
    </row>
    <row r="692" spans="1:10" ht="15" customHeight="1">
      <c r="A692" s="3">
        <v>41148</v>
      </c>
      <c r="B692" s="1069" t="s">
        <v>71</v>
      </c>
      <c r="C692" s="1069"/>
      <c r="D692" s="1069"/>
      <c r="E692" s="1069"/>
      <c r="F692" s="213"/>
      <c r="G692" s="213"/>
      <c r="H692" s="169">
        <v>115250</v>
      </c>
      <c r="J692" s="134"/>
    </row>
    <row r="693" spans="1:10" ht="15" customHeight="1">
      <c r="A693" s="3">
        <v>41149</v>
      </c>
      <c r="B693" s="129">
        <v>115236</v>
      </c>
      <c r="C693" s="140">
        <v>16210</v>
      </c>
      <c r="D693" s="138">
        <v>16255</v>
      </c>
      <c r="E693" s="161">
        <f>+C693-C691</f>
        <v>-220</v>
      </c>
      <c r="F693" s="213"/>
      <c r="G693" s="213"/>
      <c r="H693" s="169">
        <v>115000</v>
      </c>
      <c r="J693" s="134"/>
    </row>
    <row r="694" spans="1:10" ht="15" customHeight="1">
      <c r="A694" s="3">
        <v>41150</v>
      </c>
      <c r="B694" s="129">
        <v>118164</v>
      </c>
      <c r="C694" s="140">
        <v>16235</v>
      </c>
      <c r="D694" s="138">
        <v>16280</v>
      </c>
      <c r="E694" s="161">
        <f t="shared" ref="E694:E699" si="88">+C694-C693</f>
        <v>25</v>
      </c>
      <c r="F694" s="213"/>
      <c r="G694" s="213"/>
      <c r="H694" s="169">
        <v>114500</v>
      </c>
      <c r="J694" s="134"/>
    </row>
    <row r="695" spans="1:10" ht="15" customHeight="1">
      <c r="A695" s="3">
        <v>41151</v>
      </c>
      <c r="B695" s="129">
        <v>118662</v>
      </c>
      <c r="C695" s="140">
        <v>16280</v>
      </c>
      <c r="D695" s="138">
        <v>16365</v>
      </c>
      <c r="E695" s="161">
        <f t="shared" si="88"/>
        <v>45</v>
      </c>
      <c r="F695" s="213"/>
      <c r="G695" s="213"/>
      <c r="H695" s="169">
        <v>114500</v>
      </c>
      <c r="J695" s="134"/>
    </row>
    <row r="696" spans="1:10" ht="15" customHeight="1" thickBot="1">
      <c r="A696" s="12">
        <v>41152</v>
      </c>
      <c r="B696" s="142">
        <v>118908</v>
      </c>
      <c r="C696" s="143">
        <v>15875</v>
      </c>
      <c r="D696" s="144">
        <v>16000</v>
      </c>
      <c r="E696" s="233">
        <f t="shared" si="88"/>
        <v>-405</v>
      </c>
      <c r="F696" s="260">
        <f>AVERAGE(C674:C696)</f>
        <v>15657.727272727272</v>
      </c>
      <c r="G696" s="261">
        <f>AVERAGE(C523:C696)</f>
        <v>17775.833333333332</v>
      </c>
      <c r="H696" s="170">
        <v>114000</v>
      </c>
      <c r="J696" s="134"/>
    </row>
    <row r="697" spans="1:10" ht="15" customHeight="1">
      <c r="A697" s="36">
        <v>41155</v>
      </c>
      <c r="B697" s="152">
        <v>119784</v>
      </c>
      <c r="C697" s="153">
        <v>16105</v>
      </c>
      <c r="D697" s="154">
        <v>16200</v>
      </c>
      <c r="E697" s="155">
        <f t="shared" si="88"/>
        <v>230</v>
      </c>
      <c r="F697" s="216"/>
      <c r="G697" s="216"/>
      <c r="H697" s="168">
        <v>114000</v>
      </c>
      <c r="J697" s="134"/>
    </row>
    <row r="698" spans="1:10" ht="15" customHeight="1">
      <c r="A698" s="3">
        <v>41156</v>
      </c>
      <c r="B698" s="129">
        <v>119725</v>
      </c>
      <c r="C698" s="140">
        <v>16100</v>
      </c>
      <c r="D698" s="138">
        <v>16135</v>
      </c>
      <c r="E698" s="161">
        <f t="shared" si="88"/>
        <v>-5</v>
      </c>
      <c r="F698" s="213"/>
      <c r="G698" s="213"/>
      <c r="H698" s="169">
        <v>114500</v>
      </c>
      <c r="J698" s="134"/>
    </row>
    <row r="699" spans="1:10" ht="15" customHeight="1">
      <c r="A699" s="3">
        <v>41157</v>
      </c>
      <c r="B699" s="129">
        <v>120054</v>
      </c>
      <c r="C699" s="140">
        <v>15835</v>
      </c>
      <c r="D699" s="138">
        <v>15885</v>
      </c>
      <c r="E699" s="161">
        <f t="shared" si="88"/>
        <v>-265</v>
      </c>
      <c r="F699" s="213"/>
      <c r="G699" s="213"/>
      <c r="H699" s="169">
        <v>114000</v>
      </c>
      <c r="J699" s="134"/>
    </row>
    <row r="700" spans="1:10" ht="15" customHeight="1">
      <c r="A700" s="3">
        <v>41158</v>
      </c>
      <c r="B700" s="129">
        <v>121152</v>
      </c>
      <c r="C700" s="140">
        <v>16105</v>
      </c>
      <c r="D700" s="138">
        <v>16175</v>
      </c>
      <c r="E700" s="161">
        <f t="shared" ref="E700:E705" si="89">+C700-C699</f>
        <v>270</v>
      </c>
      <c r="F700" s="213"/>
      <c r="G700" s="213"/>
      <c r="H700" s="169">
        <v>114350</v>
      </c>
      <c r="J700" s="134"/>
    </row>
    <row r="701" spans="1:10" ht="15" customHeight="1">
      <c r="A701" s="3">
        <v>41159</v>
      </c>
      <c r="B701" s="129">
        <v>121080</v>
      </c>
      <c r="C701" s="140">
        <v>16155</v>
      </c>
      <c r="D701" s="138">
        <v>16260</v>
      </c>
      <c r="E701" s="161">
        <f t="shared" si="89"/>
        <v>50</v>
      </c>
      <c r="F701" s="213"/>
      <c r="G701" s="213"/>
      <c r="H701" s="169">
        <v>114250</v>
      </c>
      <c r="J701" s="134"/>
    </row>
    <row r="702" spans="1:10" ht="15" customHeight="1">
      <c r="A702" s="3">
        <v>41162</v>
      </c>
      <c r="B702" s="129">
        <v>120816</v>
      </c>
      <c r="C702" s="140">
        <v>16525</v>
      </c>
      <c r="D702" s="138">
        <v>16600</v>
      </c>
      <c r="E702" s="161">
        <f t="shared" si="89"/>
        <v>370</v>
      </c>
      <c r="F702" s="213"/>
      <c r="G702" s="213"/>
      <c r="H702" s="169">
        <v>116500</v>
      </c>
      <c r="J702" s="134"/>
    </row>
    <row r="703" spans="1:10" ht="15" customHeight="1">
      <c r="A703" s="3">
        <v>41163</v>
      </c>
      <c r="B703" s="129">
        <v>120810</v>
      </c>
      <c r="C703" s="140">
        <v>16625</v>
      </c>
      <c r="D703" s="138">
        <v>16670</v>
      </c>
      <c r="E703" s="161">
        <f t="shared" si="89"/>
        <v>100</v>
      </c>
      <c r="F703" s="213"/>
      <c r="G703" s="213"/>
      <c r="H703" s="169">
        <v>117500</v>
      </c>
      <c r="J703" s="134"/>
    </row>
    <row r="704" spans="1:10" ht="15" customHeight="1">
      <c r="A704" s="3">
        <v>41164</v>
      </c>
      <c r="B704" s="129">
        <v>120816</v>
      </c>
      <c r="C704" s="140">
        <v>16825</v>
      </c>
      <c r="D704" s="138">
        <v>16900</v>
      </c>
      <c r="E704" s="161">
        <f t="shared" si="89"/>
        <v>200</v>
      </c>
      <c r="F704" s="213"/>
      <c r="G704" s="213"/>
      <c r="H704" s="169">
        <v>117500</v>
      </c>
      <c r="J704" s="134"/>
    </row>
    <row r="705" spans="1:10" ht="15" customHeight="1">
      <c r="A705" s="3">
        <v>41165</v>
      </c>
      <c r="B705" s="129">
        <v>120882</v>
      </c>
      <c r="C705" s="140">
        <v>16680</v>
      </c>
      <c r="D705" s="138">
        <v>16730</v>
      </c>
      <c r="E705" s="161">
        <f t="shared" si="89"/>
        <v>-145</v>
      </c>
      <c r="F705" s="213"/>
      <c r="G705" s="213"/>
      <c r="H705" s="169">
        <v>118750</v>
      </c>
      <c r="J705" s="134"/>
    </row>
    <row r="706" spans="1:10" ht="15" customHeight="1">
      <c r="A706" s="3">
        <v>41166</v>
      </c>
      <c r="B706" s="129">
        <v>120876</v>
      </c>
      <c r="C706" s="140">
        <v>17525</v>
      </c>
      <c r="D706" s="138">
        <v>17555</v>
      </c>
      <c r="E706" s="161">
        <f t="shared" ref="E706:E711" si="90">+C706-C705</f>
        <v>845</v>
      </c>
      <c r="F706" s="213"/>
      <c r="G706" s="213"/>
      <c r="H706" s="169">
        <v>122500</v>
      </c>
      <c r="J706" s="134"/>
    </row>
    <row r="707" spans="1:10" ht="15" customHeight="1">
      <c r="A707" s="3">
        <v>41169</v>
      </c>
      <c r="B707" s="129">
        <v>120150</v>
      </c>
      <c r="C707" s="140">
        <v>17955</v>
      </c>
      <c r="D707" s="138">
        <v>17955</v>
      </c>
      <c r="E707" s="161">
        <f t="shared" si="90"/>
        <v>430</v>
      </c>
      <c r="F707" s="213"/>
      <c r="G707" s="213"/>
      <c r="H707" s="169">
        <v>125750</v>
      </c>
      <c r="J707" s="134"/>
    </row>
    <row r="708" spans="1:10" ht="15" customHeight="1">
      <c r="A708" s="3">
        <v>41170</v>
      </c>
      <c r="B708" s="129">
        <v>119982</v>
      </c>
      <c r="C708" s="140">
        <v>17800</v>
      </c>
      <c r="D708" s="138">
        <v>17840</v>
      </c>
      <c r="E708" s="161">
        <f t="shared" si="90"/>
        <v>-155</v>
      </c>
      <c r="F708" s="213"/>
      <c r="G708" s="213"/>
      <c r="H708" s="169">
        <v>125750</v>
      </c>
      <c r="J708" s="134"/>
    </row>
    <row r="709" spans="1:10" ht="15" customHeight="1">
      <c r="A709" s="3">
        <v>41171</v>
      </c>
      <c r="B709" s="129">
        <v>120936</v>
      </c>
      <c r="C709" s="140">
        <v>17780</v>
      </c>
      <c r="D709" s="138">
        <v>17840</v>
      </c>
      <c r="E709" s="161">
        <f t="shared" si="90"/>
        <v>-20</v>
      </c>
      <c r="F709" s="213"/>
      <c r="H709" s="169">
        <v>125750</v>
      </c>
      <c r="J709" s="134"/>
    </row>
    <row r="710" spans="1:10" ht="15" customHeight="1">
      <c r="A710" s="3">
        <v>41172</v>
      </c>
      <c r="B710" s="129">
        <v>120876</v>
      </c>
      <c r="C710" s="140">
        <v>17600</v>
      </c>
      <c r="D710" s="138">
        <v>17650</v>
      </c>
      <c r="E710" s="161">
        <f t="shared" si="90"/>
        <v>-180</v>
      </c>
      <c r="F710" s="213"/>
      <c r="G710" s="213"/>
      <c r="H710" s="169">
        <v>126250</v>
      </c>
      <c r="J710" s="134"/>
    </row>
    <row r="711" spans="1:10" ht="15" customHeight="1">
      <c r="A711" s="3">
        <v>41173</v>
      </c>
      <c r="B711" s="129">
        <v>120852</v>
      </c>
      <c r="C711" s="140">
        <v>18005</v>
      </c>
      <c r="D711" s="138">
        <v>18080</v>
      </c>
      <c r="E711" s="161">
        <f t="shared" si="90"/>
        <v>405</v>
      </c>
      <c r="F711" s="213"/>
      <c r="G711" s="213"/>
      <c r="H711" s="169">
        <v>126250</v>
      </c>
      <c r="J711" s="134"/>
    </row>
    <row r="712" spans="1:10" ht="15" customHeight="1">
      <c r="A712" s="3">
        <v>41176</v>
      </c>
      <c r="B712" s="129">
        <v>122466</v>
      </c>
      <c r="C712" s="140">
        <v>17810</v>
      </c>
      <c r="D712" s="138">
        <v>17930</v>
      </c>
      <c r="E712" s="161">
        <f t="shared" ref="E712:E719" si="91">+C712-C711</f>
        <v>-195</v>
      </c>
      <c r="F712" s="213"/>
      <c r="G712" s="213"/>
      <c r="H712" s="169">
        <v>126250</v>
      </c>
      <c r="J712" s="134"/>
    </row>
    <row r="713" spans="1:10" ht="15" customHeight="1">
      <c r="A713" s="3">
        <v>41177</v>
      </c>
      <c r="B713" s="129">
        <v>122442</v>
      </c>
      <c r="C713" s="140">
        <v>18275</v>
      </c>
      <c r="D713" s="138">
        <v>18345</v>
      </c>
      <c r="E713" s="161">
        <f t="shared" si="91"/>
        <v>465</v>
      </c>
      <c r="F713" s="213"/>
      <c r="H713" s="169">
        <v>126500</v>
      </c>
      <c r="J713" s="134"/>
    </row>
    <row r="714" spans="1:10" ht="15" customHeight="1">
      <c r="A714" s="3">
        <v>41178</v>
      </c>
      <c r="B714" s="129">
        <v>122442</v>
      </c>
      <c r="C714" s="140">
        <v>17930</v>
      </c>
      <c r="D714" s="138">
        <v>18050</v>
      </c>
      <c r="E714" s="161">
        <f t="shared" si="91"/>
        <v>-345</v>
      </c>
      <c r="F714" s="213"/>
      <c r="H714" s="169">
        <v>129000</v>
      </c>
      <c r="J714" s="134"/>
    </row>
    <row r="715" spans="1:10" ht="15" customHeight="1">
      <c r="A715" s="3">
        <v>41179</v>
      </c>
      <c r="B715" s="129">
        <v>122256</v>
      </c>
      <c r="C715" s="140">
        <v>18155</v>
      </c>
      <c r="D715" s="138">
        <v>18230</v>
      </c>
      <c r="E715" s="161">
        <f t="shared" si="91"/>
        <v>225</v>
      </c>
      <c r="F715" s="213"/>
      <c r="G715" s="213"/>
      <c r="H715" s="135">
        <v>128250</v>
      </c>
      <c r="J715" s="134"/>
    </row>
    <row r="716" spans="1:10" ht="15" customHeight="1" thickBot="1">
      <c r="A716" s="12">
        <v>41180</v>
      </c>
      <c r="B716" s="142">
        <v>122580</v>
      </c>
      <c r="C716" s="143">
        <v>18520</v>
      </c>
      <c r="D716" s="144">
        <v>18550</v>
      </c>
      <c r="E716" s="233">
        <f t="shared" si="91"/>
        <v>365</v>
      </c>
      <c r="F716" s="260">
        <f>AVERAGE(C697:C716)</f>
        <v>17215.5</v>
      </c>
      <c r="G716" s="261">
        <f>AVERAGE(C523:C716)</f>
        <v>17716.223404255321</v>
      </c>
      <c r="H716" s="170">
        <v>130750</v>
      </c>
      <c r="J716" s="134"/>
    </row>
    <row r="717" spans="1:10" ht="15" customHeight="1">
      <c r="A717" s="36">
        <v>41183</v>
      </c>
      <c r="B717" s="152">
        <v>124074</v>
      </c>
      <c r="C717" s="153">
        <v>18480</v>
      </c>
      <c r="D717" s="154">
        <v>18570</v>
      </c>
      <c r="E717" s="155">
        <f t="shared" si="91"/>
        <v>-40</v>
      </c>
      <c r="F717" s="216"/>
      <c r="G717" s="216"/>
      <c r="H717" s="1067" t="s">
        <v>71</v>
      </c>
      <c r="J717" s="134"/>
    </row>
    <row r="718" spans="1:10" ht="15" customHeight="1">
      <c r="A718" s="3">
        <v>41184</v>
      </c>
      <c r="B718" s="129">
        <v>123858</v>
      </c>
      <c r="C718" s="140">
        <v>18840</v>
      </c>
      <c r="D718" s="138">
        <v>18860</v>
      </c>
      <c r="E718" s="161">
        <f t="shared" si="91"/>
        <v>360</v>
      </c>
      <c r="F718" s="213"/>
      <c r="H718" s="1068"/>
      <c r="J718" s="134"/>
    </row>
    <row r="719" spans="1:10" ht="15" customHeight="1">
      <c r="A719" s="3">
        <v>41185</v>
      </c>
      <c r="B719" s="129">
        <v>123522</v>
      </c>
      <c r="C719" s="140">
        <v>18620</v>
      </c>
      <c r="D719" s="138">
        <v>18675</v>
      </c>
      <c r="E719" s="161">
        <f t="shared" si="91"/>
        <v>-220</v>
      </c>
      <c r="F719" s="213"/>
      <c r="G719" s="213"/>
      <c r="H719" s="1068"/>
      <c r="J719" s="134"/>
    </row>
    <row r="720" spans="1:10" ht="15" customHeight="1">
      <c r="A720" s="3">
        <v>41186</v>
      </c>
      <c r="B720" s="129">
        <v>123114</v>
      </c>
      <c r="C720" s="140">
        <v>18650</v>
      </c>
      <c r="D720" s="138">
        <v>18625</v>
      </c>
      <c r="E720" s="161">
        <f t="shared" ref="E720:E725" si="92">+C720-C719</f>
        <v>30</v>
      </c>
      <c r="F720" s="213"/>
      <c r="G720" s="213"/>
      <c r="H720" s="1068"/>
      <c r="J720" s="134"/>
    </row>
    <row r="721" spans="1:10" ht="15" customHeight="1">
      <c r="A721" s="3">
        <v>41187</v>
      </c>
      <c r="B721" s="129">
        <v>124860</v>
      </c>
      <c r="C721" s="140">
        <v>18575</v>
      </c>
      <c r="D721" s="138">
        <v>22455</v>
      </c>
      <c r="E721" s="161">
        <f t="shared" si="92"/>
        <v>-75</v>
      </c>
      <c r="F721" s="213"/>
      <c r="H721" s="1068"/>
      <c r="J721" s="134"/>
    </row>
    <row r="722" spans="1:10" ht="15" customHeight="1">
      <c r="A722" s="3">
        <v>41190</v>
      </c>
      <c r="B722" s="129">
        <v>124512</v>
      </c>
      <c r="C722" s="140">
        <v>17930</v>
      </c>
      <c r="D722" s="138">
        <v>18000</v>
      </c>
      <c r="E722" s="161">
        <f t="shared" si="92"/>
        <v>-645</v>
      </c>
      <c r="F722" s="213"/>
      <c r="G722" s="213"/>
      <c r="H722" s="169">
        <v>131250</v>
      </c>
      <c r="J722" s="134"/>
    </row>
    <row r="723" spans="1:10" ht="15" customHeight="1">
      <c r="A723" s="3">
        <v>41191</v>
      </c>
      <c r="B723" s="129">
        <v>124248</v>
      </c>
      <c r="C723" s="140">
        <v>17930</v>
      </c>
      <c r="D723" s="138">
        <v>18000</v>
      </c>
      <c r="E723" s="161">
        <f t="shared" si="92"/>
        <v>0</v>
      </c>
      <c r="F723" s="213"/>
      <c r="G723" s="213"/>
      <c r="H723" s="169">
        <v>130250</v>
      </c>
      <c r="J723" s="134"/>
    </row>
    <row r="724" spans="1:10" ht="15" customHeight="1">
      <c r="A724" s="3">
        <v>41192</v>
      </c>
      <c r="B724" s="129">
        <v>124350</v>
      </c>
      <c r="C724" s="140">
        <v>17735</v>
      </c>
      <c r="D724" s="138">
        <v>17830</v>
      </c>
      <c r="E724" s="161">
        <f t="shared" si="92"/>
        <v>-195</v>
      </c>
      <c r="F724" s="213"/>
      <c r="G724" s="213"/>
      <c r="H724" s="169">
        <v>129250</v>
      </c>
      <c r="J724" s="134"/>
    </row>
    <row r="725" spans="1:10" ht="15" customHeight="1">
      <c r="A725" s="3">
        <v>41193</v>
      </c>
      <c r="B725" s="129">
        <v>124368</v>
      </c>
      <c r="C725" s="140">
        <v>17645</v>
      </c>
      <c r="D725" s="138">
        <v>17710</v>
      </c>
      <c r="E725" s="161">
        <f t="shared" si="92"/>
        <v>-90</v>
      </c>
      <c r="F725" s="213"/>
      <c r="G725" s="213"/>
      <c r="H725" s="169">
        <v>128250</v>
      </c>
      <c r="J725" s="134"/>
    </row>
    <row r="726" spans="1:10" ht="15" customHeight="1">
      <c r="A726" s="3">
        <v>41194</v>
      </c>
      <c r="B726" s="129">
        <v>124608</v>
      </c>
      <c r="C726" s="140">
        <v>17235</v>
      </c>
      <c r="D726" s="138">
        <v>17305</v>
      </c>
      <c r="E726" s="161">
        <f t="shared" ref="E726:E731" si="93">+C726-C725</f>
        <v>-410</v>
      </c>
      <c r="F726" s="213"/>
      <c r="G726" s="213"/>
      <c r="H726" s="169">
        <v>128750</v>
      </c>
      <c r="J726" s="134"/>
    </row>
    <row r="727" spans="1:10" ht="15" customHeight="1">
      <c r="A727" s="3">
        <v>41197</v>
      </c>
      <c r="B727" s="129">
        <v>126342</v>
      </c>
      <c r="C727" s="140">
        <v>17205</v>
      </c>
      <c r="D727" s="138">
        <v>17300</v>
      </c>
      <c r="E727" s="161">
        <f t="shared" si="93"/>
        <v>-30</v>
      </c>
      <c r="F727" s="213"/>
      <c r="G727" s="213"/>
      <c r="H727" s="169">
        <v>125750</v>
      </c>
      <c r="J727" s="134"/>
    </row>
    <row r="728" spans="1:10" ht="15" customHeight="1">
      <c r="A728" s="3">
        <v>41198</v>
      </c>
      <c r="B728" s="129">
        <v>128544</v>
      </c>
      <c r="C728" s="140">
        <v>17060</v>
      </c>
      <c r="D728" s="138">
        <v>17140</v>
      </c>
      <c r="E728" s="161">
        <f t="shared" si="93"/>
        <v>-145</v>
      </c>
      <c r="F728" s="213"/>
      <c r="G728" s="213"/>
      <c r="H728" s="169">
        <v>125500</v>
      </c>
      <c r="J728" s="134"/>
    </row>
    <row r="729" spans="1:10" ht="15" customHeight="1">
      <c r="A729" s="3">
        <v>41199</v>
      </c>
      <c r="B729" s="129">
        <v>127956</v>
      </c>
      <c r="C729" s="140">
        <v>16805</v>
      </c>
      <c r="D729" s="138">
        <v>16880</v>
      </c>
      <c r="E729" s="161">
        <f t="shared" si="93"/>
        <v>-255</v>
      </c>
      <c r="F729" s="213"/>
      <c r="G729" s="213"/>
      <c r="H729" s="169">
        <v>124500</v>
      </c>
      <c r="J729" s="134"/>
    </row>
    <row r="730" spans="1:10" ht="15" customHeight="1">
      <c r="A730" s="3">
        <v>41200</v>
      </c>
      <c r="B730" s="129">
        <v>127152</v>
      </c>
      <c r="C730" s="140">
        <v>17135</v>
      </c>
      <c r="D730" s="138">
        <v>17210</v>
      </c>
      <c r="E730" s="161">
        <f t="shared" si="93"/>
        <v>330</v>
      </c>
      <c r="F730" s="262"/>
      <c r="G730" s="262"/>
      <c r="H730" s="169">
        <v>125500</v>
      </c>
      <c r="J730" s="134"/>
    </row>
    <row r="731" spans="1:10" ht="15" customHeight="1">
      <c r="A731" s="3">
        <v>41201</v>
      </c>
      <c r="B731" s="129">
        <v>127500</v>
      </c>
      <c r="C731" s="140">
        <v>17005</v>
      </c>
      <c r="D731" s="138">
        <v>17070</v>
      </c>
      <c r="E731" s="161">
        <f t="shared" si="93"/>
        <v>-130</v>
      </c>
      <c r="F731" s="262"/>
      <c r="G731" s="262"/>
      <c r="H731" s="169">
        <v>125500</v>
      </c>
      <c r="J731" s="134"/>
    </row>
    <row r="732" spans="1:10" ht="15" customHeight="1">
      <c r="A732" s="3">
        <v>41204</v>
      </c>
      <c r="B732" s="129">
        <v>127134</v>
      </c>
      <c r="C732" s="140">
        <v>16730</v>
      </c>
      <c r="D732" s="138">
        <v>16815</v>
      </c>
      <c r="E732" s="161">
        <f t="shared" ref="E732:E737" si="94">+C732-C731</f>
        <v>-275</v>
      </c>
      <c r="F732" s="262"/>
      <c r="G732" s="262"/>
      <c r="H732" s="169">
        <v>123250</v>
      </c>
      <c r="J732" s="134"/>
    </row>
    <row r="733" spans="1:10" ht="15" customHeight="1">
      <c r="A733" s="3">
        <v>41205</v>
      </c>
      <c r="B733" s="129">
        <v>127938</v>
      </c>
      <c r="C733" s="140">
        <v>16185</v>
      </c>
      <c r="D733" s="138">
        <v>16290</v>
      </c>
      <c r="E733" s="161">
        <f t="shared" si="94"/>
        <v>-545</v>
      </c>
      <c r="F733" s="262"/>
      <c r="G733" s="262"/>
      <c r="H733" s="169">
        <v>121750</v>
      </c>
      <c r="J733" s="134"/>
    </row>
    <row r="734" spans="1:10" ht="15" customHeight="1">
      <c r="A734" s="3">
        <v>41206</v>
      </c>
      <c r="B734" s="129">
        <v>127914</v>
      </c>
      <c r="C734" s="140">
        <v>16300</v>
      </c>
      <c r="D734" s="138">
        <v>16305</v>
      </c>
      <c r="E734" s="161">
        <f t="shared" si="94"/>
        <v>115</v>
      </c>
      <c r="F734" s="262"/>
      <c r="G734" s="262"/>
      <c r="H734" s="169">
        <v>119250</v>
      </c>
      <c r="J734" s="134"/>
    </row>
    <row r="735" spans="1:10" ht="15" customHeight="1">
      <c r="A735" s="3">
        <v>41207</v>
      </c>
      <c r="B735" s="129">
        <v>128718</v>
      </c>
      <c r="C735" s="140">
        <v>16405</v>
      </c>
      <c r="D735" s="138">
        <v>16450</v>
      </c>
      <c r="E735" s="161">
        <f t="shared" si="94"/>
        <v>105</v>
      </c>
      <c r="F735" s="262"/>
      <c r="G735" s="262"/>
      <c r="H735" s="169">
        <v>119000</v>
      </c>
      <c r="J735" s="134"/>
    </row>
    <row r="736" spans="1:10" ht="15" customHeight="1">
      <c r="A736" s="3">
        <v>41208</v>
      </c>
      <c r="B736" s="129">
        <v>129012</v>
      </c>
      <c r="C736" s="140">
        <v>16100</v>
      </c>
      <c r="D736" s="138">
        <v>16105</v>
      </c>
      <c r="E736" s="161">
        <f t="shared" si="94"/>
        <v>-305</v>
      </c>
      <c r="F736" s="262"/>
      <c r="H736" s="169">
        <v>118250</v>
      </c>
      <c r="J736" s="134"/>
    </row>
    <row r="737" spans="1:10" ht="15" customHeight="1">
      <c r="A737" s="3">
        <v>41211</v>
      </c>
      <c r="B737" s="129">
        <v>128934</v>
      </c>
      <c r="C737" s="140">
        <v>15870</v>
      </c>
      <c r="D737" s="138">
        <v>15930</v>
      </c>
      <c r="E737" s="161">
        <f t="shared" si="94"/>
        <v>-230</v>
      </c>
      <c r="F737" s="262"/>
      <c r="G737" s="262"/>
      <c r="H737" s="169">
        <v>117000</v>
      </c>
      <c r="J737" s="134"/>
    </row>
    <row r="738" spans="1:10" ht="15" customHeight="1">
      <c r="A738" s="3">
        <v>41212</v>
      </c>
      <c r="B738" s="129">
        <v>129720</v>
      </c>
      <c r="C738" s="140">
        <v>16000</v>
      </c>
      <c r="D738" s="138">
        <v>16080</v>
      </c>
      <c r="E738" s="161">
        <f t="shared" ref="E738:E743" si="95">+C738-C737</f>
        <v>130</v>
      </c>
      <c r="F738" s="262"/>
      <c r="G738" s="262"/>
      <c r="H738" s="169">
        <v>115500</v>
      </c>
      <c r="J738" s="134"/>
    </row>
    <row r="739" spans="1:10" ht="15" customHeight="1" thickBot="1">
      <c r="A739" s="12">
        <v>41213</v>
      </c>
      <c r="B739" s="142">
        <v>129618</v>
      </c>
      <c r="C739" s="143">
        <v>16235</v>
      </c>
      <c r="D739" s="144">
        <v>16275</v>
      </c>
      <c r="E739" s="233">
        <f t="shared" si="95"/>
        <v>235</v>
      </c>
      <c r="F739" s="260">
        <f>AVERAGE(C717:C739)</f>
        <v>17246.739130434784</v>
      </c>
      <c r="G739" s="261">
        <f>AVERAGE(C523:C739)</f>
        <v>17665.04739336493</v>
      </c>
      <c r="H739" s="170">
        <v>116250</v>
      </c>
      <c r="J739" s="134"/>
    </row>
    <row r="740" spans="1:10" ht="15" customHeight="1">
      <c r="A740" s="36">
        <v>41214</v>
      </c>
      <c r="B740" s="152">
        <v>130284</v>
      </c>
      <c r="C740" s="153">
        <v>16310</v>
      </c>
      <c r="D740" s="154">
        <v>16395</v>
      </c>
      <c r="E740" s="155">
        <f t="shared" si="95"/>
        <v>75</v>
      </c>
      <c r="F740" s="303"/>
      <c r="G740" s="303"/>
      <c r="H740" s="168">
        <v>116500</v>
      </c>
      <c r="J740" s="134"/>
    </row>
    <row r="741" spans="1:10" ht="15" customHeight="1">
      <c r="A741" s="3">
        <v>41215</v>
      </c>
      <c r="B741" s="129">
        <v>130182</v>
      </c>
      <c r="C741" s="140">
        <v>16150</v>
      </c>
      <c r="D741" s="138">
        <v>16200</v>
      </c>
      <c r="E741" s="161">
        <f t="shared" si="95"/>
        <v>-160</v>
      </c>
      <c r="F741" s="262"/>
      <c r="G741" s="262"/>
      <c r="H741" s="169">
        <v>117250</v>
      </c>
      <c r="J741" s="134"/>
    </row>
    <row r="742" spans="1:10" ht="15" customHeight="1">
      <c r="A742" s="3">
        <v>41218</v>
      </c>
      <c r="B742" s="129">
        <v>130128</v>
      </c>
      <c r="C742" s="140">
        <v>15850</v>
      </c>
      <c r="D742" s="138">
        <v>15855</v>
      </c>
      <c r="E742" s="161">
        <f t="shared" si="95"/>
        <v>-300</v>
      </c>
      <c r="F742" s="262"/>
      <c r="G742" s="262"/>
      <c r="H742" s="169">
        <v>115000</v>
      </c>
      <c r="J742" s="134"/>
    </row>
    <row r="743" spans="1:10" ht="15" customHeight="1">
      <c r="A743" s="3">
        <v>41219</v>
      </c>
      <c r="B743" s="129">
        <v>130548</v>
      </c>
      <c r="C743" s="140">
        <v>15975</v>
      </c>
      <c r="D743" s="138">
        <v>16020</v>
      </c>
      <c r="E743" s="161">
        <f t="shared" si="95"/>
        <v>125</v>
      </c>
      <c r="F743" s="262"/>
      <c r="H743" s="169">
        <v>115000</v>
      </c>
      <c r="J743" s="134"/>
    </row>
    <row r="744" spans="1:10" ht="15" customHeight="1">
      <c r="A744" s="3">
        <v>41220</v>
      </c>
      <c r="B744" s="129">
        <v>130500</v>
      </c>
      <c r="C744" s="140">
        <v>16000</v>
      </c>
      <c r="D744" s="138">
        <v>16030</v>
      </c>
      <c r="E744" s="161">
        <f t="shared" ref="E744:E749" si="96">+C744-C743</f>
        <v>25</v>
      </c>
      <c r="F744" s="262"/>
      <c r="G744" s="262"/>
      <c r="H744" s="169">
        <v>116600</v>
      </c>
      <c r="J744" s="134"/>
    </row>
    <row r="745" spans="1:10" ht="15" customHeight="1">
      <c r="A745" s="3">
        <v>41221</v>
      </c>
      <c r="B745" s="129">
        <v>130764</v>
      </c>
      <c r="C745" s="140">
        <v>15960</v>
      </c>
      <c r="D745" s="138">
        <v>15995</v>
      </c>
      <c r="E745" s="161">
        <f t="shared" si="96"/>
        <v>-40</v>
      </c>
      <c r="F745" s="262"/>
      <c r="G745" s="262"/>
      <c r="H745" s="169">
        <v>115900</v>
      </c>
      <c r="J745" s="134"/>
    </row>
    <row r="746" spans="1:10" ht="15" customHeight="1">
      <c r="A746" s="3">
        <v>41222</v>
      </c>
      <c r="B746" s="129">
        <v>130236</v>
      </c>
      <c r="C746" s="140">
        <v>15890</v>
      </c>
      <c r="D746" s="138">
        <v>15950</v>
      </c>
      <c r="E746" s="161">
        <f t="shared" si="96"/>
        <v>-70</v>
      </c>
      <c r="F746" s="262"/>
      <c r="G746" s="262"/>
      <c r="H746" s="169">
        <v>116500</v>
      </c>
      <c r="J746" s="134"/>
    </row>
    <row r="747" spans="1:10" ht="15" customHeight="1">
      <c r="A747" s="3">
        <v>41225</v>
      </c>
      <c r="B747" s="129">
        <v>129792</v>
      </c>
      <c r="C747" s="140">
        <v>15930</v>
      </c>
      <c r="D747" s="138">
        <v>16000</v>
      </c>
      <c r="E747" s="161">
        <f t="shared" si="96"/>
        <v>40</v>
      </c>
      <c r="F747" s="262"/>
      <c r="G747" s="262"/>
      <c r="H747" s="169">
        <v>115500</v>
      </c>
      <c r="J747" s="134"/>
    </row>
    <row r="748" spans="1:10" ht="15" customHeight="1">
      <c r="A748" s="3">
        <v>41226</v>
      </c>
      <c r="B748" s="129">
        <v>133104</v>
      </c>
      <c r="C748" s="140">
        <v>15910</v>
      </c>
      <c r="D748" s="138">
        <v>16000</v>
      </c>
      <c r="E748" s="161">
        <f t="shared" si="96"/>
        <v>-20</v>
      </c>
      <c r="F748" s="262"/>
      <c r="G748" s="262"/>
      <c r="H748" s="169">
        <v>115500</v>
      </c>
      <c r="J748" s="134"/>
    </row>
    <row r="749" spans="1:10" ht="15" customHeight="1">
      <c r="A749" s="3">
        <v>41227</v>
      </c>
      <c r="B749" s="129">
        <v>133602</v>
      </c>
      <c r="C749" s="140">
        <v>15985</v>
      </c>
      <c r="D749" s="138">
        <v>16125</v>
      </c>
      <c r="E749" s="161">
        <f t="shared" si="96"/>
        <v>75</v>
      </c>
      <c r="F749" s="262"/>
      <c r="G749" s="262"/>
      <c r="H749" s="169">
        <v>115650</v>
      </c>
      <c r="J749" s="134"/>
    </row>
    <row r="750" spans="1:10" ht="15" customHeight="1">
      <c r="A750" s="3">
        <v>41228</v>
      </c>
      <c r="B750" s="129">
        <v>133458</v>
      </c>
      <c r="C750" s="140">
        <v>16015</v>
      </c>
      <c r="D750" s="138">
        <v>16100</v>
      </c>
      <c r="E750" s="161">
        <f t="shared" ref="E750:E755" si="97">+C750-C749</f>
        <v>30</v>
      </c>
      <c r="F750" s="262"/>
      <c r="G750" s="262"/>
      <c r="H750" s="169">
        <v>116250</v>
      </c>
      <c r="J750" s="134"/>
    </row>
    <row r="751" spans="1:10" ht="15" customHeight="1">
      <c r="A751" s="3">
        <v>41229</v>
      </c>
      <c r="B751" s="129">
        <v>132882</v>
      </c>
      <c r="C751" s="140">
        <v>15880</v>
      </c>
      <c r="D751" s="138">
        <v>15950</v>
      </c>
      <c r="E751" s="161">
        <f t="shared" si="97"/>
        <v>-135</v>
      </c>
      <c r="F751" s="262"/>
      <c r="G751" s="262"/>
      <c r="H751" s="169">
        <v>116000</v>
      </c>
      <c r="J751" s="134"/>
    </row>
    <row r="752" spans="1:10" ht="15" customHeight="1">
      <c r="A752" s="3">
        <v>41232</v>
      </c>
      <c r="B752" s="129">
        <v>132636</v>
      </c>
      <c r="C752" s="140">
        <v>16060</v>
      </c>
      <c r="D752" s="138">
        <v>16150</v>
      </c>
      <c r="E752" s="161">
        <f t="shared" si="97"/>
        <v>180</v>
      </c>
      <c r="F752" s="262"/>
      <c r="G752" s="262"/>
      <c r="H752" s="169">
        <v>116250</v>
      </c>
      <c r="J752" s="134"/>
    </row>
    <row r="753" spans="1:10" ht="15" customHeight="1">
      <c r="A753" s="3">
        <v>41233</v>
      </c>
      <c r="B753" s="129">
        <v>133914</v>
      </c>
      <c r="C753" s="140">
        <v>16335</v>
      </c>
      <c r="D753" s="138">
        <v>16365</v>
      </c>
      <c r="E753" s="161">
        <f t="shared" si="97"/>
        <v>275</v>
      </c>
      <c r="F753" s="262"/>
      <c r="G753" s="262"/>
      <c r="H753" s="169">
        <v>117500</v>
      </c>
      <c r="J753" s="134"/>
    </row>
    <row r="754" spans="1:10" ht="15" customHeight="1">
      <c r="A754" s="3">
        <v>41234</v>
      </c>
      <c r="B754" s="129">
        <v>133578</v>
      </c>
      <c r="C754" s="140">
        <v>16510</v>
      </c>
      <c r="D754" s="138">
        <v>16575</v>
      </c>
      <c r="E754" s="161">
        <f t="shared" si="97"/>
        <v>175</v>
      </c>
      <c r="F754" s="262"/>
      <c r="G754" s="262"/>
      <c r="H754" s="169">
        <v>118000</v>
      </c>
      <c r="J754" s="134"/>
    </row>
    <row r="755" spans="1:10" ht="15" customHeight="1">
      <c r="A755" s="3">
        <v>41235</v>
      </c>
      <c r="B755" s="129">
        <v>133908</v>
      </c>
      <c r="C755" s="140">
        <v>16685</v>
      </c>
      <c r="D755" s="138">
        <v>16750</v>
      </c>
      <c r="E755" s="161">
        <f t="shared" si="97"/>
        <v>175</v>
      </c>
      <c r="F755" s="262"/>
      <c r="G755" s="262"/>
      <c r="H755" s="169">
        <v>118750</v>
      </c>
      <c r="J755" s="134"/>
    </row>
    <row r="756" spans="1:10" ht="15" customHeight="1">
      <c r="A756" s="3">
        <v>41236</v>
      </c>
      <c r="B756" s="129">
        <v>133812</v>
      </c>
      <c r="C756" s="140">
        <v>16530</v>
      </c>
      <c r="D756" s="138">
        <v>16600</v>
      </c>
      <c r="E756" s="161">
        <f t="shared" ref="E756:E761" si="98">+C756-C755</f>
        <v>-155</v>
      </c>
      <c r="F756" s="262"/>
      <c r="G756" s="262"/>
      <c r="H756" s="169">
        <v>118500</v>
      </c>
      <c r="J756" s="134"/>
    </row>
    <row r="757" spans="1:10" ht="15" customHeight="1">
      <c r="A757" s="3">
        <v>41239</v>
      </c>
      <c r="B757" s="129">
        <v>134646</v>
      </c>
      <c r="C757" s="140">
        <v>16675</v>
      </c>
      <c r="D757" s="138">
        <v>16725</v>
      </c>
      <c r="E757" s="161">
        <f t="shared" si="98"/>
        <v>145</v>
      </c>
      <c r="F757" s="262"/>
      <c r="G757" s="262"/>
      <c r="H757" s="169">
        <v>119000</v>
      </c>
      <c r="J757" s="134"/>
    </row>
    <row r="758" spans="1:10" ht="15" customHeight="1">
      <c r="A758" s="3">
        <v>41240</v>
      </c>
      <c r="B758" s="129">
        <v>134448</v>
      </c>
      <c r="C758" s="140">
        <v>16670</v>
      </c>
      <c r="D758" s="138">
        <v>16730</v>
      </c>
      <c r="E758" s="161">
        <f t="shared" si="98"/>
        <v>-5</v>
      </c>
      <c r="F758" s="262"/>
      <c r="G758" s="262"/>
      <c r="H758" s="169">
        <v>119500</v>
      </c>
      <c r="J758" s="134"/>
    </row>
    <row r="759" spans="1:10" ht="15" customHeight="1">
      <c r="A759" s="3">
        <v>41241</v>
      </c>
      <c r="B759" s="129">
        <v>136386</v>
      </c>
      <c r="C759" s="140">
        <v>16900</v>
      </c>
      <c r="D759" s="138">
        <v>16955</v>
      </c>
      <c r="E759" s="161">
        <f t="shared" si="98"/>
        <v>230</v>
      </c>
      <c r="F759" s="262"/>
      <c r="G759" s="262"/>
      <c r="H759" s="169">
        <v>120500</v>
      </c>
      <c r="J759" s="134"/>
    </row>
    <row r="760" spans="1:10" ht="15" customHeight="1">
      <c r="A760" s="3">
        <v>41242</v>
      </c>
      <c r="B760" s="129">
        <v>136356</v>
      </c>
      <c r="C760" s="140">
        <v>17225</v>
      </c>
      <c r="D760" s="138">
        <v>17345</v>
      </c>
      <c r="E760" s="161">
        <f t="shared" si="98"/>
        <v>325</v>
      </c>
      <c r="F760" s="262"/>
      <c r="G760" s="262"/>
      <c r="H760" s="169">
        <v>120500</v>
      </c>
      <c r="J760" s="134"/>
    </row>
    <row r="761" spans="1:10" ht="15" customHeight="1" thickBot="1">
      <c r="A761" s="12">
        <v>41243</v>
      </c>
      <c r="B761" s="142">
        <v>136374</v>
      </c>
      <c r="C761" s="143">
        <v>17100</v>
      </c>
      <c r="D761" s="144">
        <v>17275</v>
      </c>
      <c r="E761" s="233">
        <f t="shared" si="98"/>
        <v>-125</v>
      </c>
      <c r="F761" s="260">
        <f>AVERAGE(C740:C761)</f>
        <v>16297.5</v>
      </c>
      <c r="G761" s="261">
        <f>AVERAGE(C523:C761)</f>
        <v>17535.922746781114</v>
      </c>
      <c r="H761" s="170">
        <v>121500</v>
      </c>
      <c r="J761" s="134"/>
    </row>
    <row r="762" spans="1:10" ht="15" customHeight="1">
      <c r="A762" s="3">
        <v>41246</v>
      </c>
      <c r="B762" s="132">
        <v>136170</v>
      </c>
      <c r="C762" s="137">
        <v>17600</v>
      </c>
      <c r="D762" s="136">
        <v>17660</v>
      </c>
      <c r="E762" s="134">
        <f t="shared" ref="E762:E767" si="99">+C762-C761</f>
        <v>500</v>
      </c>
      <c r="F762" s="304"/>
      <c r="G762" s="262"/>
      <c r="H762" s="168">
        <v>124500</v>
      </c>
      <c r="J762" s="134"/>
    </row>
    <row r="763" spans="1:10" ht="15" customHeight="1">
      <c r="A763" s="3">
        <v>41247</v>
      </c>
      <c r="B763" s="132">
        <v>138360</v>
      </c>
      <c r="C763" s="137">
        <v>17315</v>
      </c>
      <c r="D763" s="136">
        <v>17425</v>
      </c>
      <c r="E763" s="134">
        <f t="shared" si="99"/>
        <v>-285</v>
      </c>
      <c r="F763" s="304"/>
      <c r="G763" s="262"/>
      <c r="H763" s="169">
        <v>123500</v>
      </c>
      <c r="J763" s="134"/>
    </row>
    <row r="764" spans="1:10" ht="15" customHeight="1">
      <c r="A764" s="3">
        <v>41248</v>
      </c>
      <c r="B764" s="132">
        <v>138354</v>
      </c>
      <c r="C764" s="137">
        <v>17445</v>
      </c>
      <c r="D764" s="136">
        <v>17500</v>
      </c>
      <c r="E764" s="134">
        <f t="shared" si="99"/>
        <v>130</v>
      </c>
      <c r="F764" s="304"/>
      <c r="G764" s="262"/>
      <c r="H764" s="169">
        <v>123250</v>
      </c>
      <c r="J764" s="134"/>
    </row>
    <row r="765" spans="1:10" ht="15" customHeight="1" thickBot="1">
      <c r="A765" s="3">
        <v>41249</v>
      </c>
      <c r="B765" s="132">
        <v>138654</v>
      </c>
      <c r="C765" s="137">
        <v>17380</v>
      </c>
      <c r="D765" s="136">
        <v>17475</v>
      </c>
      <c r="E765" s="134">
        <f t="shared" si="99"/>
        <v>-65</v>
      </c>
      <c r="F765" s="304"/>
      <c r="G765" s="262"/>
      <c r="H765" s="169">
        <v>123500</v>
      </c>
      <c r="J765" s="134"/>
    </row>
    <row r="766" spans="1:10" ht="15" customHeight="1">
      <c r="A766" s="3">
        <v>41250</v>
      </c>
      <c r="B766" s="132">
        <v>138558</v>
      </c>
      <c r="C766" s="137">
        <v>17025</v>
      </c>
      <c r="D766" s="136">
        <v>17080</v>
      </c>
      <c r="E766" s="134">
        <f t="shared" si="99"/>
        <v>-355</v>
      </c>
      <c r="F766" s="304"/>
      <c r="G766" s="308">
        <f>AVERAGE(C523:C782)</f>
        <v>17526.170634920636</v>
      </c>
      <c r="H766" s="169">
        <v>121500</v>
      </c>
      <c r="J766" s="134"/>
    </row>
    <row r="767" spans="1:10" ht="15" customHeight="1">
      <c r="A767" s="3">
        <v>41253</v>
      </c>
      <c r="B767" s="132">
        <v>138024</v>
      </c>
      <c r="C767" s="137">
        <v>17330</v>
      </c>
      <c r="D767" s="136">
        <v>17405</v>
      </c>
      <c r="E767" s="134">
        <f t="shared" si="99"/>
        <v>305</v>
      </c>
      <c r="F767" s="304"/>
      <c r="G767" s="262"/>
      <c r="H767" s="169">
        <v>122000</v>
      </c>
      <c r="J767" s="134"/>
    </row>
    <row r="768" spans="1:10" ht="15" customHeight="1">
      <c r="A768" s="3">
        <v>41254</v>
      </c>
      <c r="B768" s="132">
        <v>137472</v>
      </c>
      <c r="C768" s="137">
        <v>17605</v>
      </c>
      <c r="D768" s="136">
        <v>17700</v>
      </c>
      <c r="E768" s="134">
        <f t="shared" ref="E768:E777" si="100">+C768-C767</f>
        <v>275</v>
      </c>
      <c r="F768" s="304"/>
      <c r="G768" s="262"/>
      <c r="H768" s="169">
        <v>124250</v>
      </c>
      <c r="J768" s="134"/>
    </row>
    <row r="769" spans="1:12" ht="14.25" customHeight="1">
      <c r="A769" s="3">
        <v>41255</v>
      </c>
      <c r="B769" s="132">
        <v>137622</v>
      </c>
      <c r="C769" s="137">
        <v>17760</v>
      </c>
      <c r="D769" s="136">
        <v>17850</v>
      </c>
      <c r="E769" s="134">
        <f t="shared" si="100"/>
        <v>155</v>
      </c>
      <c r="F769" s="304"/>
      <c r="G769" s="262"/>
      <c r="H769" s="169">
        <v>124500</v>
      </c>
      <c r="J769" s="134">
        <f>AVERAGE(D762:D782)</f>
        <v>17483.42105263158</v>
      </c>
    </row>
    <row r="770" spans="1:12" ht="15" customHeight="1">
      <c r="A770" s="3">
        <v>41256</v>
      </c>
      <c r="B770" s="132">
        <v>137598</v>
      </c>
      <c r="C770" s="137">
        <v>17430</v>
      </c>
      <c r="D770" s="136">
        <v>17525</v>
      </c>
      <c r="E770" s="134">
        <f t="shared" si="100"/>
        <v>-330</v>
      </c>
      <c r="F770" s="304"/>
      <c r="G770" s="262"/>
      <c r="H770" s="169">
        <v>123000</v>
      </c>
    </row>
    <row r="771" spans="1:12" ht="15" customHeight="1">
      <c r="A771" s="3">
        <v>41257</v>
      </c>
      <c r="B771" s="132">
        <v>137820</v>
      </c>
      <c r="C771" s="137">
        <v>17705</v>
      </c>
      <c r="D771" s="136">
        <v>17785</v>
      </c>
      <c r="E771" s="134">
        <f t="shared" si="100"/>
        <v>275</v>
      </c>
      <c r="F771" s="304"/>
      <c r="G771" s="262"/>
      <c r="H771" s="169">
        <v>123000</v>
      </c>
    </row>
    <row r="772" spans="1:12" ht="15" customHeight="1">
      <c r="A772" s="3">
        <v>41260</v>
      </c>
      <c r="B772" s="132">
        <v>138030</v>
      </c>
      <c r="C772" s="137">
        <v>17555</v>
      </c>
      <c r="D772" s="136">
        <v>17720</v>
      </c>
      <c r="E772" s="134">
        <f t="shared" si="100"/>
        <v>-150</v>
      </c>
      <c r="F772" s="304"/>
      <c r="G772" s="262"/>
      <c r="H772" s="169">
        <v>123000</v>
      </c>
    </row>
    <row r="773" spans="1:12" ht="15" customHeight="1">
      <c r="A773" s="3">
        <v>41261</v>
      </c>
      <c r="B773" s="132">
        <v>137388</v>
      </c>
      <c r="C773" s="137">
        <v>17650</v>
      </c>
      <c r="D773" s="136">
        <v>17710</v>
      </c>
      <c r="E773" s="134">
        <f t="shared" si="100"/>
        <v>95</v>
      </c>
      <c r="F773" s="304"/>
      <c r="G773" s="262"/>
      <c r="H773" s="169">
        <v>122000</v>
      </c>
    </row>
    <row r="774" spans="1:12" ht="15" customHeight="1">
      <c r="A774" s="3">
        <v>41262</v>
      </c>
      <c r="B774" s="132">
        <v>138330</v>
      </c>
      <c r="C774" s="137">
        <v>17585</v>
      </c>
      <c r="D774" s="136">
        <v>17680</v>
      </c>
      <c r="E774" s="134">
        <f t="shared" si="100"/>
        <v>-65</v>
      </c>
      <c r="F774" s="304"/>
      <c r="G774" s="262"/>
      <c r="H774" s="169">
        <v>122000</v>
      </c>
    </row>
    <row r="775" spans="1:12" ht="15" customHeight="1">
      <c r="A775" s="3">
        <v>41263</v>
      </c>
      <c r="B775" s="132">
        <v>138372</v>
      </c>
      <c r="C775" s="137">
        <v>17525</v>
      </c>
      <c r="D775" s="136">
        <v>17540</v>
      </c>
      <c r="E775" s="134">
        <f t="shared" si="100"/>
        <v>-60</v>
      </c>
      <c r="F775" s="304"/>
      <c r="G775" s="262"/>
      <c r="H775" s="169">
        <v>121000</v>
      </c>
    </row>
    <row r="776" spans="1:12" ht="15" customHeight="1">
      <c r="A776" s="3">
        <v>41264</v>
      </c>
      <c r="B776" s="132">
        <v>139098</v>
      </c>
      <c r="C776" s="137">
        <v>17385</v>
      </c>
      <c r="D776" s="136">
        <v>17485</v>
      </c>
      <c r="E776" s="134">
        <f t="shared" si="100"/>
        <v>-140</v>
      </c>
      <c r="F776" s="304"/>
      <c r="G776" s="262"/>
      <c r="H776" s="169">
        <v>119750</v>
      </c>
    </row>
    <row r="777" spans="1:12" ht="15" customHeight="1">
      <c r="A777" s="3">
        <v>41267</v>
      </c>
      <c r="B777" s="132">
        <v>139098</v>
      </c>
      <c r="C777" s="137">
        <v>17015</v>
      </c>
      <c r="D777" s="136">
        <v>17100</v>
      </c>
      <c r="E777" s="134">
        <f t="shared" si="100"/>
        <v>-370</v>
      </c>
      <c r="F777" s="304"/>
      <c r="G777" s="262"/>
      <c r="H777" s="169">
        <v>118500</v>
      </c>
    </row>
    <row r="778" spans="1:12" ht="15" customHeight="1">
      <c r="A778" s="3">
        <v>41268</v>
      </c>
      <c r="B778" s="1084" t="s">
        <v>70</v>
      </c>
      <c r="C778" s="1084"/>
      <c r="D778" s="1084"/>
      <c r="E778" s="1084"/>
      <c r="F778" s="304"/>
      <c r="G778" s="262"/>
      <c r="H778" s="169">
        <v>118500</v>
      </c>
    </row>
    <row r="779" spans="1:12" ht="15" customHeight="1">
      <c r="A779" s="3">
        <v>41269</v>
      </c>
      <c r="B779" s="1084" t="s">
        <v>70</v>
      </c>
      <c r="C779" s="1084"/>
      <c r="D779" s="1084"/>
      <c r="E779" s="1084"/>
      <c r="F779" s="304"/>
      <c r="G779" s="262"/>
      <c r="H779" s="169">
        <v>118750</v>
      </c>
    </row>
    <row r="780" spans="1:12" ht="15" customHeight="1">
      <c r="A780" s="3">
        <v>41270</v>
      </c>
      <c r="B780" s="132">
        <v>138702</v>
      </c>
      <c r="C780" s="137">
        <v>17230</v>
      </c>
      <c r="D780" s="136">
        <v>17280</v>
      </c>
      <c r="E780" s="134">
        <f>+C780-C777</f>
        <v>215</v>
      </c>
      <c r="F780" s="304"/>
      <c r="G780" s="262"/>
      <c r="H780" s="169">
        <v>119250</v>
      </c>
    </row>
    <row r="781" spans="1:12" ht="15" customHeight="1">
      <c r="A781" s="3">
        <v>41271</v>
      </c>
      <c r="B781" s="132">
        <v>139074</v>
      </c>
      <c r="C781" s="137">
        <v>17100</v>
      </c>
      <c r="D781" s="136">
        <v>17105</v>
      </c>
      <c r="E781" s="134">
        <f>+C781-C780</f>
        <v>-130</v>
      </c>
      <c r="F781" s="304"/>
      <c r="G781" s="262"/>
      <c r="H781" s="169">
        <v>119250</v>
      </c>
    </row>
    <row r="782" spans="1:12" ht="15" customHeight="1" thickBot="1">
      <c r="A782" s="12">
        <v>41274</v>
      </c>
      <c r="B782" s="142">
        <v>139908</v>
      </c>
      <c r="C782" s="143">
        <v>17085</v>
      </c>
      <c r="D782" s="144">
        <v>17160</v>
      </c>
      <c r="E782" s="233">
        <f>+C782-C781</f>
        <v>-15</v>
      </c>
      <c r="F782" s="260">
        <f>AVERAGE(C762:C782)</f>
        <v>17406.57894736842</v>
      </c>
      <c r="G782" s="261">
        <f>AVERAGE(C523:C782)</f>
        <v>17526.170634920636</v>
      </c>
      <c r="H782" s="170">
        <v>118750</v>
      </c>
    </row>
    <row r="783" spans="1:12" ht="15" customHeight="1">
      <c r="A783" s="3">
        <v>41275</v>
      </c>
      <c r="B783" s="1084" t="s">
        <v>70</v>
      </c>
      <c r="C783" s="1084"/>
      <c r="D783" s="1084"/>
      <c r="E783" s="1084"/>
      <c r="H783" s="354" t="s">
        <v>114</v>
      </c>
    </row>
    <row r="784" spans="1:12" ht="15" customHeight="1">
      <c r="A784" s="3">
        <v>41276</v>
      </c>
      <c r="B784" s="132">
        <v>141690</v>
      </c>
      <c r="C784" s="137">
        <v>17425</v>
      </c>
      <c r="D784" s="136">
        <v>17500</v>
      </c>
      <c r="E784" s="134">
        <f>+C784-C782</f>
        <v>340</v>
      </c>
      <c r="F784"/>
      <c r="G784"/>
      <c r="H784" s="169" t="s">
        <v>70</v>
      </c>
      <c r="L784" s="134"/>
    </row>
    <row r="785" spans="1:10" ht="15" customHeight="1">
      <c r="A785" s="3">
        <v>41277</v>
      </c>
      <c r="B785" s="132">
        <v>141690</v>
      </c>
      <c r="C785" s="137">
        <v>17540</v>
      </c>
      <c r="D785" s="136">
        <v>17595</v>
      </c>
      <c r="E785" s="134">
        <f t="shared" ref="E785:E845" si="101">+C785-C784</f>
        <v>115</v>
      </c>
      <c r="F785" s="304"/>
      <c r="G785" s="262"/>
      <c r="H785" s="169" t="s">
        <v>70</v>
      </c>
      <c r="J785" s="134">
        <f>AVERAGE(D784:D805)</f>
        <v>17529.090909090908</v>
      </c>
    </row>
    <row r="786" spans="1:10" ht="15" customHeight="1">
      <c r="A786" s="3">
        <v>41278</v>
      </c>
      <c r="B786" s="132">
        <v>141672</v>
      </c>
      <c r="C786" s="137">
        <v>17325</v>
      </c>
      <c r="D786" s="136">
        <v>17405</v>
      </c>
      <c r="E786" s="134">
        <f t="shared" si="101"/>
        <v>-215</v>
      </c>
      <c r="F786"/>
      <c r="G786"/>
      <c r="H786" s="169">
        <v>121500</v>
      </c>
    </row>
    <row r="787" spans="1:10" ht="15" customHeight="1" thickBot="1">
      <c r="A787" s="3">
        <v>41281</v>
      </c>
      <c r="B787" s="132">
        <v>142248</v>
      </c>
      <c r="C787" s="137">
        <v>17215</v>
      </c>
      <c r="D787" s="136">
        <v>17290</v>
      </c>
      <c r="E787" s="134">
        <f t="shared" si="101"/>
        <v>-110</v>
      </c>
      <c r="F787"/>
      <c r="G787"/>
      <c r="H787" s="169">
        <v>121500</v>
      </c>
    </row>
    <row r="788" spans="1:10" ht="15" customHeight="1">
      <c r="A788" s="3">
        <v>41282</v>
      </c>
      <c r="B788" s="132">
        <v>143490</v>
      </c>
      <c r="C788" s="137">
        <v>17145</v>
      </c>
      <c r="D788" s="136">
        <v>17205</v>
      </c>
      <c r="E788" s="134">
        <f t="shared" si="101"/>
        <v>-70</v>
      </c>
      <c r="F788" s="304"/>
      <c r="G788" s="308">
        <f>AVERAGE(C784:C801)</f>
        <v>17361.666666666668</v>
      </c>
      <c r="H788" s="169">
        <v>122000</v>
      </c>
    </row>
    <row r="789" spans="1:10" ht="15" customHeight="1">
      <c r="A789" s="3">
        <v>41283</v>
      </c>
      <c r="B789" s="132">
        <v>143418</v>
      </c>
      <c r="C789" s="137">
        <v>17440</v>
      </c>
      <c r="D789" s="136">
        <v>17550</v>
      </c>
      <c r="E789" s="134">
        <f t="shared" si="101"/>
        <v>295</v>
      </c>
      <c r="F789" s="304"/>
      <c r="G789" s="262"/>
      <c r="H789" s="169">
        <v>122000</v>
      </c>
    </row>
    <row r="790" spans="1:10" ht="15" customHeight="1">
      <c r="A790" s="3">
        <v>41284</v>
      </c>
      <c r="B790" s="132">
        <v>144342</v>
      </c>
      <c r="C790" s="137">
        <v>17440</v>
      </c>
      <c r="D790" s="136">
        <v>17550</v>
      </c>
      <c r="E790" s="134">
        <f t="shared" si="101"/>
        <v>0</v>
      </c>
      <c r="H790" s="169">
        <v>123500</v>
      </c>
    </row>
    <row r="791" spans="1:10" ht="15" customHeight="1">
      <c r="A791" s="3">
        <v>41285</v>
      </c>
      <c r="B791" s="132">
        <v>144246</v>
      </c>
      <c r="C791" s="137">
        <v>17325</v>
      </c>
      <c r="D791" s="136">
        <v>17405</v>
      </c>
      <c r="E791" s="134">
        <f t="shared" si="101"/>
        <v>-115</v>
      </c>
      <c r="F791"/>
      <c r="H791" s="169">
        <v>123500</v>
      </c>
    </row>
    <row r="792" spans="1:10" ht="15" customHeight="1">
      <c r="A792" s="3">
        <v>41288</v>
      </c>
      <c r="B792" s="132">
        <v>147060</v>
      </c>
      <c r="C792" s="137">
        <v>17360</v>
      </c>
      <c r="D792" s="136">
        <v>17455</v>
      </c>
      <c r="E792" s="134">
        <f t="shared" si="101"/>
        <v>35</v>
      </c>
      <c r="F792" s="304"/>
      <c r="G792" s="262"/>
      <c r="H792" s="169">
        <v>123500</v>
      </c>
    </row>
    <row r="793" spans="1:10" ht="15" customHeight="1">
      <c r="A793" s="3">
        <v>41289</v>
      </c>
      <c r="B793" s="132">
        <v>147060</v>
      </c>
      <c r="C793" s="137">
        <v>17190</v>
      </c>
      <c r="D793" s="136">
        <v>17225</v>
      </c>
      <c r="E793" s="134">
        <f t="shared" si="101"/>
        <v>-170</v>
      </c>
      <c r="F793" s="304"/>
      <c r="G793" s="262"/>
      <c r="H793" s="169">
        <v>123500</v>
      </c>
    </row>
    <row r="794" spans="1:10" ht="15" customHeight="1">
      <c r="A794" s="3">
        <v>41290</v>
      </c>
      <c r="B794" s="132">
        <v>147342</v>
      </c>
      <c r="C794" s="137">
        <v>17285</v>
      </c>
      <c r="D794" s="136">
        <v>17380</v>
      </c>
      <c r="E794" s="134">
        <f t="shared" si="101"/>
        <v>95</v>
      </c>
      <c r="H794" s="169">
        <v>123250</v>
      </c>
    </row>
    <row r="795" spans="1:10" ht="15" customHeight="1">
      <c r="A795" s="3">
        <v>41291</v>
      </c>
      <c r="B795" s="132">
        <v>147228</v>
      </c>
      <c r="C795" s="137">
        <v>17385</v>
      </c>
      <c r="D795" s="136">
        <v>17480</v>
      </c>
      <c r="E795" s="134">
        <f t="shared" si="101"/>
        <v>100</v>
      </c>
      <c r="H795" s="169">
        <v>123250</v>
      </c>
    </row>
    <row r="796" spans="1:10" ht="15" customHeight="1">
      <c r="A796" s="3">
        <v>41292</v>
      </c>
      <c r="B796" s="132">
        <v>147804</v>
      </c>
      <c r="C796" s="137">
        <v>17630</v>
      </c>
      <c r="D796" s="136">
        <v>17705</v>
      </c>
      <c r="E796" s="134">
        <f t="shared" si="101"/>
        <v>245</v>
      </c>
      <c r="H796" s="169">
        <v>123750</v>
      </c>
    </row>
    <row r="797" spans="1:10" ht="15" customHeight="1">
      <c r="A797" s="3">
        <v>41295</v>
      </c>
      <c r="B797" s="132">
        <v>148020</v>
      </c>
      <c r="C797" s="137">
        <v>17380</v>
      </c>
      <c r="D797" s="136">
        <v>17430</v>
      </c>
      <c r="E797" s="134">
        <f t="shared" si="101"/>
        <v>-250</v>
      </c>
      <c r="H797" s="169">
        <v>123500</v>
      </c>
    </row>
    <row r="798" spans="1:10" ht="15" customHeight="1">
      <c r="A798" s="3">
        <v>41296</v>
      </c>
      <c r="B798" s="132">
        <v>148128</v>
      </c>
      <c r="C798" s="137">
        <v>17375</v>
      </c>
      <c r="D798" s="136">
        <v>17410</v>
      </c>
      <c r="E798" s="134">
        <f t="shared" si="101"/>
        <v>-5</v>
      </c>
      <c r="H798" s="169">
        <v>123500</v>
      </c>
    </row>
    <row r="799" spans="1:10" ht="15" customHeight="1">
      <c r="A799" s="3">
        <v>41297</v>
      </c>
      <c r="B799" s="132">
        <v>149154</v>
      </c>
      <c r="C799" s="137">
        <v>17485</v>
      </c>
      <c r="D799" s="136">
        <v>17550</v>
      </c>
      <c r="E799" s="134">
        <f t="shared" si="101"/>
        <v>110</v>
      </c>
      <c r="H799" s="169">
        <v>123500</v>
      </c>
    </row>
    <row r="800" spans="1:10" ht="15" customHeight="1">
      <c r="A800" s="3">
        <v>41298</v>
      </c>
      <c r="B800" s="132">
        <v>149718</v>
      </c>
      <c r="C800" s="137">
        <v>17300</v>
      </c>
      <c r="D800" s="136">
        <v>17375</v>
      </c>
      <c r="E800" s="134">
        <f t="shared" si="101"/>
        <v>-185</v>
      </c>
      <c r="H800" s="169">
        <v>123500</v>
      </c>
    </row>
    <row r="801" spans="1:8" ht="15" customHeight="1">
      <c r="A801" s="3">
        <v>41299</v>
      </c>
      <c r="B801" s="132">
        <v>150216</v>
      </c>
      <c r="C801" s="137">
        <v>17265</v>
      </c>
      <c r="D801" s="136">
        <v>17305</v>
      </c>
      <c r="E801" s="134">
        <f t="shared" si="101"/>
        <v>-35</v>
      </c>
      <c r="H801" s="169">
        <v>123500</v>
      </c>
    </row>
    <row r="802" spans="1:8" ht="15" customHeight="1">
      <c r="A802" s="3">
        <v>41302</v>
      </c>
      <c r="B802" s="132">
        <v>149424</v>
      </c>
      <c r="C802" s="137">
        <v>17410</v>
      </c>
      <c r="D802" s="136">
        <v>17485</v>
      </c>
      <c r="E802" s="134">
        <f t="shared" si="101"/>
        <v>145</v>
      </c>
      <c r="H802" s="169">
        <v>123500</v>
      </c>
    </row>
    <row r="803" spans="1:8" ht="15" customHeight="1">
      <c r="A803" s="3">
        <v>41303</v>
      </c>
      <c r="B803" s="132">
        <v>149808</v>
      </c>
      <c r="C803" s="137">
        <v>17625</v>
      </c>
      <c r="D803" s="136">
        <v>17630</v>
      </c>
      <c r="E803" s="134">
        <f t="shared" si="101"/>
        <v>215</v>
      </c>
      <c r="H803" s="169">
        <v>124000</v>
      </c>
    </row>
    <row r="804" spans="1:8" ht="15" customHeight="1">
      <c r="A804" s="3">
        <v>41304</v>
      </c>
      <c r="B804" s="132">
        <v>150060</v>
      </c>
      <c r="C804" s="137">
        <v>18205</v>
      </c>
      <c r="D804" s="136">
        <v>18245</v>
      </c>
      <c r="E804" s="134">
        <f t="shared" si="101"/>
        <v>580</v>
      </c>
      <c r="H804" s="169">
        <v>125500</v>
      </c>
    </row>
    <row r="805" spans="1:8" ht="15" customHeight="1" thickBot="1">
      <c r="A805" s="12">
        <v>41305</v>
      </c>
      <c r="B805" s="142">
        <v>150012</v>
      </c>
      <c r="C805" s="143">
        <v>18375</v>
      </c>
      <c r="D805" s="144">
        <v>18465</v>
      </c>
      <c r="E805" s="233">
        <f t="shared" si="101"/>
        <v>170</v>
      </c>
      <c r="F805" s="260">
        <f>AVERAGE(C784:C805)</f>
        <v>17460.227272727272</v>
      </c>
      <c r="G805" s="261">
        <f>AVERAGE(C784:C805)</f>
        <v>17460.227272727272</v>
      </c>
      <c r="H805" s="170">
        <v>128000</v>
      </c>
    </row>
    <row r="806" spans="1:8" ht="15" customHeight="1">
      <c r="A806" s="36">
        <v>41306</v>
      </c>
      <c r="B806" s="132">
        <v>150900</v>
      </c>
      <c r="C806" s="137">
        <v>18380</v>
      </c>
      <c r="D806" s="136">
        <v>18450</v>
      </c>
      <c r="E806" s="155">
        <f t="shared" si="101"/>
        <v>5</v>
      </c>
      <c r="H806" s="168">
        <v>128250</v>
      </c>
    </row>
    <row r="807" spans="1:8" ht="15" customHeight="1">
      <c r="A807" s="3">
        <v>41309</v>
      </c>
      <c r="B807" s="132">
        <v>150906</v>
      </c>
      <c r="C807" s="137">
        <v>18600</v>
      </c>
      <c r="D807" s="136">
        <v>18665</v>
      </c>
      <c r="E807" s="161">
        <f t="shared" si="101"/>
        <v>220</v>
      </c>
      <c r="H807" s="169">
        <v>130500</v>
      </c>
    </row>
    <row r="808" spans="1:8" ht="15" customHeight="1">
      <c r="A808" s="3">
        <v>41310</v>
      </c>
      <c r="B808" s="132">
        <v>150834</v>
      </c>
      <c r="C808" s="137">
        <v>18565</v>
      </c>
      <c r="D808" s="136">
        <v>18650</v>
      </c>
      <c r="E808" s="161">
        <f t="shared" si="101"/>
        <v>-35</v>
      </c>
      <c r="H808" s="169">
        <v>130500</v>
      </c>
    </row>
    <row r="809" spans="1:8" ht="15" customHeight="1">
      <c r="A809" s="3">
        <v>41311</v>
      </c>
      <c r="B809" s="132">
        <v>150672</v>
      </c>
      <c r="C809" s="137">
        <v>18490</v>
      </c>
      <c r="D809" s="136">
        <v>18510</v>
      </c>
      <c r="E809" s="161">
        <f t="shared" si="101"/>
        <v>-75</v>
      </c>
      <c r="H809" s="169">
        <v>130500</v>
      </c>
    </row>
    <row r="810" spans="1:8" ht="15" customHeight="1">
      <c r="A810" s="3">
        <v>41312</v>
      </c>
      <c r="B810" s="132">
        <v>150996</v>
      </c>
      <c r="C810" s="137">
        <v>18220</v>
      </c>
      <c r="D810" s="136">
        <v>18300</v>
      </c>
      <c r="E810" s="161">
        <f t="shared" si="101"/>
        <v>-270</v>
      </c>
      <c r="H810" s="169">
        <v>129250</v>
      </c>
    </row>
    <row r="811" spans="1:8" ht="15" customHeight="1">
      <c r="A811" s="3">
        <v>41313</v>
      </c>
      <c r="B811" s="132">
        <v>152400</v>
      </c>
      <c r="C811" s="137">
        <v>18220</v>
      </c>
      <c r="D811" s="136">
        <v>18300</v>
      </c>
      <c r="E811" s="161">
        <f t="shared" si="101"/>
        <v>0</v>
      </c>
      <c r="H811" s="169">
        <v>128500</v>
      </c>
    </row>
    <row r="812" spans="1:8" ht="15" customHeight="1">
      <c r="A812" s="3">
        <v>41316</v>
      </c>
      <c r="B812" s="132">
        <v>153696</v>
      </c>
      <c r="C812" s="137">
        <v>18250</v>
      </c>
      <c r="D812" s="136">
        <v>18320</v>
      </c>
      <c r="E812" s="161">
        <f t="shared" si="101"/>
        <v>30</v>
      </c>
      <c r="H812" s="1068" t="s">
        <v>70</v>
      </c>
    </row>
    <row r="813" spans="1:8" ht="15" customHeight="1">
      <c r="A813" s="3">
        <v>41317</v>
      </c>
      <c r="B813" s="132">
        <v>154122</v>
      </c>
      <c r="C813" s="137">
        <v>18285</v>
      </c>
      <c r="D813" s="136">
        <v>18330</v>
      </c>
      <c r="E813" s="161">
        <f t="shared" si="101"/>
        <v>35</v>
      </c>
      <c r="H813" s="1068"/>
    </row>
    <row r="814" spans="1:8" ht="15" customHeight="1">
      <c r="A814" s="3">
        <v>41318</v>
      </c>
      <c r="B814" s="132">
        <v>153912</v>
      </c>
      <c r="C814" s="137">
        <v>18280</v>
      </c>
      <c r="D814" s="136">
        <v>18375</v>
      </c>
      <c r="E814" s="161">
        <f t="shared" si="101"/>
        <v>-5</v>
      </c>
      <c r="H814" s="1068"/>
    </row>
    <row r="815" spans="1:8" ht="15" customHeight="1">
      <c r="A815" s="3">
        <v>41319</v>
      </c>
      <c r="B815" s="132">
        <v>153720</v>
      </c>
      <c r="C815" s="137">
        <v>18290</v>
      </c>
      <c r="D815" s="136">
        <v>18355</v>
      </c>
      <c r="E815" s="161">
        <f t="shared" si="101"/>
        <v>10</v>
      </c>
      <c r="H815" s="1068"/>
    </row>
    <row r="816" spans="1:8" ht="15" customHeight="1">
      <c r="A816" s="3">
        <v>41320</v>
      </c>
      <c r="B816" s="132">
        <v>153480</v>
      </c>
      <c r="C816" s="137">
        <v>18250</v>
      </c>
      <c r="D816" s="136">
        <v>18325</v>
      </c>
      <c r="E816" s="161">
        <f t="shared" si="101"/>
        <v>-40</v>
      </c>
      <c r="H816" s="1068"/>
    </row>
    <row r="817" spans="1:10" ht="15" customHeight="1">
      <c r="A817" s="3">
        <v>41323</v>
      </c>
      <c r="B817" s="132">
        <v>153270</v>
      </c>
      <c r="C817" s="137">
        <v>17935</v>
      </c>
      <c r="D817" s="136">
        <v>18010</v>
      </c>
      <c r="E817" s="161">
        <f t="shared" si="101"/>
        <v>-315</v>
      </c>
      <c r="H817" s="359">
        <v>128000</v>
      </c>
    </row>
    <row r="818" spans="1:10" ht="15" customHeight="1">
      <c r="A818" s="3">
        <v>41324</v>
      </c>
      <c r="B818" s="132">
        <v>153384</v>
      </c>
      <c r="C818" s="137">
        <v>17585</v>
      </c>
      <c r="D818" s="136">
        <v>17680</v>
      </c>
      <c r="E818" s="161">
        <f t="shared" si="101"/>
        <v>-350</v>
      </c>
      <c r="H818" s="169">
        <v>126500</v>
      </c>
    </row>
    <row r="819" spans="1:10" ht="15" customHeight="1">
      <c r="A819" s="3">
        <v>41325</v>
      </c>
      <c r="B819" s="132">
        <v>153306</v>
      </c>
      <c r="C819" s="137">
        <v>17200</v>
      </c>
      <c r="D819" s="136">
        <v>17285</v>
      </c>
      <c r="E819" s="161">
        <f t="shared" si="101"/>
        <v>-385</v>
      </c>
      <c r="H819" s="169">
        <v>123500</v>
      </c>
    </row>
    <row r="820" spans="1:10" ht="15" customHeight="1">
      <c r="A820" s="3">
        <v>41326</v>
      </c>
      <c r="B820" s="132">
        <v>154398</v>
      </c>
      <c r="C820" s="137">
        <v>16775</v>
      </c>
      <c r="D820" s="136">
        <v>16845</v>
      </c>
      <c r="E820" s="161">
        <f t="shared" si="101"/>
        <v>-425</v>
      </c>
      <c r="H820" s="169">
        <v>118250</v>
      </c>
    </row>
    <row r="821" spans="1:10" ht="15" customHeight="1">
      <c r="A821" s="3">
        <v>41327</v>
      </c>
      <c r="B821" s="132">
        <v>154500</v>
      </c>
      <c r="C821" s="137">
        <v>16745</v>
      </c>
      <c r="D821" s="136">
        <v>16850</v>
      </c>
      <c r="E821" s="161">
        <f t="shared" si="101"/>
        <v>-30</v>
      </c>
      <c r="H821" s="169">
        <v>119250</v>
      </c>
    </row>
    <row r="822" spans="1:10" ht="15" customHeight="1">
      <c r="A822" s="3">
        <v>41330</v>
      </c>
      <c r="B822" s="132">
        <v>155568</v>
      </c>
      <c r="C822" s="137">
        <v>16710</v>
      </c>
      <c r="D822" s="136">
        <v>16805</v>
      </c>
      <c r="E822" s="161">
        <f t="shared" si="101"/>
        <v>-35</v>
      </c>
      <c r="H822" s="169">
        <v>120000</v>
      </c>
    </row>
    <row r="823" spans="1:10" ht="15" customHeight="1">
      <c r="A823" s="3">
        <v>41331</v>
      </c>
      <c r="B823" s="132">
        <v>156834</v>
      </c>
      <c r="C823" s="137">
        <v>16525</v>
      </c>
      <c r="D823" s="136">
        <v>16595</v>
      </c>
      <c r="E823" s="161">
        <f t="shared" si="101"/>
        <v>-185</v>
      </c>
      <c r="H823" s="169">
        <v>118000</v>
      </c>
    </row>
    <row r="824" spans="1:10" ht="15" customHeight="1">
      <c r="A824" s="3">
        <v>41332</v>
      </c>
      <c r="B824" s="132">
        <v>157806</v>
      </c>
      <c r="C824" s="137">
        <v>16710</v>
      </c>
      <c r="D824" s="136">
        <v>16760</v>
      </c>
      <c r="E824" s="161">
        <f t="shared" si="101"/>
        <v>185</v>
      </c>
      <c r="H824" s="169">
        <v>118500</v>
      </c>
    </row>
    <row r="825" spans="1:10" ht="15" customHeight="1" thickBot="1">
      <c r="A825" s="12">
        <v>41333</v>
      </c>
      <c r="B825" s="142">
        <v>157980</v>
      </c>
      <c r="C825" s="143">
        <v>16660</v>
      </c>
      <c r="D825" s="144">
        <v>16720</v>
      </c>
      <c r="E825" s="233">
        <f t="shared" si="101"/>
        <v>-50</v>
      </c>
      <c r="F825" s="260">
        <f>AVERAGE(C806:C825)</f>
        <v>17733.75</v>
      </c>
      <c r="G825" s="261">
        <f>AVERAGE(C784:C825)</f>
        <v>17590.476190476191</v>
      </c>
      <c r="H825" s="170">
        <v>118500</v>
      </c>
    </row>
    <row r="826" spans="1:10" ht="15" customHeight="1">
      <c r="A826" s="3">
        <v>41334</v>
      </c>
      <c r="B826" s="132">
        <v>159552</v>
      </c>
      <c r="C826" s="137">
        <v>16425</v>
      </c>
      <c r="D826" s="136">
        <v>16485</v>
      </c>
      <c r="E826" s="161">
        <f t="shared" si="101"/>
        <v>-235</v>
      </c>
      <c r="H826" s="169">
        <v>117500</v>
      </c>
      <c r="J826" s="134">
        <f>AVERAGE(D826:D845)</f>
        <v>16805.75</v>
      </c>
    </row>
    <row r="827" spans="1:10" ht="15" customHeight="1">
      <c r="A827" s="3">
        <v>41337</v>
      </c>
      <c r="B827" s="132">
        <v>160656</v>
      </c>
      <c r="C827" s="137">
        <v>16540</v>
      </c>
      <c r="D827" s="136">
        <v>16625</v>
      </c>
      <c r="E827" s="161">
        <f t="shared" si="101"/>
        <v>115</v>
      </c>
      <c r="H827" s="169">
        <v>117250</v>
      </c>
    </row>
    <row r="828" spans="1:10" ht="15" customHeight="1">
      <c r="A828" s="3">
        <v>41338</v>
      </c>
      <c r="B828" s="132">
        <v>160548</v>
      </c>
      <c r="C828" s="137">
        <v>16505</v>
      </c>
      <c r="D828" s="136">
        <v>16575</v>
      </c>
      <c r="E828" s="161">
        <f t="shared" si="101"/>
        <v>-35</v>
      </c>
      <c r="H828" s="169">
        <v>117500</v>
      </c>
    </row>
    <row r="829" spans="1:10" ht="15" customHeight="1">
      <c r="A829" s="3">
        <v>41339</v>
      </c>
      <c r="B829" s="132">
        <v>161022</v>
      </c>
      <c r="C829" s="137">
        <v>16575</v>
      </c>
      <c r="D829" s="136">
        <v>16630</v>
      </c>
      <c r="E829" s="161">
        <f t="shared" si="101"/>
        <v>70</v>
      </c>
      <c r="H829" s="169">
        <v>117500</v>
      </c>
    </row>
    <row r="830" spans="1:10" ht="15" customHeight="1">
      <c r="A830" s="3">
        <v>41340</v>
      </c>
      <c r="B830" s="132">
        <v>160962</v>
      </c>
      <c r="C830" s="137">
        <v>16515</v>
      </c>
      <c r="D830" s="136">
        <v>16580</v>
      </c>
      <c r="E830" s="161">
        <f t="shared" si="101"/>
        <v>-60</v>
      </c>
      <c r="H830" s="169">
        <v>117500</v>
      </c>
    </row>
    <row r="831" spans="1:10" ht="15" customHeight="1">
      <c r="A831" s="3">
        <v>41341</v>
      </c>
      <c r="B831" s="132">
        <v>160938</v>
      </c>
      <c r="C831" s="137">
        <v>16560</v>
      </c>
      <c r="D831" s="136">
        <v>16650</v>
      </c>
      <c r="E831" s="161">
        <f t="shared" si="101"/>
        <v>45</v>
      </c>
      <c r="H831" s="169">
        <v>117500</v>
      </c>
    </row>
    <row r="832" spans="1:10" ht="15" customHeight="1">
      <c r="A832" s="3">
        <v>41344</v>
      </c>
      <c r="B832" s="132">
        <v>161460</v>
      </c>
      <c r="C832" s="137">
        <v>16650</v>
      </c>
      <c r="D832" s="136">
        <v>16700</v>
      </c>
      <c r="E832" s="161">
        <f t="shared" si="101"/>
        <v>90</v>
      </c>
      <c r="H832" s="169">
        <v>117500</v>
      </c>
    </row>
    <row r="833" spans="1:8" ht="15" customHeight="1">
      <c r="A833" s="3">
        <v>41345</v>
      </c>
      <c r="B833" s="132">
        <v>161316</v>
      </c>
      <c r="C833" s="137">
        <v>16970</v>
      </c>
      <c r="D833" s="136">
        <v>17030</v>
      </c>
      <c r="E833" s="161">
        <f t="shared" si="101"/>
        <v>320</v>
      </c>
      <c r="H833" s="169">
        <v>118000</v>
      </c>
    </row>
    <row r="834" spans="1:8" ht="15" customHeight="1">
      <c r="A834" s="3">
        <v>41346</v>
      </c>
      <c r="B834" s="132">
        <v>161046</v>
      </c>
      <c r="C834" s="137">
        <v>17065</v>
      </c>
      <c r="D834" s="136">
        <v>17140</v>
      </c>
      <c r="E834" s="161">
        <f t="shared" si="101"/>
        <v>95</v>
      </c>
      <c r="H834" s="169">
        <v>118500</v>
      </c>
    </row>
    <row r="835" spans="1:8" ht="15" customHeight="1">
      <c r="A835" s="3">
        <v>41347</v>
      </c>
      <c r="B835" s="132">
        <v>161646</v>
      </c>
      <c r="C835" s="137">
        <v>16985</v>
      </c>
      <c r="D835" s="136">
        <v>17080</v>
      </c>
      <c r="E835" s="161">
        <f t="shared" si="101"/>
        <v>-80</v>
      </c>
      <c r="H835" s="169">
        <v>118500</v>
      </c>
    </row>
    <row r="836" spans="1:8" ht="15" customHeight="1">
      <c r="A836" s="3">
        <v>41348</v>
      </c>
      <c r="B836" s="132">
        <v>161544</v>
      </c>
      <c r="C836" s="137">
        <v>17105</v>
      </c>
      <c r="D836" s="136">
        <v>17195</v>
      </c>
      <c r="E836" s="161">
        <f t="shared" si="101"/>
        <v>120</v>
      </c>
      <c r="H836" s="169">
        <v>119500</v>
      </c>
    </row>
    <row r="837" spans="1:8" ht="15" customHeight="1">
      <c r="A837" s="3">
        <v>41351</v>
      </c>
      <c r="B837" s="132">
        <v>162306</v>
      </c>
      <c r="C837" s="137">
        <v>16555</v>
      </c>
      <c r="D837" s="136">
        <v>16625</v>
      </c>
      <c r="E837" s="161">
        <f t="shared" si="101"/>
        <v>-550</v>
      </c>
      <c r="H837" s="169">
        <v>117000</v>
      </c>
    </row>
    <row r="838" spans="1:8" ht="15" customHeight="1">
      <c r="A838" s="3">
        <v>41352</v>
      </c>
      <c r="B838" s="132">
        <v>162654</v>
      </c>
      <c r="C838" s="137">
        <v>16610</v>
      </c>
      <c r="D838" s="136">
        <v>16660</v>
      </c>
      <c r="E838" s="161">
        <f t="shared" si="101"/>
        <v>55</v>
      </c>
      <c r="H838" s="169">
        <v>116500</v>
      </c>
    </row>
    <row r="839" spans="1:8" ht="15" customHeight="1">
      <c r="A839" s="3">
        <v>41353</v>
      </c>
      <c r="B839" s="132">
        <v>162306</v>
      </c>
      <c r="C839" s="137">
        <v>16725</v>
      </c>
      <c r="D839" s="136">
        <v>16800</v>
      </c>
      <c r="E839" s="161">
        <f t="shared" si="101"/>
        <v>115</v>
      </c>
      <c r="H839" s="169">
        <v>116300</v>
      </c>
    </row>
    <row r="840" spans="1:8" ht="15" customHeight="1">
      <c r="A840" s="3">
        <v>41354</v>
      </c>
      <c r="B840" s="132">
        <v>162288</v>
      </c>
      <c r="C840" s="137">
        <v>16850</v>
      </c>
      <c r="D840" s="136">
        <v>16945</v>
      </c>
      <c r="E840" s="161">
        <f t="shared" si="101"/>
        <v>125</v>
      </c>
      <c r="H840" s="169">
        <v>118000</v>
      </c>
    </row>
    <row r="841" spans="1:8" ht="15" customHeight="1">
      <c r="A841" s="3">
        <v>41355</v>
      </c>
      <c r="B841" s="132">
        <v>162762</v>
      </c>
      <c r="C841" s="137">
        <v>16830</v>
      </c>
      <c r="D841" s="136">
        <v>16930</v>
      </c>
      <c r="E841" s="161">
        <f t="shared" si="101"/>
        <v>-20</v>
      </c>
      <c r="H841" s="169">
        <v>117800</v>
      </c>
    </row>
    <row r="842" spans="1:8" ht="15" customHeight="1">
      <c r="A842" s="3">
        <v>41358</v>
      </c>
      <c r="B842" s="132">
        <v>162024</v>
      </c>
      <c r="C842" s="137">
        <v>16930</v>
      </c>
      <c r="D842" s="136">
        <v>17010</v>
      </c>
      <c r="E842" s="161">
        <f t="shared" si="101"/>
        <v>100</v>
      </c>
      <c r="H842" s="169">
        <v>119000</v>
      </c>
    </row>
    <row r="843" spans="1:8" ht="15" customHeight="1">
      <c r="A843" s="3">
        <v>41359</v>
      </c>
      <c r="B843" s="132">
        <v>162498</v>
      </c>
      <c r="C843" s="137">
        <v>16950</v>
      </c>
      <c r="D843" s="136">
        <v>17030</v>
      </c>
      <c r="E843" s="161">
        <f t="shared" si="101"/>
        <v>20</v>
      </c>
      <c r="H843" s="169">
        <v>117800</v>
      </c>
    </row>
    <row r="844" spans="1:8" ht="15" customHeight="1">
      <c r="A844" s="3">
        <v>41360</v>
      </c>
      <c r="B844" s="132">
        <v>164652</v>
      </c>
      <c r="C844" s="137">
        <v>16670</v>
      </c>
      <c r="D844" s="136">
        <v>16725</v>
      </c>
      <c r="E844" s="161">
        <f t="shared" si="101"/>
        <v>-280</v>
      </c>
      <c r="H844" s="169">
        <v>117500</v>
      </c>
    </row>
    <row r="845" spans="1:8" ht="15" customHeight="1">
      <c r="A845" s="3">
        <v>41361</v>
      </c>
      <c r="B845" s="409">
        <v>165420</v>
      </c>
      <c r="C845" s="140">
        <v>16540</v>
      </c>
      <c r="D845" s="138">
        <v>16700</v>
      </c>
      <c r="E845" s="406">
        <f t="shared" si="101"/>
        <v>-130</v>
      </c>
      <c r="H845" s="169">
        <v>117300</v>
      </c>
    </row>
    <row r="846" spans="1:8" ht="15" customHeight="1" thickBot="1">
      <c r="A846" s="12">
        <v>41362</v>
      </c>
      <c r="B846" s="1065" t="s">
        <v>70</v>
      </c>
      <c r="C846" s="1065"/>
      <c r="D846" s="1065"/>
      <c r="E846" s="1065"/>
      <c r="F846" s="260">
        <f>AVERAGE(C826:C845)</f>
        <v>16727.75</v>
      </c>
      <c r="G846" s="261">
        <f>AVERAGE(C784:C845)</f>
        <v>17312.177419354837</v>
      </c>
      <c r="H846" s="170">
        <v>116500</v>
      </c>
    </row>
    <row r="847" spans="1:8" ht="15" customHeight="1">
      <c r="A847" s="3">
        <v>41365</v>
      </c>
      <c r="B847" s="1084" t="s">
        <v>70</v>
      </c>
      <c r="C847" s="1084"/>
      <c r="D847" s="1084"/>
      <c r="E847" s="1084"/>
      <c r="H847" s="169">
        <v>115300</v>
      </c>
    </row>
    <row r="848" spans="1:8" ht="15" customHeight="1">
      <c r="A848" s="3">
        <v>41366</v>
      </c>
      <c r="B848" s="132">
        <v>166716</v>
      </c>
      <c r="C848" s="137">
        <v>16390</v>
      </c>
      <c r="D848" s="136">
        <v>16450</v>
      </c>
      <c r="E848" s="161">
        <f>+C848-C845</f>
        <v>-150</v>
      </c>
      <c r="H848" s="169">
        <v>115000</v>
      </c>
    </row>
    <row r="849" spans="1:8" ht="15" customHeight="1">
      <c r="A849" s="3">
        <v>41367</v>
      </c>
      <c r="B849" s="132">
        <v>166038</v>
      </c>
      <c r="C849" s="137">
        <v>16190</v>
      </c>
      <c r="D849" s="136">
        <v>16255</v>
      </c>
      <c r="E849" s="161">
        <f t="shared" ref="E849:E871" si="102">+C849-C848</f>
        <v>-200</v>
      </c>
      <c r="H849" s="169">
        <v>113700</v>
      </c>
    </row>
    <row r="850" spans="1:8" ht="15" customHeight="1">
      <c r="A850" s="3">
        <v>41368</v>
      </c>
      <c r="B850" s="132">
        <v>165942</v>
      </c>
      <c r="C850" s="137">
        <v>16040</v>
      </c>
      <c r="D850" s="136">
        <v>16105</v>
      </c>
      <c r="E850" s="161">
        <f t="shared" si="102"/>
        <v>-150</v>
      </c>
      <c r="H850" s="1068" t="s">
        <v>70</v>
      </c>
    </row>
    <row r="851" spans="1:8" ht="15" customHeight="1">
      <c r="A851" s="3">
        <v>41369</v>
      </c>
      <c r="B851" s="132">
        <v>166284</v>
      </c>
      <c r="C851" s="137">
        <v>15930</v>
      </c>
      <c r="D851" s="136">
        <v>16005</v>
      </c>
      <c r="E851" s="161">
        <f t="shared" si="102"/>
        <v>-110</v>
      </c>
      <c r="H851" s="1068"/>
    </row>
    <row r="852" spans="1:8" ht="15" customHeight="1">
      <c r="A852" s="3">
        <v>41372</v>
      </c>
      <c r="B852" s="132">
        <v>166866</v>
      </c>
      <c r="C852" s="137">
        <v>16135</v>
      </c>
      <c r="D852" s="136">
        <v>16185</v>
      </c>
      <c r="E852" s="161">
        <f t="shared" si="102"/>
        <v>205</v>
      </c>
      <c r="H852" s="359">
        <v>112500</v>
      </c>
    </row>
    <row r="853" spans="1:8" ht="15" customHeight="1">
      <c r="A853" s="3">
        <v>41373</v>
      </c>
      <c r="B853" s="132">
        <v>166788</v>
      </c>
      <c r="C853" s="137">
        <v>16070</v>
      </c>
      <c r="D853" s="136">
        <v>16120</v>
      </c>
      <c r="E853" s="161">
        <f t="shared" si="102"/>
        <v>-65</v>
      </c>
      <c r="H853" s="359">
        <v>114000</v>
      </c>
    </row>
    <row r="854" spans="1:8" ht="15" customHeight="1">
      <c r="A854" s="3">
        <v>41374</v>
      </c>
      <c r="B854" s="132">
        <v>167700</v>
      </c>
      <c r="C854" s="137">
        <v>16150</v>
      </c>
      <c r="D854" s="136">
        <v>16205</v>
      </c>
      <c r="E854" s="161">
        <f t="shared" si="102"/>
        <v>80</v>
      </c>
      <c r="H854" s="359">
        <v>114000</v>
      </c>
    </row>
    <row r="855" spans="1:8" ht="15" customHeight="1">
      <c r="A855" s="3">
        <v>41375</v>
      </c>
      <c r="B855" s="132">
        <v>168378</v>
      </c>
      <c r="C855" s="137">
        <v>15955</v>
      </c>
      <c r="D855" s="136">
        <v>16055</v>
      </c>
      <c r="E855" s="161">
        <f t="shared" si="102"/>
        <v>-195</v>
      </c>
      <c r="H855" s="169">
        <v>113600</v>
      </c>
    </row>
    <row r="856" spans="1:8" ht="15" customHeight="1">
      <c r="A856" s="3">
        <v>41376</v>
      </c>
      <c r="B856" s="132">
        <v>169386</v>
      </c>
      <c r="C856" s="137">
        <v>15950</v>
      </c>
      <c r="D856" s="136">
        <v>16020</v>
      </c>
      <c r="E856" s="161">
        <f t="shared" si="102"/>
        <v>-5</v>
      </c>
      <c r="H856" s="169">
        <v>113500</v>
      </c>
    </row>
    <row r="857" spans="1:8" ht="15" customHeight="1">
      <c r="A857" s="3">
        <v>41379</v>
      </c>
      <c r="B857" s="132">
        <v>168762</v>
      </c>
      <c r="C857" s="137">
        <v>15455</v>
      </c>
      <c r="D857" s="136">
        <v>15550</v>
      </c>
      <c r="E857" s="161">
        <f t="shared" si="102"/>
        <v>-495</v>
      </c>
      <c r="H857" s="169">
        <v>109500</v>
      </c>
    </row>
    <row r="858" spans="1:8" ht="15" customHeight="1">
      <c r="A858" s="3">
        <v>41380</v>
      </c>
      <c r="B858" s="132">
        <v>168594</v>
      </c>
      <c r="C858" s="137">
        <v>15730</v>
      </c>
      <c r="D858" s="136">
        <v>15800</v>
      </c>
      <c r="E858" s="161">
        <f t="shared" si="102"/>
        <v>275</v>
      </c>
      <c r="H858" s="169">
        <v>107800</v>
      </c>
    </row>
    <row r="859" spans="1:8" ht="15" customHeight="1">
      <c r="A859" s="3">
        <v>41381</v>
      </c>
      <c r="B859" s="132">
        <v>168546</v>
      </c>
      <c r="C859" s="137">
        <v>15350</v>
      </c>
      <c r="D859" s="136">
        <v>15405</v>
      </c>
      <c r="E859" s="161">
        <f t="shared" si="102"/>
        <v>-380</v>
      </c>
      <c r="H859" s="169">
        <v>109000</v>
      </c>
    </row>
    <row r="860" spans="1:8" ht="15" customHeight="1">
      <c r="A860" s="3">
        <v>41382</v>
      </c>
      <c r="B860" s="132">
        <v>168426</v>
      </c>
      <c r="C860" s="137">
        <v>15390</v>
      </c>
      <c r="D860" s="136">
        <v>15420</v>
      </c>
      <c r="E860" s="161">
        <f t="shared" si="102"/>
        <v>40</v>
      </c>
      <c r="H860" s="169">
        <v>106000</v>
      </c>
    </row>
    <row r="861" spans="1:8" ht="15" customHeight="1">
      <c r="A861" s="3">
        <v>41383</v>
      </c>
      <c r="B861" s="132">
        <v>172296</v>
      </c>
      <c r="C861" s="137">
        <v>15230</v>
      </c>
      <c r="D861" s="136">
        <v>15310</v>
      </c>
      <c r="E861" s="161">
        <f t="shared" si="102"/>
        <v>-160</v>
      </c>
      <c r="H861" s="169">
        <v>106850</v>
      </c>
    </row>
    <row r="862" spans="1:8" ht="15" customHeight="1">
      <c r="A862" s="3">
        <v>41386</v>
      </c>
      <c r="B862" s="132">
        <v>173976</v>
      </c>
      <c r="C862" s="137">
        <v>15180</v>
      </c>
      <c r="D862" s="136">
        <v>15230</v>
      </c>
      <c r="E862" s="161">
        <f t="shared" si="102"/>
        <v>-50</v>
      </c>
      <c r="H862" s="169">
        <v>106000</v>
      </c>
    </row>
    <row r="863" spans="1:8" ht="15" customHeight="1">
      <c r="A863" s="3">
        <v>41387</v>
      </c>
      <c r="B863" s="132">
        <v>174546</v>
      </c>
      <c r="C863" s="137">
        <v>15085</v>
      </c>
      <c r="D863" s="136">
        <v>15155</v>
      </c>
      <c r="E863" s="161">
        <f t="shared" si="102"/>
        <v>-95</v>
      </c>
      <c r="H863" s="169">
        <v>105700</v>
      </c>
    </row>
    <row r="864" spans="1:8" ht="15" customHeight="1">
      <c r="A864" s="3">
        <v>41388</v>
      </c>
      <c r="B864" s="132">
        <v>175860</v>
      </c>
      <c r="C864" s="137">
        <v>15205</v>
      </c>
      <c r="D864" s="136">
        <v>15255</v>
      </c>
      <c r="E864" s="161">
        <f t="shared" si="102"/>
        <v>120</v>
      </c>
      <c r="H864" s="169">
        <v>106200</v>
      </c>
    </row>
    <row r="865" spans="1:8" ht="15" customHeight="1">
      <c r="A865" s="3">
        <v>41389</v>
      </c>
      <c r="B865" s="132">
        <v>175764</v>
      </c>
      <c r="C865" s="137">
        <v>15135</v>
      </c>
      <c r="D865" s="136">
        <v>15230</v>
      </c>
      <c r="E865" s="161">
        <f t="shared" si="102"/>
        <v>-70</v>
      </c>
      <c r="H865" s="169">
        <v>107250</v>
      </c>
    </row>
    <row r="866" spans="1:8" ht="15" customHeight="1">
      <c r="A866" s="3">
        <v>41390</v>
      </c>
      <c r="B866" s="132">
        <v>175566</v>
      </c>
      <c r="C866" s="137">
        <v>15280</v>
      </c>
      <c r="D866" s="136">
        <v>15350</v>
      </c>
      <c r="E866" s="161">
        <f t="shared" si="102"/>
        <v>145</v>
      </c>
      <c r="H866" s="169">
        <v>108900</v>
      </c>
    </row>
    <row r="867" spans="1:8" ht="15" customHeight="1">
      <c r="A867" s="3">
        <v>41393</v>
      </c>
      <c r="B867" s="132">
        <v>175836</v>
      </c>
      <c r="C867" s="137">
        <v>15285</v>
      </c>
      <c r="D867" s="136">
        <v>15380</v>
      </c>
      <c r="E867" s="161">
        <f t="shared" si="102"/>
        <v>5</v>
      </c>
      <c r="H867" s="1068" t="s">
        <v>141</v>
      </c>
    </row>
    <row r="868" spans="1:8" ht="15" customHeight="1" thickBot="1">
      <c r="A868" s="12">
        <v>41394</v>
      </c>
      <c r="B868" s="142">
        <v>177036</v>
      </c>
      <c r="C868" s="143">
        <v>15200</v>
      </c>
      <c r="D868" s="144">
        <v>15255</v>
      </c>
      <c r="E868" s="233">
        <f t="shared" si="102"/>
        <v>-85</v>
      </c>
      <c r="F868" s="260">
        <f>AVERAGE(C848:C868)</f>
        <v>15635</v>
      </c>
      <c r="G868" s="261">
        <f>AVERAGE(C784:C868)</f>
        <v>16887.831325301206</v>
      </c>
      <c r="H868" s="1087"/>
    </row>
    <row r="869" spans="1:8" ht="15" customHeight="1">
      <c r="A869" s="3">
        <v>41395</v>
      </c>
      <c r="B869" s="132">
        <v>178476</v>
      </c>
      <c r="C869" s="137">
        <v>14975</v>
      </c>
      <c r="D869" s="136">
        <v>15055</v>
      </c>
      <c r="E869" s="161">
        <f t="shared" si="102"/>
        <v>-225</v>
      </c>
      <c r="H869" s="169" t="s">
        <v>70</v>
      </c>
    </row>
    <row r="870" spans="1:8" ht="15" customHeight="1">
      <c r="A870" s="3">
        <v>41396</v>
      </c>
      <c r="B870" s="132">
        <v>178476</v>
      </c>
      <c r="C870" s="137">
        <v>14770</v>
      </c>
      <c r="D870" s="136">
        <v>14850</v>
      </c>
      <c r="E870" s="161">
        <f t="shared" si="102"/>
        <v>-205</v>
      </c>
      <c r="H870" s="169">
        <v>104000</v>
      </c>
    </row>
    <row r="871" spans="1:8" ht="15" customHeight="1">
      <c r="A871" s="3">
        <v>41397</v>
      </c>
      <c r="B871" s="132">
        <v>178338</v>
      </c>
      <c r="C871" s="137">
        <v>14910</v>
      </c>
      <c r="D871" s="136">
        <v>14910</v>
      </c>
      <c r="E871" s="161">
        <f t="shared" si="102"/>
        <v>140</v>
      </c>
      <c r="F871" s="262"/>
      <c r="G871" s="262"/>
      <c r="H871" s="169">
        <v>104300</v>
      </c>
    </row>
    <row r="872" spans="1:8" ht="15" customHeight="1">
      <c r="A872" s="3">
        <v>41400</v>
      </c>
      <c r="B872" s="1085" t="s">
        <v>70</v>
      </c>
      <c r="C872" s="1085"/>
      <c r="D872" s="1085"/>
      <c r="E872" s="1085"/>
      <c r="F872" s="262"/>
      <c r="G872" s="262"/>
      <c r="H872" s="169">
        <v>106500</v>
      </c>
    </row>
    <row r="873" spans="1:8" ht="15" customHeight="1">
      <c r="A873" s="3">
        <v>41401</v>
      </c>
      <c r="B873" s="132">
        <v>178206</v>
      </c>
      <c r="C873" s="137">
        <v>14965</v>
      </c>
      <c r="D873" s="136">
        <v>15045</v>
      </c>
      <c r="E873" s="134">
        <f>C873-C871</f>
        <v>55</v>
      </c>
      <c r="H873" s="169">
        <v>106500</v>
      </c>
    </row>
    <row r="874" spans="1:8" ht="15" customHeight="1">
      <c r="A874" s="3">
        <v>41402</v>
      </c>
      <c r="B874" s="132">
        <v>178482</v>
      </c>
      <c r="C874" s="137">
        <v>15440</v>
      </c>
      <c r="D874" s="136">
        <v>15495</v>
      </c>
      <c r="E874" s="134">
        <f t="shared" ref="E874:E886" si="103">C874-C873</f>
        <v>475</v>
      </c>
      <c r="H874" s="169">
        <v>106300</v>
      </c>
    </row>
    <row r="875" spans="1:8" ht="15" customHeight="1">
      <c r="A875" s="3">
        <v>41403</v>
      </c>
      <c r="B875" s="132">
        <v>178398</v>
      </c>
      <c r="C875" s="137">
        <v>15335</v>
      </c>
      <c r="D875" s="136">
        <v>15420</v>
      </c>
      <c r="E875" s="134">
        <f t="shared" si="103"/>
        <v>-105</v>
      </c>
      <c r="H875" s="169">
        <v>107000</v>
      </c>
    </row>
    <row r="876" spans="1:8" ht="15" customHeight="1">
      <c r="A876" s="3">
        <v>41404</v>
      </c>
      <c r="B876" s="132">
        <v>178194</v>
      </c>
      <c r="C876" s="137">
        <v>15325</v>
      </c>
      <c r="D876" s="136">
        <v>15375</v>
      </c>
      <c r="E876" s="134">
        <f t="shared" si="103"/>
        <v>-10</v>
      </c>
      <c r="H876" s="169">
        <v>106800</v>
      </c>
    </row>
    <row r="877" spans="1:8" ht="15" customHeight="1">
      <c r="A877" s="3">
        <v>41407</v>
      </c>
      <c r="B877" s="132">
        <v>177840</v>
      </c>
      <c r="C877" s="137">
        <v>15235</v>
      </c>
      <c r="D877" s="136">
        <v>15340</v>
      </c>
      <c r="E877" s="134">
        <f t="shared" si="103"/>
        <v>-90</v>
      </c>
      <c r="H877" s="169">
        <v>107200</v>
      </c>
    </row>
    <row r="878" spans="1:8" ht="15" customHeight="1">
      <c r="A878" s="3">
        <v>41408</v>
      </c>
      <c r="B878" s="132">
        <v>178434</v>
      </c>
      <c r="C878" s="137">
        <v>15105</v>
      </c>
      <c r="D878" s="136">
        <v>15185</v>
      </c>
      <c r="E878" s="134">
        <f t="shared" si="103"/>
        <v>-130</v>
      </c>
      <c r="H878" s="169">
        <v>107500</v>
      </c>
    </row>
    <row r="879" spans="1:8" ht="15" customHeight="1">
      <c r="A879" s="3">
        <v>41409</v>
      </c>
      <c r="B879" s="132">
        <v>179556</v>
      </c>
      <c r="C879" s="137">
        <v>14830</v>
      </c>
      <c r="D879" s="136">
        <v>14905</v>
      </c>
      <c r="E879" s="134">
        <f t="shared" si="103"/>
        <v>-275</v>
      </c>
      <c r="H879" s="169">
        <v>106400</v>
      </c>
    </row>
    <row r="880" spans="1:8" ht="15" customHeight="1">
      <c r="A880" s="3">
        <v>41410</v>
      </c>
      <c r="B880" s="132">
        <v>178776</v>
      </c>
      <c r="C880" s="137">
        <v>14770</v>
      </c>
      <c r="D880" s="136">
        <v>14900</v>
      </c>
      <c r="E880" s="134">
        <f t="shared" si="103"/>
        <v>-60</v>
      </c>
      <c r="H880" s="169">
        <f>(104200+105500)/2</f>
        <v>104850</v>
      </c>
    </row>
    <row r="881" spans="1:8" ht="15" customHeight="1">
      <c r="A881" s="3">
        <v>41411</v>
      </c>
      <c r="B881" s="132">
        <v>177948</v>
      </c>
      <c r="C881" s="137">
        <v>14855</v>
      </c>
      <c r="D881" s="136">
        <v>14905</v>
      </c>
      <c r="E881" s="134">
        <f t="shared" si="103"/>
        <v>85</v>
      </c>
      <c r="H881" s="169">
        <v>105100</v>
      </c>
    </row>
    <row r="882" spans="1:8" ht="15" customHeight="1">
      <c r="A882" s="3">
        <v>41414</v>
      </c>
      <c r="B882" s="132">
        <v>178758</v>
      </c>
      <c r="C882" s="137">
        <v>14850</v>
      </c>
      <c r="D882" s="136">
        <v>14915</v>
      </c>
      <c r="E882" s="134">
        <f t="shared" si="103"/>
        <v>-5</v>
      </c>
      <c r="H882" s="169">
        <v>104450</v>
      </c>
    </row>
    <row r="883" spans="1:8" ht="15" customHeight="1">
      <c r="A883" s="3">
        <v>41415</v>
      </c>
      <c r="B883" s="132">
        <v>178758</v>
      </c>
      <c r="C883" s="137">
        <v>15035</v>
      </c>
      <c r="D883" s="136">
        <v>15105</v>
      </c>
      <c r="E883" s="134">
        <f t="shared" si="103"/>
        <v>185</v>
      </c>
      <c r="H883" s="169">
        <v>105650</v>
      </c>
    </row>
    <row r="884" spans="1:8" ht="15" customHeight="1">
      <c r="A884" s="3">
        <v>41416</v>
      </c>
      <c r="B884" s="132">
        <v>179598</v>
      </c>
      <c r="C884" s="137">
        <v>15165</v>
      </c>
      <c r="D884" s="136">
        <v>15250</v>
      </c>
      <c r="E884" s="134">
        <f t="shared" si="103"/>
        <v>130</v>
      </c>
      <c r="H884" s="169">
        <v>105500</v>
      </c>
    </row>
    <row r="885" spans="1:8" ht="15" customHeight="1">
      <c r="A885" s="3">
        <v>41417</v>
      </c>
      <c r="B885" s="132">
        <v>180024</v>
      </c>
      <c r="C885" s="137">
        <v>14755</v>
      </c>
      <c r="D885" s="136">
        <v>14855</v>
      </c>
      <c r="E885" s="134">
        <f t="shared" si="103"/>
        <v>-410</v>
      </c>
      <c r="H885" s="169">
        <v>105200</v>
      </c>
    </row>
    <row r="886" spans="1:8" ht="15" customHeight="1">
      <c r="A886" s="3">
        <v>41418</v>
      </c>
      <c r="B886" s="132">
        <v>179616</v>
      </c>
      <c r="C886" s="137">
        <v>14755</v>
      </c>
      <c r="D886" s="136">
        <v>14845</v>
      </c>
      <c r="E886" s="134">
        <f t="shared" si="103"/>
        <v>0</v>
      </c>
      <c r="H886" s="169">
        <v>105050</v>
      </c>
    </row>
    <row r="887" spans="1:8" ht="15" customHeight="1">
      <c r="A887" s="3">
        <v>41421</v>
      </c>
      <c r="B887" s="1085" t="s">
        <v>70</v>
      </c>
      <c r="C887" s="1085"/>
      <c r="D887" s="1085"/>
      <c r="E887" s="1085"/>
      <c r="H887" s="169">
        <v>104800</v>
      </c>
    </row>
    <row r="888" spans="1:8" ht="15" customHeight="1">
      <c r="A888" s="3">
        <v>41422</v>
      </c>
      <c r="B888" s="132">
        <v>179370</v>
      </c>
      <c r="C888" s="137">
        <v>14830</v>
      </c>
      <c r="D888" s="136">
        <v>14860</v>
      </c>
      <c r="E888" s="134">
        <f>C888-C886</f>
        <v>75</v>
      </c>
      <c r="H888" s="169">
        <v>104500</v>
      </c>
    </row>
    <row r="889" spans="1:8" ht="15" customHeight="1">
      <c r="A889" s="3">
        <v>41423</v>
      </c>
      <c r="B889" s="132">
        <v>179832</v>
      </c>
      <c r="C889" s="137">
        <v>14780</v>
      </c>
      <c r="D889" s="136">
        <v>14870</v>
      </c>
      <c r="E889" s="134">
        <f t="shared" ref="E889:E895" si="104">C889-C888</f>
        <v>-50</v>
      </c>
      <c r="H889" s="169">
        <v>104800</v>
      </c>
    </row>
    <row r="890" spans="1:8" ht="15" customHeight="1">
      <c r="A890" s="3">
        <v>41424</v>
      </c>
      <c r="B890" s="132">
        <v>180492</v>
      </c>
      <c r="C890" s="137">
        <v>14650</v>
      </c>
      <c r="D890" s="136">
        <v>14800</v>
      </c>
      <c r="E890" s="134">
        <f t="shared" si="104"/>
        <v>-130</v>
      </c>
      <c r="H890" s="169">
        <v>104350</v>
      </c>
    </row>
    <row r="891" spans="1:8" ht="15" customHeight="1" thickBot="1">
      <c r="A891" s="12">
        <v>41425</v>
      </c>
      <c r="B891" s="142">
        <v>179796</v>
      </c>
      <c r="C891" s="143">
        <v>14635</v>
      </c>
      <c r="D891" s="144">
        <v>14710</v>
      </c>
      <c r="E891" s="233">
        <f t="shared" si="104"/>
        <v>-15</v>
      </c>
      <c r="F891" s="260">
        <f>AVERAGE(C869:C891)</f>
        <v>14950.952380952382</v>
      </c>
      <c r="G891" s="261">
        <f>AVERAGE(C784:C892)</f>
        <v>16482.761904761905</v>
      </c>
      <c r="H891" s="170">
        <v>104500</v>
      </c>
    </row>
    <row r="892" spans="1:8" ht="15" customHeight="1">
      <c r="A892" s="3">
        <v>41428</v>
      </c>
      <c r="B892" s="132">
        <v>180072</v>
      </c>
      <c r="C892" s="137">
        <v>15030</v>
      </c>
      <c r="D892" s="136">
        <v>15130</v>
      </c>
      <c r="E892" s="134">
        <f t="shared" si="104"/>
        <v>395</v>
      </c>
      <c r="H892" s="168">
        <v>104750</v>
      </c>
    </row>
    <row r="893" spans="1:8" ht="15" customHeight="1">
      <c r="A893" s="3">
        <v>41429</v>
      </c>
      <c r="B893" s="132">
        <v>180432</v>
      </c>
      <c r="C893" s="137">
        <v>15140</v>
      </c>
      <c r="D893" s="136">
        <v>15205</v>
      </c>
      <c r="E893" s="134">
        <f t="shared" si="104"/>
        <v>110</v>
      </c>
      <c r="H893" s="169">
        <v>106000</v>
      </c>
    </row>
    <row r="894" spans="1:8" ht="15" customHeight="1">
      <c r="A894" s="3">
        <v>41430</v>
      </c>
      <c r="B894" s="132">
        <v>179898</v>
      </c>
      <c r="C894" s="137">
        <v>15255</v>
      </c>
      <c r="D894" s="136">
        <v>15340</v>
      </c>
      <c r="E894" s="134">
        <f t="shared" si="104"/>
        <v>115</v>
      </c>
      <c r="H894" s="169">
        <v>106500</v>
      </c>
    </row>
    <row r="895" spans="1:8" ht="15" customHeight="1">
      <c r="A895" s="3">
        <v>41431</v>
      </c>
      <c r="B895" s="132">
        <v>179808</v>
      </c>
      <c r="C895" s="137">
        <v>14920</v>
      </c>
      <c r="D895" s="136">
        <v>15075</v>
      </c>
      <c r="E895" s="134">
        <f t="shared" si="104"/>
        <v>-335</v>
      </c>
      <c r="F895" s="262"/>
      <c r="G895" s="262"/>
      <c r="H895" s="169">
        <v>106500</v>
      </c>
    </row>
    <row r="896" spans="1:8" ht="15" customHeight="1">
      <c r="A896" s="3">
        <v>41432</v>
      </c>
      <c r="B896" s="132">
        <v>182274</v>
      </c>
      <c r="C896" s="137">
        <v>15050</v>
      </c>
      <c r="D896" s="136">
        <v>15110</v>
      </c>
      <c r="E896" s="134">
        <f t="shared" ref="E896:E951" si="105">C896-C895</f>
        <v>130</v>
      </c>
      <c r="H896" s="169">
        <v>106000</v>
      </c>
    </row>
    <row r="897" spans="1:8" ht="15" customHeight="1">
      <c r="A897" s="3">
        <v>41435</v>
      </c>
      <c r="B897" s="132">
        <v>182436</v>
      </c>
      <c r="C897" s="137">
        <v>14855</v>
      </c>
      <c r="D897" s="136">
        <v>14950</v>
      </c>
      <c r="E897" s="134">
        <f t="shared" si="105"/>
        <v>-195</v>
      </c>
      <c r="H897" s="1086" t="s">
        <v>70</v>
      </c>
    </row>
    <row r="898" spans="1:8" ht="15" customHeight="1">
      <c r="A898" s="3">
        <v>41436</v>
      </c>
      <c r="B898" s="132">
        <v>182814</v>
      </c>
      <c r="C898" s="137">
        <v>14495</v>
      </c>
      <c r="D898" s="136">
        <v>14560</v>
      </c>
      <c r="E898" s="134">
        <f t="shared" si="105"/>
        <v>-360</v>
      </c>
      <c r="H898" s="1086"/>
    </row>
    <row r="899" spans="1:8" ht="15" customHeight="1">
      <c r="A899" s="3">
        <v>41437</v>
      </c>
      <c r="B899" s="132">
        <v>183720</v>
      </c>
      <c r="C899" s="137">
        <v>14385</v>
      </c>
      <c r="D899" s="136">
        <v>14445</v>
      </c>
      <c r="E899" s="134">
        <f t="shared" si="105"/>
        <v>-110</v>
      </c>
      <c r="H899" s="1086"/>
    </row>
    <row r="900" spans="1:8" ht="15" customHeight="1">
      <c r="A900" s="3">
        <v>41438</v>
      </c>
      <c r="B900" s="132">
        <v>183672</v>
      </c>
      <c r="C900" s="137">
        <v>14030</v>
      </c>
      <c r="D900" s="136">
        <v>14115</v>
      </c>
      <c r="E900" s="134">
        <f t="shared" si="105"/>
        <v>-355</v>
      </c>
      <c r="H900" s="135">
        <v>102000</v>
      </c>
    </row>
    <row r="901" spans="1:8" ht="15" customHeight="1">
      <c r="A901" s="3">
        <v>41439</v>
      </c>
      <c r="B901" s="132">
        <v>183708</v>
      </c>
      <c r="C901" s="137">
        <v>14230</v>
      </c>
      <c r="D901" s="136">
        <v>14345</v>
      </c>
      <c r="E901" s="134">
        <f t="shared" si="105"/>
        <v>200</v>
      </c>
      <c r="H901" s="135">
        <v>101000</v>
      </c>
    </row>
    <row r="902" spans="1:8" ht="15" customHeight="1">
      <c r="A902" s="3">
        <v>41442</v>
      </c>
      <c r="B902" s="132">
        <v>183624</v>
      </c>
      <c r="C902" s="137">
        <v>14085</v>
      </c>
      <c r="D902" s="136">
        <v>14180</v>
      </c>
      <c r="E902" s="134">
        <f t="shared" si="105"/>
        <v>-145</v>
      </c>
      <c r="H902" s="135">
        <v>102000</v>
      </c>
    </row>
    <row r="903" spans="1:8" ht="15" customHeight="1">
      <c r="A903" s="3">
        <v>41443</v>
      </c>
      <c r="B903" s="132">
        <v>185748</v>
      </c>
      <c r="C903" s="137">
        <v>14025</v>
      </c>
      <c r="D903" s="136">
        <v>14055</v>
      </c>
      <c r="E903" s="134">
        <f t="shared" si="105"/>
        <v>-60</v>
      </c>
      <c r="H903" s="135">
        <v>100500</v>
      </c>
    </row>
    <row r="904" spans="1:8" ht="15" customHeight="1">
      <c r="A904" s="3">
        <v>41444</v>
      </c>
      <c r="B904" s="132">
        <v>185688</v>
      </c>
      <c r="C904" s="137">
        <v>14010</v>
      </c>
      <c r="D904" s="136">
        <v>14105</v>
      </c>
      <c r="E904" s="134">
        <f t="shared" si="105"/>
        <v>-15</v>
      </c>
      <c r="F904" s="262"/>
      <c r="G904" s="262"/>
      <c r="H904" s="135">
        <v>99800</v>
      </c>
    </row>
    <row r="905" spans="1:8" ht="15" customHeight="1">
      <c r="A905" s="3">
        <v>41445</v>
      </c>
      <c r="B905" s="132">
        <v>185514</v>
      </c>
      <c r="C905" s="137">
        <v>13745</v>
      </c>
      <c r="D905" s="136">
        <v>13815</v>
      </c>
      <c r="E905" s="134">
        <f t="shared" si="105"/>
        <v>-265</v>
      </c>
      <c r="H905" s="135">
        <v>98800</v>
      </c>
    </row>
    <row r="906" spans="1:8" ht="15" customHeight="1">
      <c r="A906" s="3">
        <v>41446</v>
      </c>
      <c r="B906" s="132">
        <v>185412</v>
      </c>
      <c r="C906" s="137">
        <v>13780</v>
      </c>
      <c r="D906" s="136">
        <v>13835</v>
      </c>
      <c r="E906" s="134">
        <f t="shared" si="105"/>
        <v>35</v>
      </c>
      <c r="H906" s="135">
        <v>96500</v>
      </c>
    </row>
    <row r="907" spans="1:8" ht="15" customHeight="1">
      <c r="A907" s="3">
        <v>41449</v>
      </c>
      <c r="B907" s="132">
        <v>186198</v>
      </c>
      <c r="C907" s="137">
        <v>13650</v>
      </c>
      <c r="D907" s="136">
        <v>13730</v>
      </c>
      <c r="E907" s="134">
        <f t="shared" si="105"/>
        <v>-130</v>
      </c>
      <c r="H907" s="135">
        <v>97600</v>
      </c>
    </row>
    <row r="908" spans="1:8" ht="15" customHeight="1">
      <c r="A908" s="3">
        <v>41450</v>
      </c>
      <c r="B908" s="132">
        <v>186084</v>
      </c>
      <c r="C908" s="137">
        <v>13865</v>
      </c>
      <c r="D908" s="136">
        <v>13930</v>
      </c>
      <c r="E908" s="134">
        <f t="shared" si="105"/>
        <v>215</v>
      </c>
      <c r="H908" s="135">
        <v>96300</v>
      </c>
    </row>
    <row r="909" spans="1:8" ht="15" customHeight="1">
      <c r="A909" s="3">
        <v>41451</v>
      </c>
      <c r="B909" s="132">
        <v>187956</v>
      </c>
      <c r="C909" s="137">
        <v>13560</v>
      </c>
      <c r="D909" s="136">
        <v>13615</v>
      </c>
      <c r="E909" s="134">
        <f t="shared" si="105"/>
        <v>-305</v>
      </c>
      <c r="H909" s="135">
        <v>97050</v>
      </c>
    </row>
    <row r="910" spans="1:8" ht="15" customHeight="1">
      <c r="A910" s="3">
        <v>41452</v>
      </c>
      <c r="B910" s="132">
        <v>187644</v>
      </c>
      <c r="C910" s="137">
        <v>13620</v>
      </c>
      <c r="D910" s="136">
        <v>13750</v>
      </c>
      <c r="E910" s="134">
        <f t="shared" si="105"/>
        <v>60</v>
      </c>
      <c r="H910" s="135">
        <v>97000</v>
      </c>
    </row>
    <row r="911" spans="1:8" ht="15" customHeight="1" thickBot="1">
      <c r="A911" s="12">
        <v>41453</v>
      </c>
      <c r="B911" s="142">
        <v>187488</v>
      </c>
      <c r="C911" s="143">
        <v>13680</v>
      </c>
      <c r="D911" s="144">
        <v>13710</v>
      </c>
      <c r="E911" s="233">
        <f t="shared" si="105"/>
        <v>60</v>
      </c>
      <c r="F911" s="260">
        <f>AVERAGE(C892:C911)</f>
        <v>14270.5</v>
      </c>
      <c r="G911" s="261">
        <f>AVERAGE(C784:C911)</f>
        <v>16137.661290322581</v>
      </c>
      <c r="H911" s="151">
        <v>96900</v>
      </c>
    </row>
    <row r="912" spans="1:8" ht="15" customHeight="1">
      <c r="A912" s="3">
        <v>41456</v>
      </c>
      <c r="B912" s="132">
        <v>187716</v>
      </c>
      <c r="C912" s="137">
        <v>13835</v>
      </c>
      <c r="D912" s="136">
        <v>13890</v>
      </c>
      <c r="E912" s="134">
        <f t="shared" si="105"/>
        <v>155</v>
      </c>
      <c r="H912" s="135">
        <v>97100</v>
      </c>
    </row>
    <row r="913" spans="1:8" ht="15" customHeight="1">
      <c r="A913" s="3">
        <v>41457</v>
      </c>
      <c r="B913" s="132">
        <v>188652</v>
      </c>
      <c r="C913" s="137">
        <v>13915</v>
      </c>
      <c r="D913" s="136">
        <v>13980</v>
      </c>
      <c r="E913" s="134">
        <f t="shared" si="105"/>
        <v>80</v>
      </c>
      <c r="H913" s="135">
        <v>98100</v>
      </c>
    </row>
    <row r="914" spans="1:8" ht="15" customHeight="1">
      <c r="A914" s="3">
        <v>41458</v>
      </c>
      <c r="B914" s="132">
        <v>190590</v>
      </c>
      <c r="C914" s="137">
        <v>13805</v>
      </c>
      <c r="D914" s="136">
        <v>13870</v>
      </c>
      <c r="E914" s="134">
        <f t="shared" si="105"/>
        <v>-110</v>
      </c>
      <c r="H914" s="135">
        <v>98200</v>
      </c>
    </row>
    <row r="915" spans="1:8" ht="15" customHeight="1">
      <c r="A915" s="3">
        <v>41459</v>
      </c>
      <c r="B915" s="132">
        <v>190512</v>
      </c>
      <c r="C915" s="137">
        <v>13685</v>
      </c>
      <c r="D915" s="136">
        <v>13775</v>
      </c>
      <c r="E915" s="134">
        <f t="shared" si="105"/>
        <v>-120</v>
      </c>
      <c r="H915" s="135">
        <v>97100</v>
      </c>
    </row>
    <row r="916" spans="1:8" ht="15" customHeight="1">
      <c r="A916" s="3">
        <v>41460</v>
      </c>
      <c r="B916" s="132">
        <v>193776</v>
      </c>
      <c r="C916" s="137">
        <v>13530</v>
      </c>
      <c r="D916" s="136">
        <v>13605</v>
      </c>
      <c r="E916" s="134">
        <f t="shared" si="105"/>
        <v>-155</v>
      </c>
      <c r="H916" s="135">
        <v>97100</v>
      </c>
    </row>
    <row r="917" spans="1:8" ht="15" customHeight="1">
      <c r="A917" s="3">
        <v>41463</v>
      </c>
      <c r="B917" s="132">
        <v>193578</v>
      </c>
      <c r="C917" s="137">
        <v>13325</v>
      </c>
      <c r="D917" s="136">
        <v>13440</v>
      </c>
      <c r="E917" s="134">
        <f t="shared" si="105"/>
        <v>-205</v>
      </c>
      <c r="H917" s="135">
        <v>95000</v>
      </c>
    </row>
    <row r="918" spans="1:8" ht="15" customHeight="1">
      <c r="A918" s="3">
        <v>41464</v>
      </c>
      <c r="B918" s="132">
        <v>193416</v>
      </c>
      <c r="C918" s="137">
        <v>13160</v>
      </c>
      <c r="D918" s="136">
        <v>13245</v>
      </c>
      <c r="E918" s="134">
        <f t="shared" si="105"/>
        <v>-165</v>
      </c>
      <c r="H918" s="135">
        <v>95000</v>
      </c>
    </row>
    <row r="919" spans="1:8" ht="15" customHeight="1">
      <c r="A919" s="3">
        <v>41465</v>
      </c>
      <c r="B919" s="132">
        <v>194712</v>
      </c>
      <c r="C919" s="137">
        <v>13475</v>
      </c>
      <c r="D919" s="136">
        <v>13560</v>
      </c>
      <c r="E919" s="134">
        <f t="shared" si="105"/>
        <v>315</v>
      </c>
      <c r="H919" s="135">
        <v>94500</v>
      </c>
    </row>
    <row r="920" spans="1:8" ht="15" customHeight="1">
      <c r="A920" s="3">
        <v>41466</v>
      </c>
      <c r="B920" s="132">
        <v>194754</v>
      </c>
      <c r="C920" s="137">
        <v>13655</v>
      </c>
      <c r="D920" s="136">
        <v>13740</v>
      </c>
      <c r="E920" s="134">
        <f t="shared" si="105"/>
        <v>180</v>
      </c>
      <c r="F920" s="262"/>
      <c r="G920" s="262"/>
      <c r="H920" s="135">
        <v>97600</v>
      </c>
    </row>
    <row r="921" spans="1:8" ht="15" customHeight="1">
      <c r="A921" s="3">
        <v>41467</v>
      </c>
      <c r="B921" s="132">
        <v>194406</v>
      </c>
      <c r="C921" s="137">
        <v>13565</v>
      </c>
      <c r="D921" s="136">
        <v>13650</v>
      </c>
      <c r="E921" s="134">
        <f t="shared" si="105"/>
        <v>-90</v>
      </c>
      <c r="F921" s="259"/>
      <c r="G921" s="259"/>
      <c r="H921" s="135">
        <v>96800</v>
      </c>
    </row>
    <row r="922" spans="1:8" ht="15" customHeight="1">
      <c r="A922" s="3">
        <v>41470</v>
      </c>
      <c r="B922" s="132">
        <v>196308</v>
      </c>
      <c r="C922" s="137">
        <v>13380</v>
      </c>
      <c r="D922" s="136">
        <v>13455</v>
      </c>
      <c r="E922" s="134">
        <f t="shared" si="105"/>
        <v>-185</v>
      </c>
      <c r="H922" s="135">
        <v>97000</v>
      </c>
    </row>
    <row r="923" spans="1:8" ht="15" customHeight="1">
      <c r="A923" s="3">
        <v>41471</v>
      </c>
      <c r="B923" s="132">
        <v>196074</v>
      </c>
      <c r="C923" s="137">
        <v>13535</v>
      </c>
      <c r="D923" s="136">
        <v>13595</v>
      </c>
      <c r="E923" s="134">
        <f t="shared" si="105"/>
        <v>155</v>
      </c>
      <c r="H923" s="135">
        <v>95800</v>
      </c>
    </row>
    <row r="924" spans="1:8" ht="15" customHeight="1">
      <c r="A924" s="3">
        <v>41472</v>
      </c>
      <c r="B924" s="132">
        <v>195774</v>
      </c>
      <c r="C924" s="137">
        <v>13810</v>
      </c>
      <c r="D924" s="136">
        <v>13950</v>
      </c>
      <c r="E924" s="134">
        <f t="shared" si="105"/>
        <v>275</v>
      </c>
      <c r="H924" s="135">
        <v>96950</v>
      </c>
    </row>
    <row r="925" spans="1:8" ht="15" customHeight="1">
      <c r="A925" s="3">
        <v>41473</v>
      </c>
      <c r="B925" s="132">
        <v>196170</v>
      </c>
      <c r="C925" s="137">
        <v>13885</v>
      </c>
      <c r="D925" s="136">
        <v>13980</v>
      </c>
      <c r="E925" s="134">
        <f t="shared" si="105"/>
        <v>75</v>
      </c>
      <c r="H925" s="135">
        <v>97300</v>
      </c>
    </row>
    <row r="926" spans="1:8" ht="15" customHeight="1">
      <c r="A926" s="3">
        <v>41474</v>
      </c>
      <c r="B926" s="132">
        <v>196062</v>
      </c>
      <c r="C926" s="137">
        <v>13980</v>
      </c>
      <c r="D926" s="136">
        <v>14055</v>
      </c>
      <c r="E926" s="134">
        <f t="shared" si="105"/>
        <v>95</v>
      </c>
      <c r="H926" s="135">
        <v>97800</v>
      </c>
    </row>
    <row r="927" spans="1:8" ht="15" customHeight="1">
      <c r="A927" s="3">
        <v>41477</v>
      </c>
      <c r="B927" s="132">
        <v>199782</v>
      </c>
      <c r="C927" s="137">
        <v>14055</v>
      </c>
      <c r="D927" s="136">
        <v>14150</v>
      </c>
      <c r="E927" s="134">
        <f t="shared" si="105"/>
        <v>75</v>
      </c>
      <c r="H927" s="135">
        <v>99200</v>
      </c>
    </row>
    <row r="928" spans="1:8" ht="15" customHeight="1">
      <c r="A928" s="3">
        <v>41478</v>
      </c>
      <c r="B928" s="132">
        <v>200334</v>
      </c>
      <c r="C928" s="137">
        <v>13975</v>
      </c>
      <c r="D928" s="136">
        <v>14050</v>
      </c>
      <c r="E928" s="134">
        <f t="shared" si="105"/>
        <v>-80</v>
      </c>
      <c r="H928" s="135">
        <v>99300</v>
      </c>
    </row>
    <row r="929" spans="1:8" ht="15" customHeight="1">
      <c r="A929" s="3">
        <v>41479</v>
      </c>
      <c r="B929" s="132">
        <v>199848</v>
      </c>
      <c r="C929" s="137">
        <v>14120</v>
      </c>
      <c r="D929" s="136">
        <v>14175</v>
      </c>
      <c r="E929" s="134">
        <f t="shared" si="105"/>
        <v>145</v>
      </c>
      <c r="H929" s="135">
        <v>98750</v>
      </c>
    </row>
    <row r="930" spans="1:8" ht="15" customHeight="1">
      <c r="A930" s="3">
        <v>41480</v>
      </c>
      <c r="B930" s="132">
        <v>200010</v>
      </c>
      <c r="C930" s="137">
        <v>14050</v>
      </c>
      <c r="D930" s="136">
        <v>14135</v>
      </c>
      <c r="E930" s="134">
        <f t="shared" si="105"/>
        <v>-70</v>
      </c>
      <c r="H930" s="135">
        <v>99400</v>
      </c>
    </row>
    <row r="931" spans="1:8" ht="15" customHeight="1">
      <c r="A931" s="3">
        <v>41481</v>
      </c>
      <c r="B931" s="132">
        <v>199578</v>
      </c>
      <c r="C931" s="137">
        <v>13830</v>
      </c>
      <c r="D931" s="136">
        <v>13905</v>
      </c>
      <c r="E931" s="134">
        <f t="shared" si="105"/>
        <v>-220</v>
      </c>
      <c r="H931" s="135">
        <v>99000</v>
      </c>
    </row>
    <row r="932" spans="1:8" ht="15" customHeight="1">
      <c r="A932" s="3">
        <v>41484</v>
      </c>
      <c r="B932" s="132">
        <v>200280</v>
      </c>
      <c r="C932" s="137">
        <v>13640</v>
      </c>
      <c r="D932" s="136">
        <v>13725</v>
      </c>
      <c r="E932" s="134">
        <f t="shared" si="105"/>
        <v>-190</v>
      </c>
      <c r="H932" s="135">
        <v>97700</v>
      </c>
    </row>
    <row r="933" spans="1:8" ht="15" customHeight="1">
      <c r="A933" s="3">
        <v>41485</v>
      </c>
      <c r="B933" s="132">
        <v>200790</v>
      </c>
      <c r="C933" s="137">
        <v>13435</v>
      </c>
      <c r="D933" s="136">
        <v>13500</v>
      </c>
      <c r="E933" s="134">
        <f t="shared" si="105"/>
        <v>-205</v>
      </c>
      <c r="H933" s="135">
        <v>97000</v>
      </c>
    </row>
    <row r="934" spans="1:8" ht="15" customHeight="1" thickBot="1">
      <c r="A934" s="12">
        <v>41486</v>
      </c>
      <c r="B934" s="142">
        <v>203028</v>
      </c>
      <c r="C934" s="143">
        <v>13570</v>
      </c>
      <c r="D934" s="144">
        <v>13650</v>
      </c>
      <c r="E934" s="233">
        <f t="shared" si="105"/>
        <v>135</v>
      </c>
      <c r="F934" s="459">
        <f>AVERAGE(C912:C934)</f>
        <v>13705</v>
      </c>
      <c r="G934" s="460">
        <f>AVERAGE(C784:C934)</f>
        <v>15757.040816326531</v>
      </c>
      <c r="H934" s="151">
        <v>96900</v>
      </c>
    </row>
    <row r="935" spans="1:8" ht="15" customHeight="1">
      <c r="A935" s="36">
        <v>41487</v>
      </c>
      <c r="B935" s="152">
        <v>204330</v>
      </c>
      <c r="C935" s="153">
        <v>13765</v>
      </c>
      <c r="D935" s="154">
        <v>13860</v>
      </c>
      <c r="E935" s="155">
        <f t="shared" si="105"/>
        <v>195</v>
      </c>
      <c r="F935" s="461"/>
      <c r="G935" s="461"/>
      <c r="H935" s="156">
        <v>98200</v>
      </c>
    </row>
    <row r="936" spans="1:8" ht="15" customHeight="1">
      <c r="A936" s="3">
        <v>41488</v>
      </c>
      <c r="B936" s="132">
        <v>204330</v>
      </c>
      <c r="C936" s="137">
        <v>13820</v>
      </c>
      <c r="D936" s="136">
        <v>13875</v>
      </c>
      <c r="E936" s="161">
        <f t="shared" si="105"/>
        <v>55</v>
      </c>
      <c r="H936" s="135">
        <v>97700</v>
      </c>
    </row>
    <row r="937" spans="1:8" ht="15" customHeight="1">
      <c r="A937" s="3">
        <v>41491</v>
      </c>
      <c r="B937" s="132">
        <v>204210</v>
      </c>
      <c r="C937" s="137">
        <v>13835</v>
      </c>
      <c r="D937" s="136">
        <v>13905</v>
      </c>
      <c r="E937" s="161">
        <f t="shared" si="105"/>
        <v>15</v>
      </c>
      <c r="H937" s="135">
        <v>97850</v>
      </c>
    </row>
    <row r="938" spans="1:8" ht="15" customHeight="1">
      <c r="A938" s="3">
        <v>41492</v>
      </c>
      <c r="B938" s="132">
        <v>204906</v>
      </c>
      <c r="C938" s="137">
        <v>13890</v>
      </c>
      <c r="D938" s="136">
        <v>14000</v>
      </c>
      <c r="E938" s="161">
        <f t="shared" si="105"/>
        <v>55</v>
      </c>
      <c r="H938" s="135">
        <v>97800</v>
      </c>
    </row>
    <row r="939" spans="1:8" ht="15" customHeight="1">
      <c r="A939" s="3">
        <v>41493</v>
      </c>
      <c r="B939" s="132">
        <v>203988</v>
      </c>
      <c r="C939" s="137">
        <v>13585</v>
      </c>
      <c r="D939" s="136">
        <v>13655</v>
      </c>
      <c r="E939" s="161">
        <f t="shared" si="105"/>
        <v>-305</v>
      </c>
      <c r="H939" s="135">
        <v>97400</v>
      </c>
    </row>
    <row r="940" spans="1:8" ht="15" customHeight="1">
      <c r="A940" s="3">
        <v>41494</v>
      </c>
      <c r="B940" s="132">
        <v>204108</v>
      </c>
      <c r="C940" s="137">
        <v>14160</v>
      </c>
      <c r="D940" s="136">
        <v>14220</v>
      </c>
      <c r="E940" s="161">
        <f t="shared" si="105"/>
        <v>575</v>
      </c>
      <c r="H940" s="135">
        <v>98750</v>
      </c>
    </row>
    <row r="941" spans="1:8" ht="15" customHeight="1">
      <c r="A941" s="3">
        <v>41495</v>
      </c>
      <c r="B941" s="132">
        <v>204024</v>
      </c>
      <c r="C941" s="137">
        <v>14450</v>
      </c>
      <c r="D941" s="136">
        <v>14480</v>
      </c>
      <c r="E941" s="161">
        <f t="shared" si="105"/>
        <v>290</v>
      </c>
      <c r="H941" s="135">
        <v>100150</v>
      </c>
    </row>
    <row r="942" spans="1:8" ht="15" customHeight="1">
      <c r="A942" s="3">
        <v>41498</v>
      </c>
      <c r="B942" s="132">
        <v>203940</v>
      </c>
      <c r="C942" s="137">
        <v>14775</v>
      </c>
      <c r="D942" s="136">
        <v>14890</v>
      </c>
      <c r="E942" s="161">
        <f t="shared" si="105"/>
        <v>325</v>
      </c>
      <c r="H942" s="135">
        <v>102600</v>
      </c>
    </row>
    <row r="943" spans="1:8" ht="15" customHeight="1">
      <c r="A943" s="3">
        <v>41499</v>
      </c>
      <c r="B943" s="132">
        <v>205890</v>
      </c>
      <c r="C943" s="137">
        <v>14735</v>
      </c>
      <c r="D943" s="136">
        <v>14805</v>
      </c>
      <c r="E943" s="161">
        <f t="shared" si="105"/>
        <v>-40</v>
      </c>
      <c r="H943" s="135">
        <v>103100</v>
      </c>
    </row>
    <row r="944" spans="1:8" ht="15" customHeight="1">
      <c r="A944" s="3">
        <v>41500</v>
      </c>
      <c r="B944" s="132">
        <v>205812</v>
      </c>
      <c r="C944" s="137">
        <v>14725</v>
      </c>
      <c r="D944" s="136">
        <v>14800</v>
      </c>
      <c r="E944" s="161">
        <f t="shared" si="105"/>
        <v>-10</v>
      </c>
      <c r="H944" s="135">
        <v>102750</v>
      </c>
    </row>
    <row r="945" spans="1:8" ht="15" customHeight="1">
      <c r="A945" s="3">
        <v>41501</v>
      </c>
      <c r="B945" s="132">
        <v>205878</v>
      </c>
      <c r="C945" s="137">
        <v>14660</v>
      </c>
      <c r="D945" s="136">
        <v>14730</v>
      </c>
      <c r="E945" s="161">
        <f t="shared" si="105"/>
        <v>-65</v>
      </c>
      <c r="H945" s="135">
        <v>103050</v>
      </c>
    </row>
    <row r="946" spans="1:8" ht="15" customHeight="1">
      <c r="A946" s="3">
        <v>41502</v>
      </c>
      <c r="B946" s="132">
        <v>206118</v>
      </c>
      <c r="C946" s="137">
        <v>14685</v>
      </c>
      <c r="D946" s="136">
        <v>14800</v>
      </c>
      <c r="E946" s="161">
        <f t="shared" si="105"/>
        <v>25</v>
      </c>
      <c r="H946" s="135">
        <v>102900</v>
      </c>
    </row>
    <row r="947" spans="1:8" ht="15" customHeight="1">
      <c r="A947" s="3">
        <v>41505</v>
      </c>
      <c r="B947" s="132">
        <v>205758</v>
      </c>
      <c r="C947" s="137">
        <v>14655</v>
      </c>
      <c r="D947" s="136">
        <v>14775</v>
      </c>
      <c r="E947" s="161">
        <f t="shared" si="105"/>
        <v>-30</v>
      </c>
      <c r="F947" s="259"/>
      <c r="G947" s="259"/>
      <c r="H947" s="135">
        <v>103100</v>
      </c>
    </row>
    <row r="948" spans="1:8" ht="15" customHeight="1">
      <c r="A948" s="3">
        <v>41506</v>
      </c>
      <c r="B948" s="132">
        <v>208578</v>
      </c>
      <c r="C948" s="137">
        <v>14565</v>
      </c>
      <c r="D948" s="136">
        <v>14655</v>
      </c>
      <c r="E948" s="161">
        <f t="shared" si="105"/>
        <v>-90</v>
      </c>
      <c r="F948" s="259"/>
      <c r="G948" s="259"/>
      <c r="H948" s="135">
        <v>102550</v>
      </c>
    </row>
    <row r="949" spans="1:8" ht="15" customHeight="1">
      <c r="A949" s="3">
        <v>41507</v>
      </c>
      <c r="B949" s="132">
        <v>209346</v>
      </c>
      <c r="C949" s="137">
        <v>14450</v>
      </c>
      <c r="D949" s="136">
        <v>14600</v>
      </c>
      <c r="E949" s="161">
        <f t="shared" si="105"/>
        <v>-115</v>
      </c>
      <c r="F949" s="259"/>
      <c r="G949" s="259"/>
      <c r="H949" s="135">
        <v>102150</v>
      </c>
    </row>
    <row r="950" spans="1:8" ht="15" customHeight="1">
      <c r="A950" s="3">
        <v>41508</v>
      </c>
      <c r="B950" s="132">
        <v>209868</v>
      </c>
      <c r="C950" s="137">
        <v>14435</v>
      </c>
      <c r="D950" s="136">
        <v>14540</v>
      </c>
      <c r="E950" s="161">
        <f t="shared" si="105"/>
        <v>-15</v>
      </c>
      <c r="H950" s="135">
        <v>101650</v>
      </c>
    </row>
    <row r="951" spans="1:8" ht="15" customHeight="1">
      <c r="A951" s="3">
        <v>41509</v>
      </c>
      <c r="B951" s="132">
        <v>210060</v>
      </c>
      <c r="C951" s="137">
        <v>14345</v>
      </c>
      <c r="D951" s="136">
        <v>14430</v>
      </c>
      <c r="E951" s="161">
        <f t="shared" si="105"/>
        <v>-90</v>
      </c>
      <c r="H951" s="135">
        <v>101650</v>
      </c>
    </row>
    <row r="952" spans="1:8" ht="15" customHeight="1">
      <c r="A952" s="3">
        <v>41512</v>
      </c>
      <c r="B952" s="1085" t="s">
        <v>70</v>
      </c>
      <c r="C952" s="1085"/>
      <c r="D952" s="1085"/>
      <c r="E952" s="1085"/>
      <c r="H952" s="135">
        <v>102150</v>
      </c>
    </row>
    <row r="953" spans="1:8" ht="15" customHeight="1">
      <c r="A953" s="3">
        <v>41513</v>
      </c>
      <c r="B953" s="132">
        <v>211902</v>
      </c>
      <c r="C953" s="137">
        <v>14325</v>
      </c>
      <c r="D953" s="136">
        <v>14405</v>
      </c>
      <c r="E953" s="134">
        <f>C953-C951</f>
        <v>-20</v>
      </c>
      <c r="H953" s="135">
        <v>101850</v>
      </c>
    </row>
    <row r="954" spans="1:8" ht="15" customHeight="1">
      <c r="A954" s="3">
        <v>41514</v>
      </c>
      <c r="B954" s="132">
        <v>212328</v>
      </c>
      <c r="C954" s="137">
        <v>14240</v>
      </c>
      <c r="D954" s="136">
        <v>14300</v>
      </c>
      <c r="E954" s="134">
        <f t="shared" ref="E954:E972" si="106">C954-C953</f>
        <v>-85</v>
      </c>
      <c r="H954" s="135">
        <v>101700</v>
      </c>
    </row>
    <row r="955" spans="1:8" ht="15" customHeight="1">
      <c r="A955" s="3">
        <v>41515</v>
      </c>
      <c r="B955" s="132">
        <v>212220</v>
      </c>
      <c r="C955" s="137">
        <v>14070</v>
      </c>
      <c r="D955" s="136">
        <v>14135</v>
      </c>
      <c r="E955" s="134">
        <f t="shared" si="106"/>
        <v>-170</v>
      </c>
      <c r="H955" s="135">
        <v>100350</v>
      </c>
    </row>
    <row r="956" spans="1:8" ht="15" customHeight="1" thickBot="1">
      <c r="A956" s="12">
        <v>41516</v>
      </c>
      <c r="B956" s="142">
        <v>212070</v>
      </c>
      <c r="C956" s="143">
        <v>13755</v>
      </c>
      <c r="D956" s="144">
        <v>13830</v>
      </c>
      <c r="E956" s="233">
        <f t="shared" si="106"/>
        <v>-315</v>
      </c>
      <c r="F956" s="459">
        <f>AVERAGE(C935:C956)</f>
        <v>14282.142857142857</v>
      </c>
      <c r="G956" s="460">
        <f>AVERAGE(C784:C956)</f>
        <v>15572.678571428571</v>
      </c>
      <c r="H956" s="151">
        <v>99150</v>
      </c>
    </row>
    <row r="957" spans="1:8" ht="15" customHeight="1">
      <c r="A957" s="3">
        <v>41519</v>
      </c>
      <c r="B957" s="132">
        <v>213378</v>
      </c>
      <c r="C957" s="137">
        <v>13775</v>
      </c>
      <c r="D957" s="136">
        <v>13825</v>
      </c>
      <c r="E957" s="161">
        <f t="shared" si="106"/>
        <v>20</v>
      </c>
      <c r="H957" s="135">
        <v>97800</v>
      </c>
    </row>
    <row r="958" spans="1:8" ht="15" customHeight="1">
      <c r="A958" s="3">
        <v>41520</v>
      </c>
      <c r="B958" s="132">
        <v>213270</v>
      </c>
      <c r="C958" s="137">
        <v>13635</v>
      </c>
      <c r="D958" s="136">
        <v>13740</v>
      </c>
      <c r="E958" s="134">
        <f t="shared" si="106"/>
        <v>-140</v>
      </c>
      <c r="H958" s="135">
        <v>97300</v>
      </c>
    </row>
    <row r="959" spans="1:8" ht="15" customHeight="1">
      <c r="A959" s="3">
        <v>41521</v>
      </c>
      <c r="B959" s="132">
        <v>213804</v>
      </c>
      <c r="C959" s="137">
        <v>13540</v>
      </c>
      <c r="D959" s="136">
        <v>13625</v>
      </c>
      <c r="E959" s="134">
        <f t="shared" si="106"/>
        <v>-95</v>
      </c>
      <c r="H959" s="135">
        <v>97000</v>
      </c>
    </row>
    <row r="960" spans="1:8" ht="15" customHeight="1">
      <c r="A960" s="3">
        <v>41522</v>
      </c>
      <c r="B960" s="132">
        <v>214386</v>
      </c>
      <c r="C960" s="137">
        <v>13660</v>
      </c>
      <c r="D960" s="136">
        <v>13700</v>
      </c>
      <c r="E960" s="134">
        <f t="shared" si="106"/>
        <v>120</v>
      </c>
      <c r="H960" s="135">
        <v>96700</v>
      </c>
    </row>
    <row r="961" spans="1:16" ht="15" customHeight="1">
      <c r="A961" s="3">
        <v>41523</v>
      </c>
      <c r="B961" s="132">
        <v>215538</v>
      </c>
      <c r="C961" s="137">
        <v>13900</v>
      </c>
      <c r="D961" s="136">
        <v>13975</v>
      </c>
      <c r="E961" s="134">
        <f t="shared" si="106"/>
        <v>240</v>
      </c>
      <c r="H961" s="135">
        <v>97100</v>
      </c>
    </row>
    <row r="962" spans="1:16" ht="15" customHeight="1">
      <c r="A962" s="3">
        <v>41526</v>
      </c>
      <c r="B962" s="132">
        <v>215388</v>
      </c>
      <c r="C962" s="137">
        <v>13820</v>
      </c>
      <c r="D962" s="136">
        <v>13895</v>
      </c>
      <c r="E962" s="134">
        <f t="shared" si="106"/>
        <v>-80</v>
      </c>
      <c r="H962" s="135">
        <v>98500</v>
      </c>
    </row>
    <row r="963" spans="1:16" ht="15" customHeight="1">
      <c r="A963" s="3">
        <v>41527</v>
      </c>
      <c r="B963" s="132">
        <v>215808</v>
      </c>
      <c r="C963" s="137">
        <v>13775</v>
      </c>
      <c r="D963" s="136">
        <v>13825</v>
      </c>
      <c r="E963" s="134">
        <f t="shared" si="106"/>
        <v>-45</v>
      </c>
      <c r="H963" s="135">
        <v>97850</v>
      </c>
    </row>
    <row r="964" spans="1:16" ht="15" customHeight="1">
      <c r="A964" s="3">
        <v>41528</v>
      </c>
      <c r="B964" s="132">
        <v>216108</v>
      </c>
      <c r="C964" s="137">
        <v>13675</v>
      </c>
      <c r="D964" s="136">
        <v>13740</v>
      </c>
      <c r="E964" s="134">
        <f t="shared" si="106"/>
        <v>-100</v>
      </c>
      <c r="F964" s="259"/>
      <c r="G964" s="259"/>
      <c r="H964" s="135">
        <v>97250</v>
      </c>
    </row>
    <row r="965" spans="1:16" ht="15" customHeight="1">
      <c r="A965" s="3">
        <v>41529</v>
      </c>
      <c r="B965" s="132">
        <v>217650</v>
      </c>
      <c r="C965" s="137">
        <v>13620</v>
      </c>
      <c r="D965" s="136">
        <v>13660</v>
      </c>
      <c r="E965" s="134">
        <f t="shared" si="106"/>
        <v>-55</v>
      </c>
      <c r="F965" s="259"/>
      <c r="G965" s="259"/>
      <c r="H965" s="135">
        <v>97050</v>
      </c>
    </row>
    <row r="966" spans="1:16" ht="15" customHeight="1">
      <c r="A966" s="3">
        <v>41530</v>
      </c>
      <c r="B966" s="132">
        <v>217422</v>
      </c>
      <c r="C966" s="137">
        <v>13605</v>
      </c>
      <c r="D966" s="136">
        <v>13700</v>
      </c>
      <c r="E966" s="134">
        <f t="shared" si="106"/>
        <v>-15</v>
      </c>
      <c r="H966" s="135">
        <v>97000</v>
      </c>
    </row>
    <row r="967" spans="1:16" ht="15" customHeight="1">
      <c r="A967" s="3">
        <v>41533</v>
      </c>
      <c r="B967" s="132">
        <v>217002</v>
      </c>
      <c r="C967" s="137">
        <v>13820</v>
      </c>
      <c r="D967" s="136">
        <v>13910</v>
      </c>
      <c r="E967" s="134">
        <f t="shared" si="106"/>
        <v>215</v>
      </c>
      <c r="H967" s="135">
        <v>97700</v>
      </c>
    </row>
    <row r="968" spans="1:16" ht="15" customHeight="1">
      <c r="A968" s="3">
        <v>41534</v>
      </c>
      <c r="B968" s="132">
        <v>216312</v>
      </c>
      <c r="C968" s="137">
        <v>13775</v>
      </c>
      <c r="D968" s="136">
        <v>13870</v>
      </c>
      <c r="E968" s="134">
        <f t="shared" si="106"/>
        <v>-45</v>
      </c>
      <c r="H968" s="135">
        <v>97700</v>
      </c>
    </row>
    <row r="969" spans="1:16" ht="15" customHeight="1">
      <c r="A969" s="3">
        <v>41535</v>
      </c>
      <c r="B969" s="132">
        <v>218448</v>
      </c>
      <c r="C969" s="137">
        <v>13780</v>
      </c>
      <c r="D969" s="136">
        <v>13870</v>
      </c>
      <c r="E969" s="134">
        <f t="shared" si="106"/>
        <v>5</v>
      </c>
      <c r="H969" s="135">
        <v>97350</v>
      </c>
    </row>
    <row r="970" spans="1:16" ht="15" customHeight="1">
      <c r="A970" s="3">
        <v>41536</v>
      </c>
      <c r="B970" s="132">
        <v>218364</v>
      </c>
      <c r="C970" s="137">
        <v>14140</v>
      </c>
      <c r="D970" s="136">
        <v>14220</v>
      </c>
      <c r="E970" s="134">
        <f t="shared" si="106"/>
        <v>360</v>
      </c>
      <c r="H970" s="1047" t="s">
        <v>148</v>
      </c>
      <c r="I970" s="462"/>
      <c r="J970" s="462"/>
      <c r="K970" s="462"/>
      <c r="L970" s="462"/>
      <c r="M970" s="462"/>
      <c r="N970" s="462"/>
      <c r="O970" s="462"/>
      <c r="P970" s="462"/>
    </row>
    <row r="971" spans="1:16" ht="15" customHeight="1">
      <c r="A971" s="3">
        <v>41537</v>
      </c>
      <c r="B971" s="132">
        <v>219246</v>
      </c>
      <c r="C971" s="137">
        <v>14090</v>
      </c>
      <c r="D971" s="136">
        <v>14200</v>
      </c>
      <c r="E971" s="134">
        <f t="shared" si="106"/>
        <v>-50</v>
      </c>
      <c r="H971" s="1047"/>
      <c r="I971" s="462"/>
      <c r="J971" s="462"/>
      <c r="K971" s="462"/>
      <c r="L971" s="462"/>
      <c r="M971" s="462"/>
      <c r="N971" s="462"/>
      <c r="O971" s="462"/>
      <c r="P971" s="462"/>
    </row>
    <row r="972" spans="1:16" ht="15" customHeight="1">
      <c r="A972" s="3">
        <v>41540</v>
      </c>
      <c r="B972" s="132">
        <v>219786</v>
      </c>
      <c r="C972" s="137">
        <v>13830</v>
      </c>
      <c r="D972" s="136">
        <v>13920</v>
      </c>
      <c r="E972" s="134">
        <f t="shared" si="106"/>
        <v>-260</v>
      </c>
      <c r="F972" s="464"/>
      <c r="G972" s="464"/>
      <c r="H972" s="135">
        <v>97850</v>
      </c>
    </row>
    <row r="973" spans="1:16" ht="15" customHeight="1">
      <c r="A973" s="3">
        <v>41541</v>
      </c>
      <c r="B973" s="132">
        <v>222012</v>
      </c>
      <c r="C973" s="137">
        <v>13680</v>
      </c>
      <c r="D973" s="136">
        <v>13775</v>
      </c>
      <c r="E973" s="134">
        <f t="shared" ref="E973:E987" si="107">C973-C972</f>
        <v>-150</v>
      </c>
      <c r="H973" s="135">
        <v>97650</v>
      </c>
    </row>
    <row r="974" spans="1:16" ht="15" customHeight="1">
      <c r="A974" s="3">
        <v>41542</v>
      </c>
      <c r="B974" s="132">
        <v>225426</v>
      </c>
      <c r="C974" s="137">
        <v>13725</v>
      </c>
      <c r="D974" s="136">
        <v>13775</v>
      </c>
      <c r="E974" s="134">
        <f t="shared" si="107"/>
        <v>45</v>
      </c>
      <c r="H974" s="135">
        <v>96900</v>
      </c>
    </row>
    <row r="975" spans="1:16" ht="15" customHeight="1">
      <c r="A975" s="3">
        <v>41543</v>
      </c>
      <c r="B975" s="132">
        <v>226278</v>
      </c>
      <c r="C975" s="137">
        <v>13780</v>
      </c>
      <c r="D975" s="136">
        <v>13870</v>
      </c>
      <c r="E975" s="134">
        <f t="shared" si="107"/>
        <v>55</v>
      </c>
      <c r="H975" s="135">
        <v>97000</v>
      </c>
    </row>
    <row r="976" spans="1:16" ht="15" customHeight="1">
      <c r="A976" s="3">
        <v>41544</v>
      </c>
      <c r="B976" s="132">
        <v>226218</v>
      </c>
      <c r="C976" s="137">
        <v>13885</v>
      </c>
      <c r="D976" s="136">
        <v>13970</v>
      </c>
      <c r="E976" s="134">
        <f t="shared" si="107"/>
        <v>105</v>
      </c>
      <c r="H976" s="135">
        <v>97200</v>
      </c>
    </row>
    <row r="977" spans="1:8" ht="15" customHeight="1" thickBot="1">
      <c r="A977" s="12">
        <v>41547</v>
      </c>
      <c r="B977" s="142">
        <v>226068</v>
      </c>
      <c r="C977" s="143">
        <v>13860</v>
      </c>
      <c r="D977" s="144">
        <v>13935</v>
      </c>
      <c r="E977" s="233">
        <f t="shared" si="107"/>
        <v>-25</v>
      </c>
      <c r="F977" s="459">
        <f>AVERAGE(C957:C977)</f>
        <v>13779.523809523809</v>
      </c>
      <c r="G977" s="460">
        <f>AVERAGE(C784:C977)</f>
        <v>15373.439153439154</v>
      </c>
      <c r="H977" s="151">
        <v>97500</v>
      </c>
    </row>
    <row r="978" spans="1:8" ht="15" customHeight="1">
      <c r="A978" s="3">
        <v>41548</v>
      </c>
      <c r="B978" s="132">
        <v>227004</v>
      </c>
      <c r="C978" s="137">
        <v>13740</v>
      </c>
      <c r="D978" s="136">
        <v>13820</v>
      </c>
      <c r="E978" s="134">
        <f t="shared" si="107"/>
        <v>-120</v>
      </c>
      <c r="H978" s="1090" t="s">
        <v>70</v>
      </c>
    </row>
    <row r="979" spans="1:8" ht="15" customHeight="1">
      <c r="A979" s="3">
        <v>41549</v>
      </c>
      <c r="B979" s="132">
        <v>227292</v>
      </c>
      <c r="C979" s="137">
        <v>13630</v>
      </c>
      <c r="D979" s="136">
        <v>13705</v>
      </c>
      <c r="E979" s="134">
        <f t="shared" si="107"/>
        <v>-110</v>
      </c>
      <c r="H979" s="1086"/>
    </row>
    <row r="980" spans="1:8" ht="15" customHeight="1">
      <c r="A980" s="3">
        <v>41550</v>
      </c>
      <c r="B980" s="132">
        <v>226998</v>
      </c>
      <c r="C980" s="137">
        <v>13635</v>
      </c>
      <c r="D980" s="136">
        <v>13700</v>
      </c>
      <c r="E980" s="134">
        <f t="shared" si="107"/>
        <v>5</v>
      </c>
      <c r="H980" s="1086"/>
    </row>
    <row r="981" spans="1:8" ht="15" customHeight="1">
      <c r="A981" s="3">
        <v>41551</v>
      </c>
      <c r="B981" s="132">
        <v>227562</v>
      </c>
      <c r="C981" s="137">
        <v>13560</v>
      </c>
      <c r="D981" s="136">
        <v>13640</v>
      </c>
      <c r="E981" s="134">
        <f t="shared" si="107"/>
        <v>-75</v>
      </c>
      <c r="H981" s="1086"/>
    </row>
    <row r="982" spans="1:8" ht="15" customHeight="1">
      <c r="A982" s="3">
        <v>41554</v>
      </c>
      <c r="B982" s="132">
        <v>227928</v>
      </c>
      <c r="C982" s="137">
        <v>13840</v>
      </c>
      <c r="D982" s="136">
        <v>13900</v>
      </c>
      <c r="E982" s="134">
        <f t="shared" si="107"/>
        <v>280</v>
      </c>
      <c r="H982" s="1086"/>
    </row>
    <row r="983" spans="1:8" ht="15" customHeight="1">
      <c r="A983" s="3">
        <v>41555</v>
      </c>
      <c r="B983" s="132">
        <v>228066</v>
      </c>
      <c r="C983" s="137">
        <v>13835</v>
      </c>
      <c r="D983" s="136">
        <v>13905</v>
      </c>
      <c r="E983" s="134">
        <f t="shared" si="107"/>
        <v>-5</v>
      </c>
      <c r="H983" s="135">
        <v>97250</v>
      </c>
    </row>
    <row r="984" spans="1:8" ht="15" customHeight="1">
      <c r="A984" s="3">
        <v>41556</v>
      </c>
      <c r="B984" s="132">
        <v>229230</v>
      </c>
      <c r="C984" s="137">
        <v>13760</v>
      </c>
      <c r="D984" s="136">
        <v>13805</v>
      </c>
      <c r="E984" s="134">
        <f t="shared" si="107"/>
        <v>-75</v>
      </c>
      <c r="H984" s="135">
        <v>97400</v>
      </c>
    </row>
    <row r="985" spans="1:8" ht="15" customHeight="1">
      <c r="A985" s="3">
        <v>41557</v>
      </c>
      <c r="B985" s="132">
        <v>228996</v>
      </c>
      <c r="C985" s="137">
        <v>13720</v>
      </c>
      <c r="D985" s="136">
        <v>13810</v>
      </c>
      <c r="E985" s="134">
        <f t="shared" si="107"/>
        <v>-40</v>
      </c>
      <c r="H985" s="135">
        <v>96800</v>
      </c>
    </row>
    <row r="986" spans="1:8" ht="15" customHeight="1">
      <c r="A986" s="3">
        <v>41558</v>
      </c>
      <c r="B986" s="132">
        <v>228870</v>
      </c>
      <c r="C986" s="137">
        <v>13730</v>
      </c>
      <c r="D986" s="136">
        <v>13810</v>
      </c>
      <c r="E986" s="134">
        <f t="shared" si="107"/>
        <v>10</v>
      </c>
      <c r="H986" s="135">
        <v>97000</v>
      </c>
    </row>
    <row r="987" spans="1:8" ht="15" customHeight="1">
      <c r="A987" s="3">
        <v>41561</v>
      </c>
      <c r="B987" s="132">
        <v>228186</v>
      </c>
      <c r="C987" s="137">
        <v>13910</v>
      </c>
      <c r="D987" s="136">
        <v>14010</v>
      </c>
      <c r="E987" s="134">
        <f t="shared" si="107"/>
        <v>180</v>
      </c>
      <c r="H987" s="135">
        <v>97100</v>
      </c>
    </row>
    <row r="988" spans="1:8" ht="15" customHeight="1">
      <c r="A988" s="3">
        <v>41562</v>
      </c>
      <c r="B988" s="132">
        <v>228420</v>
      </c>
      <c r="C988" s="137">
        <v>13895</v>
      </c>
      <c r="D988" s="136">
        <v>13975</v>
      </c>
      <c r="E988" s="134">
        <f t="shared" ref="E988:E994" si="108">C988-C987</f>
        <v>-15</v>
      </c>
      <c r="H988" s="135">
        <v>97500</v>
      </c>
    </row>
    <row r="989" spans="1:8" ht="15" customHeight="1">
      <c r="A989" s="3">
        <v>41563</v>
      </c>
      <c r="B989" s="132">
        <v>228264</v>
      </c>
      <c r="C989" s="137">
        <v>13840</v>
      </c>
      <c r="D989" s="136">
        <v>13920</v>
      </c>
      <c r="E989" s="134">
        <f t="shared" si="108"/>
        <v>-55</v>
      </c>
      <c r="H989" s="135">
        <v>97500</v>
      </c>
    </row>
    <row r="990" spans="1:8" ht="15" customHeight="1">
      <c r="A990" s="3">
        <v>41564</v>
      </c>
      <c r="B990" s="132">
        <v>229812</v>
      </c>
      <c r="C990" s="137">
        <v>13970</v>
      </c>
      <c r="D990" s="136">
        <v>14040</v>
      </c>
      <c r="E990" s="134">
        <f t="shared" si="108"/>
        <v>130</v>
      </c>
      <c r="H990" s="135">
        <v>97700</v>
      </c>
    </row>
    <row r="991" spans="1:8" ht="15" customHeight="1">
      <c r="A991" s="3">
        <v>41565</v>
      </c>
      <c r="B991" s="132">
        <v>230040</v>
      </c>
      <c r="C991" s="137">
        <v>14170</v>
      </c>
      <c r="D991" s="136">
        <v>14215</v>
      </c>
      <c r="E991" s="134">
        <f t="shared" si="108"/>
        <v>200</v>
      </c>
      <c r="H991" s="135">
        <v>97600</v>
      </c>
    </row>
    <row r="992" spans="1:8" ht="15" customHeight="1">
      <c r="A992" s="3">
        <v>41568</v>
      </c>
      <c r="B992" s="132">
        <v>230760</v>
      </c>
      <c r="C992" s="137">
        <v>14295</v>
      </c>
      <c r="D992" s="136">
        <v>14350</v>
      </c>
      <c r="E992" s="134">
        <f t="shared" si="108"/>
        <v>125</v>
      </c>
      <c r="H992" s="135">
        <v>98600</v>
      </c>
    </row>
    <row r="993" spans="1:8" ht="15" customHeight="1">
      <c r="A993" s="3">
        <v>41569</v>
      </c>
      <c r="B993" s="132">
        <v>231480</v>
      </c>
      <c r="C993" s="137">
        <v>14635</v>
      </c>
      <c r="D993" s="136">
        <v>14745</v>
      </c>
      <c r="E993" s="134">
        <f t="shared" si="108"/>
        <v>340</v>
      </c>
      <c r="H993" s="135">
        <v>100000</v>
      </c>
    </row>
    <row r="994" spans="1:8" ht="15" customHeight="1">
      <c r="A994" s="3">
        <v>41570</v>
      </c>
      <c r="B994" s="132">
        <v>231636</v>
      </c>
      <c r="C994" s="137">
        <v>14580</v>
      </c>
      <c r="D994" s="136">
        <v>14640</v>
      </c>
      <c r="E994" s="134">
        <f t="shared" si="108"/>
        <v>-55</v>
      </c>
      <c r="H994" s="135">
        <v>101800</v>
      </c>
    </row>
    <row r="995" spans="1:8" ht="15" customHeight="1">
      <c r="A995" s="3">
        <v>41571</v>
      </c>
      <c r="B995" s="132">
        <v>234084</v>
      </c>
      <c r="C995" s="137">
        <v>14425</v>
      </c>
      <c r="D995" s="136">
        <v>14485</v>
      </c>
      <c r="E995" s="134">
        <f t="shared" ref="E995:E1021" si="109">C995-C994</f>
        <v>-155</v>
      </c>
      <c r="H995" s="135">
        <v>99500</v>
      </c>
    </row>
    <row r="996" spans="1:8" ht="15" customHeight="1">
      <c r="A996" s="3">
        <v>41572</v>
      </c>
      <c r="B996" s="132">
        <v>235278</v>
      </c>
      <c r="C996" s="137">
        <v>14385</v>
      </c>
      <c r="D996" s="136">
        <v>14440</v>
      </c>
      <c r="E996" s="134">
        <f t="shared" si="109"/>
        <v>-40</v>
      </c>
      <c r="H996" s="135">
        <v>100000</v>
      </c>
    </row>
    <row r="997" spans="1:8" ht="15" customHeight="1">
      <c r="A997" s="3">
        <v>41575</v>
      </c>
      <c r="B997" s="132">
        <v>234984</v>
      </c>
      <c r="C997" s="137">
        <v>14460</v>
      </c>
      <c r="D997" s="136">
        <v>14515</v>
      </c>
      <c r="E997" s="134">
        <f t="shared" si="109"/>
        <v>75</v>
      </c>
      <c r="H997" s="135">
        <v>99850</v>
      </c>
    </row>
    <row r="998" spans="1:8" ht="15" customHeight="1">
      <c r="A998" s="3">
        <v>41576</v>
      </c>
      <c r="B998" s="132">
        <v>234228</v>
      </c>
      <c r="C998" s="137">
        <v>14520</v>
      </c>
      <c r="D998" s="136">
        <v>14585</v>
      </c>
      <c r="E998" s="134">
        <f t="shared" si="109"/>
        <v>60</v>
      </c>
      <c r="H998" s="135">
        <v>99750</v>
      </c>
    </row>
    <row r="999" spans="1:8" ht="15" customHeight="1">
      <c r="A999" s="3">
        <v>41577</v>
      </c>
      <c r="B999" s="132">
        <v>236958</v>
      </c>
      <c r="C999" s="137">
        <v>14555</v>
      </c>
      <c r="D999" s="136">
        <v>14610</v>
      </c>
      <c r="E999" s="134">
        <f t="shared" si="109"/>
        <v>35</v>
      </c>
      <c r="H999" s="135">
        <v>99800</v>
      </c>
    </row>
    <row r="1000" spans="1:8" ht="15" customHeight="1" thickBot="1">
      <c r="A1000" s="12">
        <v>41578</v>
      </c>
      <c r="B1000" s="142">
        <v>237576</v>
      </c>
      <c r="C1000" s="143">
        <v>14515</v>
      </c>
      <c r="D1000" s="144">
        <v>14600</v>
      </c>
      <c r="E1000" s="233">
        <f t="shared" si="109"/>
        <v>-40</v>
      </c>
      <c r="F1000" s="459">
        <f>AVERAGE(C978:C1000)</f>
        <v>14069.782608695652</v>
      </c>
      <c r="G1000" s="460">
        <f>AVERAGE(C784:C1000)</f>
        <v>15232.004716981131</v>
      </c>
      <c r="H1000" s="151">
        <v>99700</v>
      </c>
    </row>
    <row r="1001" spans="1:8" ht="15" customHeight="1">
      <c r="A1001" s="3">
        <v>41579</v>
      </c>
      <c r="B1001" s="132">
        <v>238134</v>
      </c>
      <c r="C1001" s="137">
        <v>14580</v>
      </c>
      <c r="D1001" s="136">
        <v>14630</v>
      </c>
      <c r="E1001" s="134">
        <f t="shared" si="109"/>
        <v>65</v>
      </c>
      <c r="H1001" s="135">
        <v>99400</v>
      </c>
    </row>
    <row r="1002" spans="1:8" ht="15" customHeight="1">
      <c r="A1002" s="3">
        <v>41582</v>
      </c>
      <c r="B1002" s="132">
        <v>238584</v>
      </c>
      <c r="C1002" s="137">
        <v>14260</v>
      </c>
      <c r="D1002" s="136">
        <v>14350</v>
      </c>
      <c r="E1002" s="134">
        <f t="shared" si="109"/>
        <v>-320</v>
      </c>
      <c r="H1002" s="135">
        <v>98950</v>
      </c>
    </row>
    <row r="1003" spans="1:8" ht="15" customHeight="1">
      <c r="A1003" s="3">
        <v>41583</v>
      </c>
      <c r="B1003" s="132">
        <v>239958</v>
      </c>
      <c r="C1003" s="137">
        <v>14325</v>
      </c>
      <c r="D1003" s="136">
        <v>14380</v>
      </c>
      <c r="E1003" s="134">
        <f t="shared" si="109"/>
        <v>65</v>
      </c>
      <c r="H1003" s="135">
        <v>97900</v>
      </c>
    </row>
    <row r="1004" spans="1:8" ht="15" customHeight="1">
      <c r="A1004" s="3">
        <v>41584</v>
      </c>
      <c r="B1004" s="132">
        <v>239850</v>
      </c>
      <c r="C1004" s="137">
        <v>14290</v>
      </c>
      <c r="D1004" s="136">
        <v>14375</v>
      </c>
      <c r="E1004" s="134">
        <f t="shared" si="109"/>
        <v>-35</v>
      </c>
      <c r="H1004" s="135">
        <v>97900</v>
      </c>
    </row>
    <row r="1005" spans="1:8" ht="15" customHeight="1">
      <c r="A1005" s="3">
        <v>41585</v>
      </c>
      <c r="B1005" s="132">
        <v>240408</v>
      </c>
      <c r="C1005" s="137">
        <v>13950</v>
      </c>
      <c r="D1005" s="136">
        <v>14060</v>
      </c>
      <c r="E1005" s="134">
        <f t="shared" si="109"/>
        <v>-340</v>
      </c>
      <c r="H1005" s="135">
        <v>97400</v>
      </c>
    </row>
    <row r="1006" spans="1:8" ht="15" customHeight="1">
      <c r="A1006" s="3">
        <v>41586</v>
      </c>
      <c r="B1006" s="132">
        <v>240408</v>
      </c>
      <c r="C1006" s="137">
        <v>13865</v>
      </c>
      <c r="D1006" s="136">
        <v>13925</v>
      </c>
      <c r="E1006" s="134">
        <f t="shared" si="109"/>
        <v>-85</v>
      </c>
      <c r="H1006" s="135">
        <v>97200</v>
      </c>
    </row>
    <row r="1007" spans="1:8" ht="15" customHeight="1">
      <c r="A1007" s="3">
        <v>41589</v>
      </c>
      <c r="B1007" s="132">
        <v>239994</v>
      </c>
      <c r="C1007" s="137">
        <v>13810</v>
      </c>
      <c r="D1007" s="136">
        <v>13880</v>
      </c>
      <c r="E1007" s="134">
        <f t="shared" si="109"/>
        <v>-55</v>
      </c>
      <c r="H1007" s="135">
        <v>97000</v>
      </c>
    </row>
    <row r="1008" spans="1:8" ht="15" customHeight="1">
      <c r="A1008" s="3">
        <v>41590</v>
      </c>
      <c r="B1008" s="132">
        <v>241716</v>
      </c>
      <c r="C1008" s="137">
        <v>13655</v>
      </c>
      <c r="D1008" s="136">
        <v>13735</v>
      </c>
      <c r="E1008" s="134">
        <f t="shared" si="109"/>
        <v>-155</v>
      </c>
      <c r="H1008" s="135">
        <v>96100</v>
      </c>
    </row>
    <row r="1009" spans="1:8" ht="15" customHeight="1">
      <c r="A1009" s="3">
        <v>41591</v>
      </c>
      <c r="B1009" s="132">
        <v>241596</v>
      </c>
      <c r="C1009" s="137">
        <v>13605</v>
      </c>
      <c r="D1009" s="136">
        <v>13655</v>
      </c>
      <c r="E1009" s="134">
        <f t="shared" si="109"/>
        <v>-50</v>
      </c>
      <c r="H1009" s="135">
        <v>95500</v>
      </c>
    </row>
    <row r="1010" spans="1:8" ht="15" customHeight="1">
      <c r="A1010" s="3">
        <v>41592</v>
      </c>
      <c r="B1010" s="132">
        <v>243150</v>
      </c>
      <c r="C1010" s="137">
        <v>13600</v>
      </c>
      <c r="D1010" s="136">
        <v>13665</v>
      </c>
      <c r="E1010" s="134">
        <f t="shared" si="109"/>
        <v>-5</v>
      </c>
      <c r="H1010" s="135">
        <v>96200</v>
      </c>
    </row>
    <row r="1011" spans="1:8" ht="15" customHeight="1">
      <c r="A1011" s="3">
        <v>41593</v>
      </c>
      <c r="B1011" s="132">
        <v>244818</v>
      </c>
      <c r="C1011" s="137">
        <v>13690</v>
      </c>
      <c r="D1011" s="136">
        <v>13740</v>
      </c>
      <c r="E1011" s="134">
        <f t="shared" si="109"/>
        <v>90</v>
      </c>
      <c r="H1011" s="135">
        <v>96200</v>
      </c>
    </row>
    <row r="1012" spans="1:8" ht="15" customHeight="1">
      <c r="A1012" s="3">
        <v>41596</v>
      </c>
      <c r="B1012" s="132">
        <v>244614</v>
      </c>
      <c r="C1012" s="137">
        <v>13690</v>
      </c>
      <c r="D1012" s="136">
        <v>13760</v>
      </c>
      <c r="E1012" s="134">
        <f t="shared" si="109"/>
        <v>0</v>
      </c>
      <c r="H1012" s="135">
        <v>96300</v>
      </c>
    </row>
    <row r="1013" spans="1:8" ht="15" customHeight="1">
      <c r="A1013" s="3">
        <v>41597</v>
      </c>
      <c r="B1013" s="132">
        <v>244938</v>
      </c>
      <c r="C1013" s="137">
        <v>13580</v>
      </c>
      <c r="D1013" s="136">
        <v>13700</v>
      </c>
      <c r="E1013" s="134">
        <f t="shared" si="109"/>
        <v>-110</v>
      </c>
      <c r="H1013" s="135">
        <v>95250</v>
      </c>
    </row>
    <row r="1014" spans="1:8" ht="15" customHeight="1">
      <c r="A1014" s="3">
        <v>41598</v>
      </c>
      <c r="B1014" s="132">
        <v>247638</v>
      </c>
      <c r="C1014" s="137">
        <v>13510</v>
      </c>
      <c r="D1014" s="136">
        <v>13580</v>
      </c>
      <c r="E1014" s="134">
        <f t="shared" si="109"/>
        <v>-70</v>
      </c>
      <c r="H1014" s="135">
        <v>95400</v>
      </c>
    </row>
    <row r="1015" spans="1:8" ht="15" customHeight="1">
      <c r="A1015" s="3">
        <v>41599</v>
      </c>
      <c r="B1015" s="132">
        <v>248550</v>
      </c>
      <c r="C1015" s="137">
        <v>13425</v>
      </c>
      <c r="D1015" s="136">
        <v>13505</v>
      </c>
      <c r="E1015" s="134">
        <f t="shared" si="109"/>
        <v>-85</v>
      </c>
      <c r="H1015" s="135">
        <v>94800</v>
      </c>
    </row>
    <row r="1016" spans="1:8" ht="15" customHeight="1">
      <c r="A1016" s="3">
        <v>41600</v>
      </c>
      <c r="B1016" s="132">
        <v>249138</v>
      </c>
      <c r="C1016" s="137">
        <v>13440</v>
      </c>
      <c r="D1016" s="136">
        <v>13510</v>
      </c>
      <c r="E1016" s="134">
        <f t="shared" si="109"/>
        <v>15</v>
      </c>
      <c r="H1016" s="135">
        <v>94700</v>
      </c>
    </row>
    <row r="1017" spans="1:8" ht="15" customHeight="1">
      <c r="A1017" s="3">
        <v>41603</v>
      </c>
      <c r="B1017" s="132">
        <v>249012</v>
      </c>
      <c r="C1017" s="137">
        <v>13480</v>
      </c>
      <c r="D1017" s="136">
        <v>13545</v>
      </c>
      <c r="E1017" s="134">
        <f t="shared" si="109"/>
        <v>40</v>
      </c>
      <c r="H1017" s="135">
        <v>94600</v>
      </c>
    </row>
    <row r="1018" spans="1:8" ht="15" customHeight="1">
      <c r="A1018" s="3">
        <v>41604</v>
      </c>
      <c r="B1018" s="132">
        <v>249660</v>
      </c>
      <c r="C1018" s="137">
        <v>13465</v>
      </c>
      <c r="D1018" s="136">
        <v>13550</v>
      </c>
      <c r="E1018" s="134">
        <f t="shared" si="109"/>
        <v>-15</v>
      </c>
      <c r="H1018" s="135">
        <v>94650</v>
      </c>
    </row>
    <row r="1019" spans="1:8" ht="15" customHeight="1">
      <c r="A1019" s="3">
        <v>41605</v>
      </c>
      <c r="B1019" s="132">
        <v>250572</v>
      </c>
      <c r="C1019" s="137">
        <v>13405</v>
      </c>
      <c r="D1019" s="136">
        <v>13480</v>
      </c>
      <c r="E1019" s="134">
        <f t="shared" si="109"/>
        <v>-60</v>
      </c>
      <c r="H1019" s="135">
        <v>94450</v>
      </c>
    </row>
    <row r="1020" spans="1:8" ht="15" customHeight="1">
      <c r="A1020" s="3">
        <v>41606</v>
      </c>
      <c r="B1020" s="132">
        <v>251910</v>
      </c>
      <c r="C1020" s="137">
        <v>13270</v>
      </c>
      <c r="D1020" s="136">
        <v>13340</v>
      </c>
      <c r="E1020" s="134">
        <f t="shared" si="109"/>
        <v>-135</v>
      </c>
      <c r="H1020" s="135">
        <v>93550</v>
      </c>
    </row>
    <row r="1021" spans="1:8" ht="15" customHeight="1" thickBot="1">
      <c r="A1021" s="12">
        <v>41607</v>
      </c>
      <c r="B1021" s="142">
        <v>251862</v>
      </c>
      <c r="C1021" s="143">
        <v>13415</v>
      </c>
      <c r="D1021" s="144">
        <v>13480</v>
      </c>
      <c r="E1021" s="233">
        <f t="shared" si="109"/>
        <v>145</v>
      </c>
      <c r="F1021" s="459">
        <f>AVERAGE(C1001:C1021)</f>
        <v>13729.047619047618</v>
      </c>
      <c r="G1021" s="460">
        <f>AVERAGE(C784:C1021)</f>
        <v>15096.545064377682</v>
      </c>
      <c r="H1021" s="151">
        <v>93100</v>
      </c>
    </row>
    <row r="1022" spans="1:8" ht="15" customHeight="1">
      <c r="A1022" s="3">
        <v>41610</v>
      </c>
      <c r="B1022" s="132">
        <v>252126</v>
      </c>
      <c r="C1022" s="137">
        <v>13390</v>
      </c>
      <c r="D1022" s="136">
        <v>13460</v>
      </c>
      <c r="E1022" s="134">
        <f t="shared" ref="E1022:E1038" si="110">C1022-C1021</f>
        <v>-25</v>
      </c>
      <c r="H1022" s="135">
        <v>93650</v>
      </c>
    </row>
    <row r="1023" spans="1:8" ht="15" customHeight="1">
      <c r="A1023" s="3">
        <v>41611</v>
      </c>
      <c r="B1023" s="132">
        <v>252972</v>
      </c>
      <c r="C1023" s="137">
        <v>13350</v>
      </c>
      <c r="D1023" s="136">
        <v>13415</v>
      </c>
      <c r="E1023" s="134">
        <f t="shared" si="110"/>
        <v>-40</v>
      </c>
      <c r="H1023" s="135">
        <v>93500</v>
      </c>
    </row>
    <row r="1024" spans="1:8" ht="15" customHeight="1">
      <c r="A1024" s="3">
        <v>41612</v>
      </c>
      <c r="B1024" s="132">
        <v>252816</v>
      </c>
      <c r="C1024" s="137">
        <v>13525</v>
      </c>
      <c r="D1024" s="136">
        <v>13590</v>
      </c>
      <c r="E1024" s="134">
        <f t="shared" si="110"/>
        <v>175</v>
      </c>
      <c r="H1024" s="135">
        <v>93400</v>
      </c>
    </row>
    <row r="1025" spans="1:8" ht="15" customHeight="1">
      <c r="A1025" s="3">
        <v>41613</v>
      </c>
      <c r="B1025" s="132">
        <v>252636</v>
      </c>
      <c r="C1025" s="137">
        <v>13785</v>
      </c>
      <c r="D1025" s="136">
        <v>13850</v>
      </c>
      <c r="E1025" s="134">
        <f t="shared" si="110"/>
        <v>260</v>
      </c>
      <c r="H1025" s="135">
        <v>94500</v>
      </c>
    </row>
    <row r="1026" spans="1:8" ht="15" customHeight="1">
      <c r="A1026" s="3">
        <v>41614</v>
      </c>
      <c r="B1026" s="132">
        <v>253068</v>
      </c>
      <c r="C1026" s="137">
        <v>13740</v>
      </c>
      <c r="D1026" s="136">
        <v>13830</v>
      </c>
      <c r="E1026" s="134">
        <f t="shared" si="110"/>
        <v>-45</v>
      </c>
      <c r="H1026" s="135">
        <v>94800</v>
      </c>
    </row>
    <row r="1027" spans="1:8" ht="15" customHeight="1">
      <c r="A1027" s="3">
        <v>41617</v>
      </c>
      <c r="B1027" s="132">
        <v>253056</v>
      </c>
      <c r="C1027" s="137">
        <v>13835</v>
      </c>
      <c r="D1027" s="136">
        <v>13895</v>
      </c>
      <c r="E1027" s="134">
        <f t="shared" si="110"/>
        <v>95</v>
      </c>
      <c r="H1027" s="135">
        <v>94900</v>
      </c>
    </row>
    <row r="1028" spans="1:8" ht="15" customHeight="1">
      <c r="A1028" s="3">
        <v>41618</v>
      </c>
      <c r="B1028" s="132">
        <v>253836</v>
      </c>
      <c r="C1028" s="137">
        <v>14005</v>
      </c>
      <c r="D1028" s="136">
        <v>14075</v>
      </c>
      <c r="E1028" s="134">
        <f t="shared" si="110"/>
        <v>170</v>
      </c>
      <c r="H1028" s="135">
        <v>95700</v>
      </c>
    </row>
    <row r="1029" spans="1:8" ht="15" customHeight="1">
      <c r="A1029" s="3">
        <v>41619</v>
      </c>
      <c r="B1029" s="132">
        <v>253890</v>
      </c>
      <c r="C1029" s="137">
        <v>13930</v>
      </c>
      <c r="D1029" s="136">
        <v>14000</v>
      </c>
      <c r="E1029" s="134">
        <f t="shared" si="110"/>
        <v>-75</v>
      </c>
      <c r="H1029" s="135">
        <v>95700</v>
      </c>
    </row>
    <row r="1030" spans="1:8" ht="15" customHeight="1">
      <c r="A1030" s="3">
        <v>41620</v>
      </c>
      <c r="B1030" s="132">
        <v>255024</v>
      </c>
      <c r="C1030" s="137">
        <v>14005</v>
      </c>
      <c r="D1030" s="136">
        <v>14090</v>
      </c>
      <c r="E1030" s="134">
        <f t="shared" si="110"/>
        <v>75</v>
      </c>
      <c r="H1030" s="135">
        <v>96000</v>
      </c>
    </row>
    <row r="1031" spans="1:8" ht="15" customHeight="1">
      <c r="A1031" s="3">
        <v>41621</v>
      </c>
      <c r="B1031" s="132">
        <v>255054</v>
      </c>
      <c r="C1031" s="137">
        <v>13905</v>
      </c>
      <c r="D1031" s="136">
        <v>13960</v>
      </c>
      <c r="E1031" s="134">
        <f t="shared" si="110"/>
        <v>-100</v>
      </c>
      <c r="H1031" s="135">
        <v>95550</v>
      </c>
    </row>
    <row r="1032" spans="1:8" ht="15" customHeight="1">
      <c r="A1032" s="3">
        <v>41624</v>
      </c>
      <c r="B1032" s="132">
        <v>255354</v>
      </c>
      <c r="C1032" s="137">
        <v>14060</v>
      </c>
      <c r="D1032" s="136">
        <v>14140</v>
      </c>
      <c r="E1032" s="134">
        <f t="shared" si="110"/>
        <v>155</v>
      </c>
      <c r="H1032" s="135">
        <v>95550</v>
      </c>
    </row>
    <row r="1033" spans="1:8" ht="15" customHeight="1">
      <c r="A1033" s="3">
        <v>41625</v>
      </c>
      <c r="B1033" s="132">
        <v>255552</v>
      </c>
      <c r="C1033" s="137">
        <v>13920</v>
      </c>
      <c r="D1033" s="136">
        <v>13970</v>
      </c>
      <c r="E1033" s="134">
        <f t="shared" si="110"/>
        <v>-140</v>
      </c>
      <c r="H1033" s="135">
        <v>95650</v>
      </c>
    </row>
    <row r="1034" spans="1:8" ht="15" customHeight="1">
      <c r="A1034" s="3">
        <v>41626</v>
      </c>
      <c r="B1034" s="132">
        <v>255246</v>
      </c>
      <c r="C1034" s="137">
        <v>14035</v>
      </c>
      <c r="D1034" s="136">
        <v>14105</v>
      </c>
      <c r="E1034" s="134">
        <f t="shared" si="110"/>
        <v>115</v>
      </c>
      <c r="H1034" s="135">
        <v>95550</v>
      </c>
    </row>
    <row r="1035" spans="1:8" ht="15" customHeight="1">
      <c r="A1035" s="3">
        <v>41627</v>
      </c>
      <c r="B1035" s="132">
        <v>255120</v>
      </c>
      <c r="C1035" s="137">
        <v>14070</v>
      </c>
      <c r="D1035" s="136">
        <v>14150</v>
      </c>
      <c r="E1035" s="134">
        <f t="shared" si="110"/>
        <v>35</v>
      </c>
      <c r="H1035" s="135">
        <v>95500</v>
      </c>
    </row>
    <row r="1036" spans="1:8" ht="15" customHeight="1">
      <c r="A1036" s="3">
        <v>41628</v>
      </c>
      <c r="B1036" s="132">
        <v>255744</v>
      </c>
      <c r="C1036" s="137">
        <v>14215</v>
      </c>
      <c r="D1036" s="136">
        <v>14260</v>
      </c>
      <c r="E1036" s="134">
        <f t="shared" si="110"/>
        <v>145</v>
      </c>
      <c r="H1036" s="135">
        <v>95500</v>
      </c>
    </row>
    <row r="1037" spans="1:8" ht="15" customHeight="1">
      <c r="A1037" s="3">
        <v>41631</v>
      </c>
      <c r="B1037" s="132">
        <v>255906</v>
      </c>
      <c r="C1037" s="137">
        <v>14310</v>
      </c>
      <c r="D1037" s="136">
        <v>14410</v>
      </c>
      <c r="E1037" s="134">
        <f t="shared" si="110"/>
        <v>95</v>
      </c>
      <c r="H1037" s="135">
        <v>97100</v>
      </c>
    </row>
    <row r="1038" spans="1:8" ht="15" customHeight="1">
      <c r="A1038" s="3">
        <v>41632</v>
      </c>
      <c r="B1038" s="132">
        <v>258258</v>
      </c>
      <c r="C1038" s="137">
        <v>14050</v>
      </c>
      <c r="D1038" s="136">
        <v>14110</v>
      </c>
      <c r="E1038" s="134">
        <f t="shared" si="110"/>
        <v>-260</v>
      </c>
      <c r="H1038" s="135">
        <v>96350</v>
      </c>
    </row>
    <row r="1039" spans="1:8" ht="15" customHeight="1">
      <c r="A1039" s="3">
        <v>41633</v>
      </c>
      <c r="B1039" s="1084" t="s">
        <v>149</v>
      </c>
      <c r="C1039" s="1084"/>
      <c r="D1039" s="1084"/>
      <c r="E1039" s="1084"/>
      <c r="H1039" s="135">
        <v>96100</v>
      </c>
    </row>
    <row r="1040" spans="1:8" ht="15" customHeight="1">
      <c r="A1040" s="3">
        <v>41634</v>
      </c>
      <c r="B1040" s="1084"/>
      <c r="C1040" s="1084"/>
      <c r="D1040" s="1084"/>
      <c r="E1040" s="1084"/>
      <c r="H1040" s="135">
        <v>96100</v>
      </c>
    </row>
    <row r="1041" spans="1:8" ht="15" customHeight="1">
      <c r="A1041" s="3">
        <v>41635</v>
      </c>
      <c r="B1041" s="132">
        <v>258510</v>
      </c>
      <c r="C1041" s="137">
        <v>14175</v>
      </c>
      <c r="D1041" s="136">
        <v>14225</v>
      </c>
      <c r="E1041" s="134">
        <f t="shared" ref="E1041:E1080" si="111">C1041-C1040</f>
        <v>14175</v>
      </c>
      <c r="H1041" s="135">
        <v>96500</v>
      </c>
    </row>
    <row r="1042" spans="1:8" ht="15" customHeight="1">
      <c r="A1042" s="3">
        <v>41638</v>
      </c>
      <c r="B1042" s="132">
        <v>261300</v>
      </c>
      <c r="C1042" s="137">
        <v>14015</v>
      </c>
      <c r="D1042" s="136">
        <v>14070</v>
      </c>
      <c r="E1042" s="134">
        <f t="shared" si="111"/>
        <v>-160</v>
      </c>
      <c r="H1042" s="135">
        <v>96500</v>
      </c>
    </row>
    <row r="1043" spans="1:8" ht="15" customHeight="1" thickBot="1">
      <c r="A1043" s="470">
        <v>41639</v>
      </c>
      <c r="B1043" s="142">
        <v>261636</v>
      </c>
      <c r="C1043" s="143">
        <v>13970</v>
      </c>
      <c r="D1043" s="144">
        <v>14000</v>
      </c>
      <c r="E1043" s="233">
        <f t="shared" si="111"/>
        <v>-45</v>
      </c>
      <c r="F1043" s="459">
        <f>AVERAGE(C1022:C1043)</f>
        <v>13914.5</v>
      </c>
      <c r="G1043" s="460">
        <f>AVERAGE(C785:C1043)</f>
        <v>14993.492063492064</v>
      </c>
      <c r="H1043" s="151">
        <v>95900</v>
      </c>
    </row>
    <row r="1044" spans="1:8" ht="15" customHeight="1">
      <c r="A1044" s="469">
        <v>41641</v>
      </c>
      <c r="B1044" s="132">
        <v>261468</v>
      </c>
      <c r="C1044" s="137">
        <v>13905</v>
      </c>
      <c r="D1044" s="136">
        <v>13980</v>
      </c>
      <c r="E1044" s="134">
        <f t="shared" si="111"/>
        <v>-65</v>
      </c>
      <c r="H1044" s="135">
        <v>95750</v>
      </c>
    </row>
    <row r="1045" spans="1:8" ht="15" customHeight="1">
      <c r="A1045" s="472">
        <v>41642</v>
      </c>
      <c r="B1045" s="132">
        <v>260706</v>
      </c>
      <c r="C1045" s="137">
        <v>13870</v>
      </c>
      <c r="D1045" s="136">
        <v>13920</v>
      </c>
      <c r="E1045" s="134">
        <f t="shared" si="111"/>
        <v>-35</v>
      </c>
      <c r="H1045" s="135">
        <v>95150</v>
      </c>
    </row>
    <row r="1046" spans="1:8" ht="15" customHeight="1">
      <c r="A1046" s="473">
        <v>41645</v>
      </c>
      <c r="B1046" s="132">
        <v>260862</v>
      </c>
      <c r="C1046" s="137">
        <v>13570</v>
      </c>
      <c r="D1046" s="136">
        <v>13640</v>
      </c>
      <c r="E1046" s="134">
        <f t="shared" si="111"/>
        <v>-300</v>
      </c>
      <c r="H1046" s="135">
        <v>95000</v>
      </c>
    </row>
    <row r="1047" spans="1:8" ht="15" customHeight="1">
      <c r="A1047" s="476">
        <v>41646</v>
      </c>
      <c r="B1047" s="132">
        <v>260724</v>
      </c>
      <c r="C1047" s="137">
        <v>13480</v>
      </c>
      <c r="D1047" s="136">
        <v>13550</v>
      </c>
      <c r="E1047" s="134">
        <f t="shared" si="111"/>
        <v>-90</v>
      </c>
      <c r="H1047" s="135">
        <v>94000</v>
      </c>
    </row>
    <row r="1048" spans="1:8" ht="15" customHeight="1">
      <c r="A1048" s="477">
        <v>41647</v>
      </c>
      <c r="B1048" s="132">
        <v>260610</v>
      </c>
      <c r="C1048" s="137">
        <v>13445</v>
      </c>
      <c r="D1048" s="136">
        <v>13505</v>
      </c>
      <c r="E1048" s="134">
        <f t="shared" si="111"/>
        <v>-35</v>
      </c>
      <c r="H1048" s="135">
        <v>93500</v>
      </c>
    </row>
    <row r="1049" spans="1:8" ht="15" customHeight="1">
      <c r="A1049" s="480">
        <v>41648</v>
      </c>
      <c r="B1049" s="132">
        <v>261264</v>
      </c>
      <c r="C1049" s="137">
        <v>13365</v>
      </c>
      <c r="D1049" s="136">
        <v>13425</v>
      </c>
      <c r="E1049" s="134">
        <f t="shared" si="111"/>
        <v>-80</v>
      </c>
      <c r="H1049" s="135">
        <v>93550</v>
      </c>
    </row>
    <row r="1050" spans="1:8" ht="15" customHeight="1">
      <c r="A1050" s="483">
        <v>41649</v>
      </c>
      <c r="B1050" s="132">
        <v>261906</v>
      </c>
      <c r="C1050" s="137">
        <v>13680</v>
      </c>
      <c r="D1050" s="136">
        <v>13725</v>
      </c>
      <c r="E1050" s="134">
        <f t="shared" si="111"/>
        <v>315</v>
      </c>
      <c r="H1050" s="135">
        <v>92700</v>
      </c>
    </row>
    <row r="1051" spans="1:8" ht="15" customHeight="1">
      <c r="A1051" s="485">
        <v>41652</v>
      </c>
      <c r="B1051" s="132">
        <v>261648</v>
      </c>
      <c r="C1051" s="137">
        <v>13980</v>
      </c>
      <c r="D1051" s="136">
        <v>14050</v>
      </c>
      <c r="E1051" s="134">
        <f t="shared" si="111"/>
        <v>300</v>
      </c>
      <c r="H1051" s="135">
        <v>95500</v>
      </c>
    </row>
    <row r="1052" spans="1:8" ht="15" customHeight="1">
      <c r="A1052" s="486">
        <v>41653</v>
      </c>
      <c r="B1052" s="132">
        <v>261372</v>
      </c>
      <c r="C1052" s="137">
        <v>14285</v>
      </c>
      <c r="D1052" s="136">
        <v>14355</v>
      </c>
      <c r="E1052" s="134">
        <f t="shared" si="111"/>
        <v>305</v>
      </c>
      <c r="H1052" s="135">
        <v>95800</v>
      </c>
    </row>
    <row r="1053" spans="1:8" ht="15" customHeight="1">
      <c r="A1053" s="488">
        <v>41654</v>
      </c>
      <c r="B1053" s="132">
        <v>261900</v>
      </c>
      <c r="C1053" s="137">
        <v>14245</v>
      </c>
      <c r="D1053" s="136">
        <v>14300</v>
      </c>
      <c r="E1053" s="134">
        <f t="shared" si="111"/>
        <v>-40</v>
      </c>
      <c r="H1053" s="135">
        <v>96350</v>
      </c>
    </row>
    <row r="1054" spans="1:8" ht="15" customHeight="1">
      <c r="A1054" s="489">
        <v>41655</v>
      </c>
      <c r="B1054" s="132">
        <v>261246</v>
      </c>
      <c r="C1054" s="137">
        <v>14495</v>
      </c>
      <c r="D1054" s="136">
        <v>14565</v>
      </c>
      <c r="E1054" s="134">
        <f t="shared" si="111"/>
        <v>250</v>
      </c>
      <c r="H1054" s="135">
        <v>97200</v>
      </c>
    </row>
    <row r="1055" spans="1:8" ht="15" customHeight="1">
      <c r="A1055" s="493">
        <v>41656</v>
      </c>
      <c r="B1055" s="132">
        <v>260448</v>
      </c>
      <c r="C1055" s="137">
        <v>14595</v>
      </c>
      <c r="D1055" s="136">
        <v>14635</v>
      </c>
      <c r="E1055" s="134">
        <f t="shared" si="111"/>
        <v>100</v>
      </c>
      <c r="H1055" s="135">
        <v>97250</v>
      </c>
    </row>
    <row r="1056" spans="1:8" ht="15" customHeight="1">
      <c r="A1056" s="506">
        <v>41659</v>
      </c>
      <c r="B1056" s="132">
        <v>261264</v>
      </c>
      <c r="C1056" s="137">
        <v>14435</v>
      </c>
      <c r="D1056" s="136">
        <v>14480</v>
      </c>
      <c r="E1056" s="134">
        <f t="shared" si="111"/>
        <v>-160</v>
      </c>
      <c r="H1056" s="135">
        <v>96250</v>
      </c>
    </row>
    <row r="1057" spans="1:8" ht="15" customHeight="1">
      <c r="A1057" s="509">
        <v>41660</v>
      </c>
      <c r="B1057" s="132">
        <v>260832</v>
      </c>
      <c r="C1057" s="137">
        <v>14565</v>
      </c>
      <c r="D1057" s="136">
        <v>14630</v>
      </c>
      <c r="E1057" s="134">
        <f t="shared" si="111"/>
        <v>130</v>
      </c>
      <c r="H1057" s="135">
        <v>95950</v>
      </c>
    </row>
    <row r="1058" spans="1:8" ht="15" customHeight="1">
      <c r="A1058" s="511">
        <v>41661</v>
      </c>
      <c r="B1058" s="132">
        <v>260700</v>
      </c>
      <c r="C1058" s="137">
        <v>14645</v>
      </c>
      <c r="D1058" s="136">
        <v>14730</v>
      </c>
      <c r="E1058" s="134">
        <f t="shared" si="111"/>
        <v>80</v>
      </c>
      <c r="H1058" s="135">
        <v>96600</v>
      </c>
    </row>
    <row r="1059" spans="1:8" ht="15" customHeight="1">
      <c r="A1059" s="514">
        <v>41662</v>
      </c>
      <c r="B1059" s="132">
        <v>261396</v>
      </c>
      <c r="C1059" s="137">
        <v>14635</v>
      </c>
      <c r="D1059" s="136">
        <v>14720</v>
      </c>
      <c r="E1059" s="134">
        <f t="shared" si="111"/>
        <v>-10</v>
      </c>
      <c r="H1059" s="135">
        <v>96500</v>
      </c>
    </row>
    <row r="1060" spans="1:8" ht="15" customHeight="1">
      <c r="A1060" s="515">
        <v>41663</v>
      </c>
      <c r="B1060" s="132">
        <v>263898</v>
      </c>
      <c r="C1060" s="137">
        <v>14555</v>
      </c>
      <c r="D1060" s="136">
        <v>14620</v>
      </c>
      <c r="E1060" s="134">
        <f t="shared" si="111"/>
        <v>-80</v>
      </c>
      <c r="H1060" s="135">
        <v>95600</v>
      </c>
    </row>
    <row r="1061" spans="1:8" ht="15" customHeight="1">
      <c r="A1061" s="517">
        <v>41666</v>
      </c>
      <c r="B1061" s="132">
        <v>264090</v>
      </c>
      <c r="C1061" s="137">
        <v>14260</v>
      </c>
      <c r="D1061" s="136">
        <v>14325</v>
      </c>
      <c r="E1061" s="134">
        <f t="shared" si="111"/>
        <v>-295</v>
      </c>
      <c r="H1061" s="135">
        <v>95000</v>
      </c>
    </row>
    <row r="1062" spans="1:8" ht="15" customHeight="1">
      <c r="A1062" s="519">
        <v>41667</v>
      </c>
      <c r="B1062" s="132">
        <v>264288</v>
      </c>
      <c r="C1062" s="137">
        <v>14080</v>
      </c>
      <c r="D1062" s="136">
        <v>14160</v>
      </c>
      <c r="E1062" s="134">
        <f t="shared" si="111"/>
        <v>-180</v>
      </c>
      <c r="F1062" s="259"/>
      <c r="G1062" s="259"/>
      <c r="H1062" s="135">
        <v>94250</v>
      </c>
    </row>
    <row r="1063" spans="1:8" ht="15" customHeight="1">
      <c r="A1063" s="522">
        <v>41668</v>
      </c>
      <c r="B1063" s="132">
        <v>264432</v>
      </c>
      <c r="C1063" s="137">
        <v>14095</v>
      </c>
      <c r="D1063" s="136">
        <v>14165</v>
      </c>
      <c r="E1063" s="134">
        <f t="shared" si="111"/>
        <v>15</v>
      </c>
      <c r="F1063" s="259"/>
      <c r="G1063" s="259"/>
      <c r="H1063" s="135">
        <v>94500</v>
      </c>
    </row>
    <row r="1064" spans="1:8" ht="15" customHeight="1">
      <c r="A1064" s="522">
        <v>41669</v>
      </c>
      <c r="B1064" s="132">
        <v>266718</v>
      </c>
      <c r="C1064" s="137">
        <v>13860</v>
      </c>
      <c r="D1064" s="136">
        <v>13885</v>
      </c>
      <c r="E1064" s="134">
        <f t="shared" si="111"/>
        <v>-235</v>
      </c>
      <c r="F1064" s="259"/>
      <c r="G1064" s="259"/>
      <c r="H1064" s="135">
        <v>93800</v>
      </c>
    </row>
    <row r="1065" spans="1:8" ht="15" customHeight="1" thickBot="1">
      <c r="A1065" s="523">
        <v>41670</v>
      </c>
      <c r="B1065" s="142">
        <v>266538</v>
      </c>
      <c r="C1065" s="143">
        <v>13700</v>
      </c>
      <c r="D1065" s="144">
        <v>13745</v>
      </c>
      <c r="E1065" s="233">
        <f t="shared" si="111"/>
        <v>-160</v>
      </c>
      <c r="F1065" s="459">
        <f>AVERAGE(C1044:C1065)</f>
        <v>14079.318181818182</v>
      </c>
      <c r="G1065" s="460">
        <f>AVERAGE(C1044:C1065)</f>
        <v>14079.318181818182</v>
      </c>
      <c r="H1065" s="529" t="s">
        <v>165</v>
      </c>
    </row>
    <row r="1066" spans="1:8" ht="15" customHeight="1">
      <c r="A1066" s="526">
        <v>41673</v>
      </c>
      <c r="B1066" s="132">
        <v>265998</v>
      </c>
      <c r="C1066" s="137">
        <v>13830</v>
      </c>
      <c r="D1066" s="136">
        <v>13880</v>
      </c>
      <c r="E1066" s="134">
        <f t="shared" si="111"/>
        <v>130</v>
      </c>
      <c r="H1066" s="1088" t="s">
        <v>165</v>
      </c>
    </row>
    <row r="1067" spans="1:8" ht="15" customHeight="1">
      <c r="A1067" s="528">
        <v>41674</v>
      </c>
      <c r="B1067" s="132">
        <v>265872</v>
      </c>
      <c r="C1067" s="137">
        <v>13860</v>
      </c>
      <c r="D1067" s="136">
        <v>13950</v>
      </c>
      <c r="E1067" s="134">
        <f t="shared" si="111"/>
        <v>30</v>
      </c>
      <c r="H1067" s="1089"/>
    </row>
    <row r="1068" spans="1:8" ht="15" customHeight="1">
      <c r="A1068" s="531">
        <v>41675</v>
      </c>
      <c r="B1068" s="132">
        <v>265710</v>
      </c>
      <c r="C1068" s="137">
        <v>13840</v>
      </c>
      <c r="D1068" s="136">
        <v>13925</v>
      </c>
      <c r="E1068" s="134">
        <f t="shared" si="111"/>
        <v>-20</v>
      </c>
      <c r="H1068" s="1089"/>
    </row>
    <row r="1069" spans="1:8" ht="15" customHeight="1">
      <c r="A1069" s="534">
        <v>41676</v>
      </c>
      <c r="B1069" s="132">
        <v>265992</v>
      </c>
      <c r="C1069" s="137">
        <v>13820</v>
      </c>
      <c r="D1069" s="136">
        <v>13885</v>
      </c>
      <c r="E1069" s="134">
        <f t="shared" si="111"/>
        <v>-20</v>
      </c>
      <c r="H1069" s="1089"/>
    </row>
    <row r="1070" spans="1:8" ht="15" customHeight="1">
      <c r="A1070" s="536">
        <v>41677</v>
      </c>
      <c r="B1070" s="132">
        <v>266688</v>
      </c>
      <c r="C1070" s="137">
        <v>14105</v>
      </c>
      <c r="D1070" s="136">
        <v>14140</v>
      </c>
      <c r="E1070" s="134">
        <f t="shared" si="111"/>
        <v>285</v>
      </c>
      <c r="H1070" s="135">
        <v>95000</v>
      </c>
    </row>
    <row r="1071" spans="1:8" ht="15" customHeight="1">
      <c r="A1071" s="547">
        <v>41680</v>
      </c>
      <c r="B1071" s="132">
        <v>265686</v>
      </c>
      <c r="C1071" s="137">
        <v>14265</v>
      </c>
      <c r="D1071" s="136">
        <v>14305</v>
      </c>
      <c r="E1071" s="134">
        <f t="shared" si="111"/>
        <v>160</v>
      </c>
      <c r="H1071" s="135">
        <v>95500</v>
      </c>
    </row>
    <row r="1072" spans="1:8" ht="15" customHeight="1">
      <c r="A1072" s="549">
        <v>41681</v>
      </c>
      <c r="B1072" s="132">
        <v>267138</v>
      </c>
      <c r="C1072" s="137">
        <v>14120</v>
      </c>
      <c r="D1072" s="136">
        <v>14165</v>
      </c>
      <c r="E1072" s="134">
        <f t="shared" si="111"/>
        <v>-145</v>
      </c>
      <c r="H1072" s="135">
        <v>95000</v>
      </c>
    </row>
    <row r="1073" spans="1:8" ht="15" customHeight="1">
      <c r="A1073" s="551">
        <v>41682</v>
      </c>
      <c r="B1073" s="132">
        <v>268668</v>
      </c>
      <c r="C1073" s="137">
        <v>14270</v>
      </c>
      <c r="D1073" s="136">
        <v>14350</v>
      </c>
      <c r="E1073" s="134">
        <f t="shared" si="111"/>
        <v>150</v>
      </c>
      <c r="H1073" s="135">
        <v>95000</v>
      </c>
    </row>
    <row r="1074" spans="1:8" ht="15" customHeight="1">
      <c r="A1074" s="582">
        <v>41683</v>
      </c>
      <c r="B1074" s="591">
        <v>269256</v>
      </c>
      <c r="C1074" s="595">
        <v>14235</v>
      </c>
      <c r="D1074" s="594">
        <v>14280</v>
      </c>
      <c r="E1074" s="592">
        <f t="shared" si="111"/>
        <v>-35</v>
      </c>
      <c r="H1074" s="593">
        <v>95350</v>
      </c>
    </row>
    <row r="1075" spans="1:8" ht="15" customHeight="1">
      <c r="A1075" s="582">
        <v>41684</v>
      </c>
      <c r="B1075" s="591">
        <v>268980</v>
      </c>
      <c r="C1075" s="595">
        <v>14235</v>
      </c>
      <c r="D1075" s="594">
        <v>14265</v>
      </c>
      <c r="E1075" s="592">
        <f t="shared" si="111"/>
        <v>0</v>
      </c>
      <c r="H1075" s="135">
        <v>94700</v>
      </c>
    </row>
    <row r="1076" spans="1:8" ht="15" customHeight="1">
      <c r="A1076" s="582">
        <v>41687</v>
      </c>
      <c r="B1076" s="591">
        <v>268800</v>
      </c>
      <c r="C1076" s="595">
        <v>14340</v>
      </c>
      <c r="D1076" s="594">
        <v>14395</v>
      </c>
      <c r="E1076" s="592">
        <f t="shared" si="111"/>
        <v>105</v>
      </c>
      <c r="H1076" s="135">
        <v>95100</v>
      </c>
    </row>
    <row r="1077" spans="1:8" ht="15" customHeight="1">
      <c r="A1077" s="610">
        <v>41688</v>
      </c>
      <c r="B1077" s="591">
        <v>269388</v>
      </c>
      <c r="C1077" s="595">
        <v>14405</v>
      </c>
      <c r="D1077" s="594">
        <v>14455</v>
      </c>
      <c r="E1077" s="592">
        <f t="shared" si="111"/>
        <v>65</v>
      </c>
      <c r="H1077" s="135">
        <v>95000</v>
      </c>
    </row>
    <row r="1078" spans="1:8" ht="15" customHeight="1">
      <c r="A1078" s="611">
        <v>41689</v>
      </c>
      <c r="B1078" s="591">
        <v>269256</v>
      </c>
      <c r="C1078" s="595">
        <v>14475</v>
      </c>
      <c r="D1078" s="594">
        <v>14525</v>
      </c>
      <c r="E1078" s="592">
        <f t="shared" si="111"/>
        <v>70</v>
      </c>
      <c r="H1078" s="135">
        <v>95200</v>
      </c>
    </row>
    <row r="1079" spans="1:8" ht="15" customHeight="1">
      <c r="A1079" s="614">
        <v>41690</v>
      </c>
      <c r="B1079" s="591">
        <v>269214</v>
      </c>
      <c r="C1079" s="595">
        <v>14265</v>
      </c>
      <c r="D1079" s="594">
        <v>14305</v>
      </c>
      <c r="E1079" s="592">
        <f t="shared" si="111"/>
        <v>-210</v>
      </c>
      <c r="H1079" s="135">
        <v>94900</v>
      </c>
    </row>
    <row r="1080" spans="1:8" ht="15" customHeight="1">
      <c r="A1080" s="616">
        <v>41691</v>
      </c>
      <c r="B1080" s="591">
        <v>268710</v>
      </c>
      <c r="C1080" s="595">
        <v>14410</v>
      </c>
      <c r="D1080" s="594">
        <v>14450</v>
      </c>
      <c r="E1080" s="592">
        <f t="shared" si="111"/>
        <v>145</v>
      </c>
      <c r="H1080" s="135">
        <v>94700</v>
      </c>
    </row>
    <row r="1081" spans="1:8" ht="15" customHeight="1">
      <c r="A1081" s="617">
        <v>41694</v>
      </c>
      <c r="B1081" s="591">
        <v>268152</v>
      </c>
      <c r="C1081" s="595">
        <v>14160</v>
      </c>
      <c r="D1081" s="594">
        <v>14200</v>
      </c>
      <c r="E1081" s="592">
        <f t="shared" ref="E1081:E1119" si="112">C1081-C1080</f>
        <v>-250</v>
      </c>
      <c r="H1081" s="135">
        <v>93900</v>
      </c>
    </row>
    <row r="1082" spans="1:8" ht="15" customHeight="1">
      <c r="A1082" s="619">
        <v>41695</v>
      </c>
      <c r="B1082" s="132">
        <v>268458</v>
      </c>
      <c r="C1082" s="137">
        <v>14235</v>
      </c>
      <c r="D1082" s="136">
        <v>14245</v>
      </c>
      <c r="E1082" s="592">
        <f t="shared" si="112"/>
        <v>75</v>
      </c>
      <c r="H1082" s="135">
        <v>93800</v>
      </c>
    </row>
    <row r="1083" spans="1:8" ht="15" customHeight="1">
      <c r="A1083" s="621">
        <v>41696</v>
      </c>
      <c r="B1083" s="591">
        <v>270882</v>
      </c>
      <c r="C1083" s="595">
        <v>14285</v>
      </c>
      <c r="D1083" s="594">
        <v>14325</v>
      </c>
      <c r="E1083" s="592">
        <f t="shared" si="112"/>
        <v>50</v>
      </c>
      <c r="H1083" s="135">
        <v>93500</v>
      </c>
    </row>
    <row r="1084" spans="1:8" ht="15" customHeight="1">
      <c r="A1084" s="623">
        <v>41697</v>
      </c>
      <c r="B1084" s="591">
        <v>270696</v>
      </c>
      <c r="C1084" s="595">
        <v>14185</v>
      </c>
      <c r="D1084" s="594">
        <v>14215</v>
      </c>
      <c r="E1084" s="592">
        <f t="shared" si="112"/>
        <v>-100</v>
      </c>
      <c r="H1084" s="135">
        <v>93300</v>
      </c>
    </row>
    <row r="1085" spans="1:8" ht="15" customHeight="1" thickBot="1">
      <c r="A1085" s="624">
        <v>41698</v>
      </c>
      <c r="B1085" s="142">
        <v>270618</v>
      </c>
      <c r="C1085" s="143">
        <v>14550</v>
      </c>
      <c r="D1085" s="144">
        <v>14595</v>
      </c>
      <c r="E1085" s="233">
        <f t="shared" si="112"/>
        <v>365</v>
      </c>
      <c r="F1085" s="459">
        <f>AVERAGE(C1066:C1085)</f>
        <v>14194.5</v>
      </c>
      <c r="G1085" s="460">
        <f>AVERAGE(C1044:C1085)</f>
        <v>14134.166666666666</v>
      </c>
      <c r="H1085" s="151">
        <v>93500</v>
      </c>
    </row>
    <row r="1086" spans="1:8" ht="15" customHeight="1">
      <c r="A1086" s="634">
        <v>41701</v>
      </c>
      <c r="B1086" s="591">
        <v>271128</v>
      </c>
      <c r="C1086" s="595">
        <v>14510</v>
      </c>
      <c r="D1086" s="594">
        <v>14530</v>
      </c>
      <c r="E1086" s="161">
        <f t="shared" si="112"/>
        <v>-40</v>
      </c>
      <c r="H1086" s="135">
        <v>93900</v>
      </c>
    </row>
    <row r="1087" spans="1:8" ht="15" customHeight="1">
      <c r="A1087" s="637">
        <v>41702</v>
      </c>
      <c r="B1087" s="591">
        <v>270930</v>
      </c>
      <c r="C1087" s="595">
        <v>14830</v>
      </c>
      <c r="D1087" s="594">
        <v>14865</v>
      </c>
      <c r="E1087" s="161">
        <f t="shared" si="112"/>
        <v>320</v>
      </c>
      <c r="H1087" s="135">
        <v>93700</v>
      </c>
    </row>
    <row r="1088" spans="1:8" ht="15" customHeight="1">
      <c r="A1088" s="642">
        <v>41703</v>
      </c>
      <c r="B1088" s="591">
        <v>270366</v>
      </c>
      <c r="C1088" s="595">
        <v>15305</v>
      </c>
      <c r="D1088" s="594">
        <v>15335</v>
      </c>
      <c r="E1088" s="161">
        <f t="shared" si="112"/>
        <v>475</v>
      </c>
      <c r="H1088" s="135">
        <v>95500</v>
      </c>
    </row>
    <row r="1089" spans="1:8" ht="15" customHeight="1">
      <c r="A1089" s="643">
        <v>41704</v>
      </c>
      <c r="B1089" s="591">
        <v>269370</v>
      </c>
      <c r="C1089" s="595">
        <v>15455</v>
      </c>
      <c r="D1089" s="594">
        <v>15490</v>
      </c>
      <c r="E1089" s="161">
        <f t="shared" si="112"/>
        <v>150</v>
      </c>
      <c r="H1089" s="135">
        <v>94800</v>
      </c>
    </row>
    <row r="1090" spans="1:8" ht="15" customHeight="1">
      <c r="A1090" s="646">
        <v>41705</v>
      </c>
      <c r="B1090" s="591">
        <v>270624</v>
      </c>
      <c r="C1090" s="595">
        <v>15330</v>
      </c>
      <c r="D1090" s="594">
        <v>15340</v>
      </c>
      <c r="E1090" s="161">
        <f t="shared" si="112"/>
        <v>-125</v>
      </c>
      <c r="H1090" s="135">
        <v>95400</v>
      </c>
    </row>
    <row r="1091" spans="1:8" ht="15" customHeight="1">
      <c r="A1091" s="649">
        <v>41708</v>
      </c>
      <c r="B1091" s="591">
        <v>271200</v>
      </c>
      <c r="C1091" s="595">
        <v>15135</v>
      </c>
      <c r="D1091" s="594">
        <v>15170</v>
      </c>
      <c r="E1091" s="161">
        <f t="shared" si="112"/>
        <v>-195</v>
      </c>
      <c r="H1091" s="135">
        <v>94050</v>
      </c>
    </row>
    <row r="1092" spans="1:8" ht="15" customHeight="1">
      <c r="A1092" s="652">
        <v>41709</v>
      </c>
      <c r="B1092" s="591">
        <v>270714</v>
      </c>
      <c r="C1092" s="595">
        <v>15635</v>
      </c>
      <c r="D1092" s="594">
        <v>15675</v>
      </c>
      <c r="E1092" s="161">
        <f t="shared" si="112"/>
        <v>500</v>
      </c>
      <c r="H1092" s="135">
        <v>94400</v>
      </c>
    </row>
    <row r="1093" spans="1:8" ht="15" customHeight="1">
      <c r="A1093" s="654">
        <v>41710</v>
      </c>
      <c r="B1093" s="591">
        <v>269886</v>
      </c>
      <c r="C1093" s="595">
        <v>15670</v>
      </c>
      <c r="D1093" s="594">
        <v>15705</v>
      </c>
      <c r="E1093" s="161">
        <f t="shared" si="112"/>
        <v>35</v>
      </c>
      <c r="H1093" s="135">
        <v>94700</v>
      </c>
    </row>
    <row r="1094" spans="1:8" ht="15" customHeight="1">
      <c r="A1094" s="656">
        <v>41711</v>
      </c>
      <c r="B1094" s="591">
        <v>270636</v>
      </c>
      <c r="C1094" s="595">
        <v>15730</v>
      </c>
      <c r="D1094" s="594">
        <v>15775</v>
      </c>
      <c r="E1094" s="161">
        <f t="shared" si="112"/>
        <v>60</v>
      </c>
      <c r="H1094" s="135">
        <v>95800</v>
      </c>
    </row>
    <row r="1095" spans="1:8" ht="15" customHeight="1">
      <c r="A1095" s="658">
        <v>41712</v>
      </c>
      <c r="B1095" s="591">
        <v>271014</v>
      </c>
      <c r="C1095" s="595">
        <v>15805</v>
      </c>
      <c r="D1095" s="594">
        <v>15865</v>
      </c>
      <c r="E1095" s="161">
        <f t="shared" si="112"/>
        <v>75</v>
      </c>
      <c r="H1095" s="135">
        <v>95700</v>
      </c>
    </row>
    <row r="1096" spans="1:8" ht="15" customHeight="1">
      <c r="A1096" s="660">
        <v>41715</v>
      </c>
      <c r="B1096" s="591">
        <v>270810</v>
      </c>
      <c r="C1096" s="595">
        <v>15865</v>
      </c>
      <c r="D1096" s="594">
        <v>15960</v>
      </c>
      <c r="E1096" s="161">
        <f t="shared" si="112"/>
        <v>60</v>
      </c>
      <c r="H1096" s="135">
        <v>95800</v>
      </c>
    </row>
    <row r="1097" spans="1:8" ht="15" customHeight="1">
      <c r="A1097" s="662">
        <v>41716</v>
      </c>
      <c r="B1097" s="591">
        <v>270930</v>
      </c>
      <c r="C1097" s="595">
        <v>16075</v>
      </c>
      <c r="D1097" s="594">
        <v>16125</v>
      </c>
      <c r="E1097" s="161">
        <f t="shared" si="112"/>
        <v>210</v>
      </c>
      <c r="H1097" s="135">
        <v>96700</v>
      </c>
    </row>
    <row r="1098" spans="1:8" ht="15" customHeight="1">
      <c r="A1098" s="665">
        <v>41717</v>
      </c>
      <c r="B1098" s="591">
        <v>271296</v>
      </c>
      <c r="C1098" s="595">
        <v>16115</v>
      </c>
      <c r="D1098" s="594">
        <v>16145</v>
      </c>
      <c r="E1098" s="161">
        <f t="shared" si="112"/>
        <v>40</v>
      </c>
      <c r="H1098" s="135">
        <v>102500</v>
      </c>
    </row>
    <row r="1099" spans="1:8" ht="15" customHeight="1">
      <c r="A1099" s="668">
        <v>41718</v>
      </c>
      <c r="B1099" s="591">
        <v>283434</v>
      </c>
      <c r="C1099" s="595">
        <v>15910</v>
      </c>
      <c r="D1099" s="594">
        <v>15930</v>
      </c>
      <c r="E1099" s="161">
        <f t="shared" si="112"/>
        <v>-205</v>
      </c>
      <c r="H1099" s="135">
        <v>104700</v>
      </c>
    </row>
    <row r="1100" spans="1:8" ht="15" customHeight="1">
      <c r="A1100" s="670">
        <v>41719</v>
      </c>
      <c r="B1100" s="591">
        <v>283578</v>
      </c>
      <c r="C1100" s="595">
        <v>15990</v>
      </c>
      <c r="D1100" s="594">
        <v>16010</v>
      </c>
      <c r="E1100" s="161">
        <f t="shared" si="112"/>
        <v>80</v>
      </c>
      <c r="H1100" s="135">
        <v>101850</v>
      </c>
    </row>
    <row r="1101" spans="1:8" ht="15" customHeight="1">
      <c r="A1101" s="672">
        <v>41722</v>
      </c>
      <c r="B1101" s="591">
        <v>283524</v>
      </c>
      <c r="C1101" s="595">
        <v>16135</v>
      </c>
      <c r="D1101" s="594">
        <v>16170</v>
      </c>
      <c r="E1101" s="161">
        <f t="shared" si="112"/>
        <v>145</v>
      </c>
      <c r="H1101" s="135">
        <v>102550</v>
      </c>
    </row>
    <row r="1102" spans="1:8" ht="15" customHeight="1">
      <c r="A1102" s="675">
        <v>41723</v>
      </c>
      <c r="B1102" s="591">
        <v>283632</v>
      </c>
      <c r="C1102" s="595">
        <v>16225</v>
      </c>
      <c r="D1102" s="594">
        <v>16300</v>
      </c>
      <c r="E1102" s="161">
        <f t="shared" si="112"/>
        <v>90</v>
      </c>
      <c r="H1102" s="135">
        <v>102700</v>
      </c>
    </row>
    <row r="1103" spans="1:8" ht="15" customHeight="1">
      <c r="A1103" s="677">
        <v>41724</v>
      </c>
      <c r="B1103" s="591">
        <v>285210</v>
      </c>
      <c r="C1103" s="595">
        <v>15960</v>
      </c>
      <c r="D1103" s="594">
        <v>16050</v>
      </c>
      <c r="E1103" s="161">
        <f t="shared" si="112"/>
        <v>-265</v>
      </c>
      <c r="H1103" s="135">
        <v>102300</v>
      </c>
    </row>
    <row r="1104" spans="1:8" ht="15" customHeight="1">
      <c r="A1104" s="680">
        <v>41725</v>
      </c>
      <c r="B1104" s="132">
        <v>286674</v>
      </c>
      <c r="C1104" s="137">
        <v>15670</v>
      </c>
      <c r="D1104" s="136">
        <v>15710</v>
      </c>
      <c r="E1104" s="161">
        <f t="shared" si="112"/>
        <v>-290</v>
      </c>
      <c r="H1104" s="135">
        <v>101100</v>
      </c>
    </row>
    <row r="1105" spans="1:8" ht="15" customHeight="1">
      <c r="A1105" s="682">
        <v>41726</v>
      </c>
      <c r="B1105" s="591">
        <v>285462</v>
      </c>
      <c r="C1105" s="595">
        <v>15770</v>
      </c>
      <c r="D1105" s="594">
        <v>15805</v>
      </c>
      <c r="E1105" s="161">
        <f t="shared" si="112"/>
        <v>100</v>
      </c>
      <c r="H1105" s="135">
        <v>101200</v>
      </c>
    </row>
    <row r="1106" spans="1:8" ht="15" customHeight="1" thickBot="1">
      <c r="A1106" s="683">
        <v>41729</v>
      </c>
      <c r="B1106" s="142">
        <v>284694</v>
      </c>
      <c r="C1106" s="143">
        <v>15735</v>
      </c>
      <c r="D1106" s="144">
        <v>15770</v>
      </c>
      <c r="E1106" s="233">
        <f t="shared" si="112"/>
        <v>-35</v>
      </c>
      <c r="F1106" s="459">
        <f>AVERAGE(C1086:C1106)</f>
        <v>15659.761904761905</v>
      </c>
      <c r="G1106" s="460">
        <f>AVERAGE(C1044:C1106)</f>
        <v>14642.698412698413</v>
      </c>
      <c r="H1106" s="151">
        <v>102200</v>
      </c>
    </row>
    <row r="1107" spans="1:8" ht="15" customHeight="1">
      <c r="A1107" s="686">
        <v>41730</v>
      </c>
      <c r="B1107" s="591">
        <v>283956</v>
      </c>
      <c r="C1107" s="595">
        <v>15780</v>
      </c>
      <c r="D1107" s="594">
        <v>15830</v>
      </c>
      <c r="E1107" s="161">
        <f t="shared" si="112"/>
        <v>45</v>
      </c>
      <c r="H1107" s="135">
        <v>103100</v>
      </c>
    </row>
    <row r="1108" spans="1:8" ht="15" customHeight="1">
      <c r="A1108" s="688">
        <v>41731</v>
      </c>
      <c r="B1108" s="591">
        <v>283680</v>
      </c>
      <c r="C1108" s="595">
        <v>16130</v>
      </c>
      <c r="D1108" s="594">
        <v>16175</v>
      </c>
      <c r="E1108" s="161">
        <f t="shared" si="112"/>
        <v>350</v>
      </c>
      <c r="H1108" s="135">
        <v>104700</v>
      </c>
    </row>
    <row r="1109" spans="1:8" ht="15" customHeight="1">
      <c r="A1109" s="690">
        <v>41732</v>
      </c>
      <c r="B1109" s="591">
        <v>282936</v>
      </c>
      <c r="C1109" s="595">
        <v>16145</v>
      </c>
      <c r="D1109" s="594">
        <v>16200</v>
      </c>
      <c r="E1109" s="161">
        <f t="shared" si="112"/>
        <v>15</v>
      </c>
      <c r="H1109" s="135">
        <v>104400</v>
      </c>
    </row>
    <row r="1110" spans="1:8" ht="15" customHeight="1">
      <c r="A1110" s="691">
        <v>41733</v>
      </c>
      <c r="B1110" s="591">
        <v>281946</v>
      </c>
      <c r="C1110" s="595">
        <v>16515</v>
      </c>
      <c r="D1110" s="594">
        <v>16575</v>
      </c>
      <c r="E1110" s="161">
        <f t="shared" si="112"/>
        <v>370</v>
      </c>
      <c r="H1110" s="135">
        <v>105500</v>
      </c>
    </row>
    <row r="1111" spans="1:8" ht="15" customHeight="1" thickBot="1">
      <c r="A1111" s="694">
        <v>41736</v>
      </c>
      <c r="B1111" s="591">
        <v>281010</v>
      </c>
      <c r="C1111" s="595">
        <v>16470</v>
      </c>
      <c r="D1111" s="594">
        <v>16500</v>
      </c>
      <c r="E1111" s="161">
        <f t="shared" si="112"/>
        <v>-45</v>
      </c>
      <c r="H1111" s="529" t="s">
        <v>10</v>
      </c>
    </row>
    <row r="1112" spans="1:8" ht="15" customHeight="1">
      <c r="A1112" s="695">
        <v>41737</v>
      </c>
      <c r="B1112" s="591">
        <v>281598</v>
      </c>
      <c r="C1112" s="595">
        <v>16410</v>
      </c>
      <c r="D1112" s="594">
        <v>16445</v>
      </c>
      <c r="E1112" s="161">
        <f t="shared" si="112"/>
        <v>-60</v>
      </c>
      <c r="H1112" s="135">
        <v>108150</v>
      </c>
    </row>
    <row r="1113" spans="1:8" ht="15" customHeight="1">
      <c r="A1113" s="699">
        <v>41738</v>
      </c>
      <c r="B1113" s="591">
        <v>280002</v>
      </c>
      <c r="C1113" s="595">
        <v>16500</v>
      </c>
      <c r="D1113" s="594">
        <v>16505</v>
      </c>
      <c r="E1113" s="161">
        <f t="shared" si="112"/>
        <v>90</v>
      </c>
      <c r="H1113" s="135">
        <v>109200</v>
      </c>
    </row>
    <row r="1114" spans="1:8" ht="15" customHeight="1">
      <c r="A1114" s="703">
        <v>41739</v>
      </c>
      <c r="B1114" s="591">
        <v>278844</v>
      </c>
      <c r="C1114" s="595">
        <v>17050</v>
      </c>
      <c r="D1114" s="594">
        <v>17140</v>
      </c>
      <c r="E1114" s="161">
        <f t="shared" si="112"/>
        <v>550</v>
      </c>
      <c r="H1114" s="135">
        <v>115950</v>
      </c>
    </row>
    <row r="1115" spans="1:8" ht="15" customHeight="1">
      <c r="A1115" s="704">
        <v>41740</v>
      </c>
      <c r="B1115" s="591">
        <v>276936</v>
      </c>
      <c r="C1115" s="595">
        <v>17395</v>
      </c>
      <c r="D1115" s="594">
        <v>17445</v>
      </c>
      <c r="E1115" s="161">
        <f t="shared" si="112"/>
        <v>345</v>
      </c>
      <c r="H1115" s="135">
        <v>117850</v>
      </c>
    </row>
    <row r="1116" spans="1:8" ht="15" customHeight="1">
      <c r="A1116" s="706">
        <v>41743</v>
      </c>
      <c r="B1116" s="591">
        <v>279966</v>
      </c>
      <c r="C1116" s="595">
        <v>17735</v>
      </c>
      <c r="D1116" s="594">
        <v>17770</v>
      </c>
      <c r="E1116" s="161">
        <f t="shared" si="112"/>
        <v>340</v>
      </c>
      <c r="H1116" s="135">
        <v>121000</v>
      </c>
    </row>
    <row r="1117" spans="1:8" ht="15" customHeight="1">
      <c r="A1117" s="709">
        <v>41744</v>
      </c>
      <c r="B1117" s="591">
        <v>278514</v>
      </c>
      <c r="C1117" s="595">
        <v>17280</v>
      </c>
      <c r="D1117" s="594">
        <v>17350</v>
      </c>
      <c r="E1117" s="161">
        <f t="shared" si="112"/>
        <v>-455</v>
      </c>
      <c r="H1117" s="135">
        <v>122000</v>
      </c>
    </row>
    <row r="1118" spans="1:8" ht="15" customHeight="1">
      <c r="A1118" s="711">
        <v>41745</v>
      </c>
      <c r="B1118" s="591">
        <v>277248</v>
      </c>
      <c r="C1118" s="595">
        <v>17880</v>
      </c>
      <c r="D1118" s="594">
        <v>17940</v>
      </c>
      <c r="E1118" s="161">
        <f t="shared" si="112"/>
        <v>600</v>
      </c>
      <c r="H1118" s="135">
        <v>117200</v>
      </c>
    </row>
    <row r="1119" spans="1:8" ht="15" customHeight="1">
      <c r="A1119" s="713">
        <v>41746</v>
      </c>
      <c r="B1119" s="591">
        <v>277434</v>
      </c>
      <c r="C1119" s="595">
        <v>17985</v>
      </c>
      <c r="D1119" s="594">
        <v>18000</v>
      </c>
      <c r="E1119" s="161">
        <f t="shared" si="112"/>
        <v>105</v>
      </c>
      <c r="H1119" s="135">
        <v>121750</v>
      </c>
    </row>
    <row r="1120" spans="1:8" ht="15" customHeight="1">
      <c r="A1120" s="714">
        <v>41747</v>
      </c>
      <c r="C1120" s="1050" t="s">
        <v>175</v>
      </c>
      <c r="D1120" s="1050"/>
      <c r="H1120" s="135">
        <v>120000</v>
      </c>
    </row>
    <row r="1121" spans="1:8" ht="15" customHeight="1">
      <c r="A1121" s="715">
        <v>41750</v>
      </c>
      <c r="C1121" s="1050"/>
      <c r="D1121" s="1050"/>
      <c r="H1121" s="135">
        <v>120500</v>
      </c>
    </row>
    <row r="1122" spans="1:8" ht="15" customHeight="1">
      <c r="A1122" s="715">
        <v>41751</v>
      </c>
      <c r="B1122" s="132">
        <v>277716</v>
      </c>
      <c r="C1122" s="137">
        <v>18230</v>
      </c>
      <c r="D1122" s="136">
        <v>18300</v>
      </c>
      <c r="E1122" s="161">
        <f>C1122-C1119</f>
        <v>245</v>
      </c>
      <c r="H1122" s="135">
        <v>123000</v>
      </c>
    </row>
    <row r="1123" spans="1:8" ht="15" customHeight="1">
      <c r="A1123" s="715">
        <v>41752</v>
      </c>
      <c r="B1123" s="132">
        <v>276888</v>
      </c>
      <c r="C1123" s="137">
        <v>18120</v>
      </c>
      <c r="D1123" s="136">
        <v>18185</v>
      </c>
      <c r="E1123" s="161">
        <f t="shared" ref="E1123:E1130" si="113">C1123-C1122</f>
        <v>-110</v>
      </c>
      <c r="H1123" s="135">
        <v>127350</v>
      </c>
    </row>
    <row r="1124" spans="1:8" ht="15" customHeight="1">
      <c r="A1124" s="715">
        <v>41753</v>
      </c>
      <c r="B1124" s="132">
        <v>277056</v>
      </c>
      <c r="C1124" s="137">
        <v>18430</v>
      </c>
      <c r="D1124" s="136">
        <v>18470</v>
      </c>
      <c r="E1124" s="161">
        <f t="shared" si="113"/>
        <v>310</v>
      </c>
      <c r="H1124" s="135">
        <v>127100</v>
      </c>
    </row>
    <row r="1125" spans="1:8" ht="15" customHeight="1">
      <c r="A1125" s="717">
        <v>41754</v>
      </c>
      <c r="B1125" s="591">
        <v>277734</v>
      </c>
      <c r="C1125" s="595">
        <v>18465</v>
      </c>
      <c r="D1125" s="594">
        <v>18450</v>
      </c>
      <c r="E1125" s="161">
        <f t="shared" si="113"/>
        <v>35</v>
      </c>
      <c r="H1125" s="135">
        <v>123550</v>
      </c>
    </row>
    <row r="1126" spans="1:8" ht="15" customHeight="1">
      <c r="A1126" s="718">
        <v>41757</v>
      </c>
      <c r="B1126" s="591">
        <v>277638</v>
      </c>
      <c r="C1126" s="595">
        <v>18550</v>
      </c>
      <c r="D1126" s="594">
        <v>18585</v>
      </c>
      <c r="E1126" s="161">
        <f t="shared" si="113"/>
        <v>85</v>
      </c>
      <c r="H1126" s="135">
        <v>127250</v>
      </c>
    </row>
    <row r="1127" spans="1:8" ht="15" customHeight="1">
      <c r="A1127" s="721">
        <v>41758</v>
      </c>
      <c r="B1127" s="591">
        <v>277056</v>
      </c>
      <c r="C1127" s="595">
        <v>18230</v>
      </c>
      <c r="D1127" s="594">
        <v>18325</v>
      </c>
      <c r="E1127" s="161">
        <f t="shared" si="113"/>
        <v>-320</v>
      </c>
      <c r="H1127" s="135">
        <v>124350</v>
      </c>
    </row>
    <row r="1128" spans="1:8" ht="15" customHeight="1" thickBot="1">
      <c r="A1128" s="724">
        <v>41759</v>
      </c>
      <c r="B1128" s="142">
        <v>276846</v>
      </c>
      <c r="C1128" s="143">
        <v>18200</v>
      </c>
      <c r="D1128" s="144">
        <v>18255</v>
      </c>
      <c r="E1128" s="233">
        <f t="shared" si="113"/>
        <v>-30</v>
      </c>
      <c r="F1128" s="459">
        <f>AVERAGE(C1107:C1128)</f>
        <v>17375</v>
      </c>
      <c r="G1128" s="460">
        <f>AVERAGE(C1044:C1128)</f>
        <v>15301.084337349397</v>
      </c>
      <c r="H1128" s="151">
        <v>124150</v>
      </c>
    </row>
    <row r="1129" spans="1:8" ht="15" customHeight="1">
      <c r="A1129" s="723">
        <v>41760</v>
      </c>
      <c r="B1129" s="591">
        <v>279876</v>
      </c>
      <c r="C1129" s="595">
        <v>18070</v>
      </c>
      <c r="D1129" s="594">
        <v>18070</v>
      </c>
      <c r="E1129" s="161">
        <f t="shared" si="113"/>
        <v>-130</v>
      </c>
    </row>
    <row r="1130" spans="1:8" ht="15" customHeight="1">
      <c r="A1130" s="727">
        <v>41761</v>
      </c>
      <c r="B1130" s="591">
        <v>279528</v>
      </c>
      <c r="C1130" s="595">
        <v>18200</v>
      </c>
      <c r="D1130" s="594">
        <v>18230</v>
      </c>
      <c r="E1130" s="161">
        <f t="shared" si="113"/>
        <v>130</v>
      </c>
    </row>
    <row r="1131" spans="1:8" ht="15" customHeight="1">
      <c r="A1131" s="727">
        <v>41764</v>
      </c>
      <c r="B1131" s="591"/>
      <c r="C1131" s="595"/>
      <c r="D1131" s="26" t="s">
        <v>146</v>
      </c>
      <c r="E1131" s="161"/>
      <c r="F1131" s="592"/>
      <c r="G1131" s="592"/>
      <c r="H1131" s="593">
        <v>124950</v>
      </c>
    </row>
    <row r="1132" spans="1:8" ht="15" customHeight="1">
      <c r="A1132" s="727">
        <v>41765</v>
      </c>
      <c r="B1132" s="591">
        <v>279516</v>
      </c>
      <c r="C1132" s="595">
        <v>18460</v>
      </c>
      <c r="D1132" s="594">
        <v>18525</v>
      </c>
      <c r="E1132" s="161">
        <f>C1132-C1130</f>
        <v>260</v>
      </c>
      <c r="H1132" s="135">
        <v>126850</v>
      </c>
    </row>
    <row r="1133" spans="1:8" ht="15" customHeight="1">
      <c r="A1133" s="730">
        <v>41766</v>
      </c>
      <c r="B1133" s="591">
        <v>278436</v>
      </c>
      <c r="C1133" s="595">
        <v>18580</v>
      </c>
      <c r="D1133" s="594">
        <v>18625</v>
      </c>
      <c r="E1133" s="161">
        <f>C1133-C1132</f>
        <v>120</v>
      </c>
      <c r="H1133" s="135">
        <v>128500</v>
      </c>
    </row>
    <row r="1134" spans="1:8" ht="15" customHeight="1">
      <c r="A1134" s="734">
        <v>41767</v>
      </c>
      <c r="B1134" s="591">
        <v>277968</v>
      </c>
      <c r="C1134" s="595">
        <v>19390</v>
      </c>
      <c r="D1134" s="594">
        <v>19410</v>
      </c>
      <c r="E1134" s="161">
        <f>C1134-C1133</f>
        <v>810</v>
      </c>
      <c r="H1134" s="135">
        <v>131250</v>
      </c>
    </row>
    <row r="1135" spans="1:8" ht="15" customHeight="1">
      <c r="A1135" s="736">
        <v>41768</v>
      </c>
      <c r="B1135" s="591">
        <v>278130</v>
      </c>
      <c r="C1135" s="595">
        <v>20105</v>
      </c>
      <c r="D1135" s="594">
        <v>20130</v>
      </c>
      <c r="E1135" s="161">
        <f>C1135-C1134</f>
        <v>715</v>
      </c>
      <c r="H1135" s="135">
        <v>144000</v>
      </c>
    </row>
    <row r="1136" spans="1:8" ht="15" customHeight="1">
      <c r="A1136" s="738">
        <v>41771</v>
      </c>
      <c r="B1136" s="591">
        <v>278772</v>
      </c>
      <c r="C1136" s="595">
        <v>20850</v>
      </c>
      <c r="D1136" s="594">
        <v>20850</v>
      </c>
      <c r="E1136" s="161">
        <f>C1136-C1135</f>
        <v>745</v>
      </c>
      <c r="H1136" s="135">
        <v>147200</v>
      </c>
    </row>
    <row r="1137" spans="1:8" ht="15" customHeight="1">
      <c r="A1137" s="739">
        <v>41772</v>
      </c>
      <c r="B1137" s="132">
        <v>278994</v>
      </c>
      <c r="C1137" s="137">
        <v>21200</v>
      </c>
      <c r="D1137" s="136">
        <v>21100</v>
      </c>
      <c r="E1137" s="161">
        <f>C1137-C1136</f>
        <v>350</v>
      </c>
      <c r="H1137" s="135">
        <v>152250</v>
      </c>
    </row>
    <row r="1138" spans="1:8" ht="15" customHeight="1">
      <c r="A1138" s="752">
        <v>41773</v>
      </c>
      <c r="B1138" s="132">
        <v>278868</v>
      </c>
      <c r="C1138" s="137">
        <v>20650</v>
      </c>
      <c r="D1138" s="136">
        <v>20725</v>
      </c>
      <c r="E1138" s="161">
        <f t="shared" ref="E1138:E1145" si="114">C1138-C1137</f>
        <v>-550</v>
      </c>
      <c r="H1138" s="135">
        <v>145750</v>
      </c>
    </row>
    <row r="1139" spans="1:8" ht="15" customHeight="1">
      <c r="A1139" s="753">
        <v>41774</v>
      </c>
      <c r="B1139" s="132">
        <v>279336</v>
      </c>
      <c r="C1139" s="137">
        <v>18750</v>
      </c>
      <c r="D1139" s="136">
        <v>18650</v>
      </c>
      <c r="E1139" s="161">
        <f t="shared" si="114"/>
        <v>-1900</v>
      </c>
      <c r="H1139" s="135">
        <v>129750</v>
      </c>
    </row>
    <row r="1140" spans="1:8" ht="15" customHeight="1">
      <c r="A1140" s="756">
        <v>41775</v>
      </c>
      <c r="B1140" s="591">
        <v>279816</v>
      </c>
      <c r="C1140" s="595">
        <v>19155</v>
      </c>
      <c r="D1140" s="594">
        <v>19200</v>
      </c>
      <c r="E1140" s="161">
        <f t="shared" si="114"/>
        <v>405</v>
      </c>
      <c r="H1140" s="135">
        <v>133250</v>
      </c>
    </row>
    <row r="1141" spans="1:8" ht="15" customHeight="1">
      <c r="A1141" s="756">
        <v>41778</v>
      </c>
      <c r="B1141" s="591">
        <v>279816</v>
      </c>
      <c r="C1141" s="595">
        <v>19785</v>
      </c>
      <c r="D1141" s="594">
        <v>19790</v>
      </c>
      <c r="E1141" s="161">
        <f t="shared" si="114"/>
        <v>630</v>
      </c>
      <c r="H1141" s="135">
        <v>136250</v>
      </c>
    </row>
    <row r="1142" spans="1:8" ht="15" customHeight="1">
      <c r="A1142" s="758">
        <v>41779</v>
      </c>
      <c r="B1142" s="591">
        <v>279138</v>
      </c>
      <c r="C1142" s="595">
        <v>19680</v>
      </c>
      <c r="D1142" s="594">
        <v>19650</v>
      </c>
      <c r="E1142" s="161">
        <f t="shared" si="114"/>
        <v>-105</v>
      </c>
      <c r="H1142" s="135">
        <v>140250</v>
      </c>
    </row>
    <row r="1143" spans="1:8" ht="15" customHeight="1">
      <c r="A1143" s="760">
        <v>41780</v>
      </c>
      <c r="B1143" s="591">
        <v>280020</v>
      </c>
      <c r="C1143" s="595">
        <v>19405</v>
      </c>
      <c r="D1143" s="594">
        <v>19475</v>
      </c>
      <c r="E1143" s="161">
        <f t="shared" si="114"/>
        <v>-275</v>
      </c>
      <c r="H1143" s="135">
        <v>136800</v>
      </c>
    </row>
    <row r="1144" spans="1:8" ht="15" customHeight="1">
      <c r="A1144" s="762">
        <v>41781</v>
      </c>
      <c r="B1144" s="591">
        <v>279672</v>
      </c>
      <c r="C1144" s="595">
        <v>19670</v>
      </c>
      <c r="D1144" s="594">
        <v>19660</v>
      </c>
      <c r="E1144" s="161">
        <f t="shared" si="114"/>
        <v>265</v>
      </c>
      <c r="H1144" s="135">
        <v>138750</v>
      </c>
    </row>
    <row r="1145" spans="1:8" ht="15" customHeight="1">
      <c r="A1145" s="764">
        <v>41782</v>
      </c>
      <c r="B1145" s="591">
        <v>280404</v>
      </c>
      <c r="C1145" s="595">
        <v>19620</v>
      </c>
      <c r="D1145" s="594">
        <v>19625</v>
      </c>
      <c r="E1145" s="161">
        <f t="shared" si="114"/>
        <v>-50</v>
      </c>
      <c r="H1145" s="135">
        <v>138850</v>
      </c>
    </row>
    <row r="1146" spans="1:8" ht="15" customHeight="1">
      <c r="A1146" s="765">
        <v>41785</v>
      </c>
      <c r="D1146" s="26" t="s">
        <v>146</v>
      </c>
      <c r="H1146" s="135">
        <v>137750</v>
      </c>
    </row>
    <row r="1147" spans="1:8" ht="15" customHeight="1">
      <c r="A1147" s="767">
        <v>41786</v>
      </c>
      <c r="B1147" s="591">
        <v>280308</v>
      </c>
      <c r="C1147" s="595">
        <v>19650</v>
      </c>
      <c r="D1147" s="594">
        <v>19660</v>
      </c>
      <c r="E1147" s="161">
        <f>C1147-C1145</f>
        <v>30</v>
      </c>
      <c r="H1147" s="135">
        <v>137750</v>
      </c>
    </row>
    <row r="1148" spans="1:8" ht="15" customHeight="1">
      <c r="A1148" s="769">
        <v>41787</v>
      </c>
      <c r="B1148" s="591">
        <v>280524</v>
      </c>
      <c r="C1148" s="595">
        <v>19515</v>
      </c>
      <c r="D1148" s="594">
        <v>19500</v>
      </c>
      <c r="E1148" s="161">
        <f t="shared" ref="E1148:E1159" si="115">C1148-C1147</f>
        <v>-135</v>
      </c>
      <c r="H1148" s="135">
        <v>137400</v>
      </c>
    </row>
    <row r="1149" spans="1:8" ht="15" customHeight="1">
      <c r="A1149" s="771">
        <v>41788</v>
      </c>
      <c r="B1149" s="591">
        <v>283662</v>
      </c>
      <c r="C1149" s="595">
        <v>18750</v>
      </c>
      <c r="D1149" s="594">
        <v>18825</v>
      </c>
      <c r="E1149" s="161">
        <f t="shared" si="115"/>
        <v>-765</v>
      </c>
      <c r="H1149" s="135">
        <v>132750</v>
      </c>
    </row>
    <row r="1150" spans="1:8" ht="15" customHeight="1" thickBot="1">
      <c r="A1150" s="774">
        <v>41789</v>
      </c>
      <c r="B1150" s="142">
        <v>284436</v>
      </c>
      <c r="C1150" s="143">
        <v>19310</v>
      </c>
      <c r="D1150" s="144">
        <v>19280</v>
      </c>
      <c r="E1150" s="233">
        <f t="shared" si="115"/>
        <v>560</v>
      </c>
      <c r="F1150" s="459">
        <f>AVERAGE(C1129:C1150)</f>
        <v>19439.75</v>
      </c>
      <c r="G1150" s="460">
        <f>AVERAGE(C1044:C1150)</f>
        <v>16104.708737864077</v>
      </c>
      <c r="H1150" s="151">
        <v>132950</v>
      </c>
    </row>
    <row r="1151" spans="1:8" ht="15" customHeight="1" thickBot="1">
      <c r="A1151" s="776">
        <v>41792</v>
      </c>
      <c r="B1151" s="591">
        <v>284112</v>
      </c>
      <c r="C1151" s="595">
        <v>19405</v>
      </c>
      <c r="D1151" s="594">
        <v>2115</v>
      </c>
      <c r="E1151" s="161">
        <f t="shared" si="115"/>
        <v>95</v>
      </c>
      <c r="H1151" s="529" t="s">
        <v>10</v>
      </c>
    </row>
    <row r="1152" spans="1:8" ht="15" customHeight="1">
      <c r="A1152" s="778">
        <v>41793</v>
      </c>
      <c r="B1152" s="591">
        <v>283986</v>
      </c>
      <c r="C1152" s="595">
        <v>19005</v>
      </c>
      <c r="D1152" s="594">
        <v>19105</v>
      </c>
      <c r="E1152" s="161">
        <f t="shared" si="115"/>
        <v>-400</v>
      </c>
      <c r="H1152" s="135">
        <v>135250</v>
      </c>
    </row>
    <row r="1153" spans="1:8" ht="15" customHeight="1">
      <c r="A1153" s="778">
        <v>41794</v>
      </c>
      <c r="B1153" s="591">
        <v>283752</v>
      </c>
      <c r="C1153" s="595">
        <v>18950</v>
      </c>
      <c r="D1153" s="594">
        <v>18970</v>
      </c>
      <c r="E1153" s="161">
        <f t="shared" si="115"/>
        <v>-55</v>
      </c>
      <c r="H1153" s="135">
        <v>132800</v>
      </c>
    </row>
    <row r="1154" spans="1:8" ht="15" customHeight="1">
      <c r="A1154" s="781">
        <v>41795</v>
      </c>
      <c r="B1154" s="591">
        <v>284316</v>
      </c>
      <c r="C1154" s="595">
        <v>19005</v>
      </c>
      <c r="D1154" s="594">
        <v>19100</v>
      </c>
      <c r="E1154" s="161">
        <f t="shared" si="115"/>
        <v>55</v>
      </c>
      <c r="H1154" s="135">
        <v>133450</v>
      </c>
    </row>
    <row r="1155" spans="1:8" ht="15" customHeight="1">
      <c r="A1155" s="781">
        <v>41796</v>
      </c>
      <c r="B1155" s="591">
        <v>283992</v>
      </c>
      <c r="C1155" s="595">
        <v>18465</v>
      </c>
      <c r="D1155" s="594">
        <v>18520</v>
      </c>
      <c r="E1155" s="161">
        <f t="shared" si="115"/>
        <v>-540</v>
      </c>
      <c r="H1155" s="135">
        <v>133950</v>
      </c>
    </row>
    <row r="1156" spans="1:8" ht="15" customHeight="1">
      <c r="A1156" s="783">
        <v>41799</v>
      </c>
      <c r="B1156" s="591">
        <v>284712</v>
      </c>
      <c r="C1156" s="595">
        <v>18760</v>
      </c>
      <c r="D1156" s="594">
        <v>18835</v>
      </c>
      <c r="E1156" s="161">
        <f t="shared" si="115"/>
        <v>295</v>
      </c>
      <c r="H1156" s="135">
        <v>132250</v>
      </c>
    </row>
    <row r="1157" spans="1:8" ht="15" customHeight="1">
      <c r="A1157" s="785">
        <v>41800</v>
      </c>
      <c r="B1157" s="591">
        <v>286626</v>
      </c>
      <c r="C1157" s="595">
        <v>18455</v>
      </c>
      <c r="D1157" s="594">
        <v>18550</v>
      </c>
      <c r="E1157" s="161">
        <f t="shared" si="115"/>
        <v>-305</v>
      </c>
      <c r="H1157" s="135">
        <v>131850</v>
      </c>
    </row>
    <row r="1158" spans="1:8" ht="15" customHeight="1">
      <c r="A1158" s="787">
        <v>41801</v>
      </c>
      <c r="B1158" s="591">
        <v>286752</v>
      </c>
      <c r="C1158" s="595">
        <v>18350</v>
      </c>
      <c r="D1158" s="594">
        <v>18425</v>
      </c>
      <c r="E1158" s="161">
        <f t="shared" si="115"/>
        <v>-105</v>
      </c>
      <c r="H1158" s="135">
        <v>129750</v>
      </c>
    </row>
    <row r="1159" spans="1:8" ht="15" customHeight="1">
      <c r="A1159" s="789">
        <v>41802</v>
      </c>
      <c r="B1159" s="591">
        <v>286482</v>
      </c>
      <c r="C1159" s="595">
        <v>18030</v>
      </c>
      <c r="D1159" s="594">
        <v>18100</v>
      </c>
      <c r="E1159" s="161">
        <f t="shared" si="115"/>
        <v>-320</v>
      </c>
      <c r="H1159" s="135">
        <v>126850</v>
      </c>
    </row>
    <row r="1160" spans="1:8" ht="15" customHeight="1">
      <c r="A1160" s="790">
        <v>41803</v>
      </c>
      <c r="B1160" s="132">
        <v>286710</v>
      </c>
      <c r="C1160" s="595">
        <v>17950</v>
      </c>
      <c r="D1160" s="136">
        <v>18100</v>
      </c>
      <c r="E1160" s="161">
        <f t="shared" ref="E1160:E1166" si="116">C1160-C1159</f>
        <v>-80</v>
      </c>
      <c r="H1160" s="135">
        <v>127700</v>
      </c>
    </row>
    <row r="1161" spans="1:8" ht="15" customHeight="1">
      <c r="A1161" s="791">
        <v>41806</v>
      </c>
      <c r="B1161" s="132">
        <v>286668</v>
      </c>
      <c r="C1161" s="137">
        <v>18315</v>
      </c>
      <c r="D1161" s="136">
        <v>18400</v>
      </c>
      <c r="E1161" s="161">
        <f t="shared" si="116"/>
        <v>365</v>
      </c>
      <c r="H1161" s="135">
        <v>126750</v>
      </c>
    </row>
    <row r="1162" spans="1:8" ht="15" customHeight="1">
      <c r="A1162" s="792">
        <v>41807</v>
      </c>
      <c r="B1162" s="132">
        <v>286728</v>
      </c>
      <c r="C1162" s="137">
        <v>18930</v>
      </c>
      <c r="D1162" s="136">
        <v>19050</v>
      </c>
      <c r="E1162" s="161">
        <f t="shared" si="116"/>
        <v>615</v>
      </c>
      <c r="H1162" s="135">
        <v>128950</v>
      </c>
    </row>
    <row r="1163" spans="1:8" ht="15" customHeight="1">
      <c r="A1163" s="793">
        <v>41808</v>
      </c>
      <c r="B1163" s="132">
        <v>305970</v>
      </c>
      <c r="C1163" s="137">
        <v>18660</v>
      </c>
      <c r="D1163" s="136">
        <v>18730</v>
      </c>
      <c r="E1163" s="161">
        <f t="shared" si="116"/>
        <v>-270</v>
      </c>
      <c r="H1163" s="135">
        <v>131600</v>
      </c>
    </row>
    <row r="1164" spans="1:8" ht="15" customHeight="1">
      <c r="A1164" s="794">
        <v>41809</v>
      </c>
      <c r="B1164" s="132">
        <v>305352</v>
      </c>
      <c r="C1164" s="137">
        <v>18460</v>
      </c>
      <c r="D1164" s="136">
        <v>18510</v>
      </c>
      <c r="E1164" s="161">
        <f t="shared" si="116"/>
        <v>-200</v>
      </c>
      <c r="H1164" s="135">
        <v>126000</v>
      </c>
    </row>
    <row r="1165" spans="1:8" ht="15" customHeight="1">
      <c r="A1165" s="795">
        <v>41810</v>
      </c>
      <c r="B1165" s="132">
        <v>305310</v>
      </c>
      <c r="C1165" s="137">
        <v>18350</v>
      </c>
      <c r="D1165" s="136">
        <v>18480</v>
      </c>
      <c r="E1165" s="161">
        <f t="shared" si="116"/>
        <v>-110</v>
      </c>
      <c r="H1165" s="135">
        <v>127500</v>
      </c>
    </row>
    <row r="1166" spans="1:8" ht="15" customHeight="1">
      <c r="A1166" s="803">
        <v>41813</v>
      </c>
      <c r="B1166" s="132">
        <v>304602</v>
      </c>
      <c r="C1166" s="137">
        <v>18420</v>
      </c>
      <c r="D1166" s="136">
        <v>18525</v>
      </c>
      <c r="E1166" s="161">
        <f t="shared" si="116"/>
        <v>70</v>
      </c>
      <c r="H1166" s="135">
        <v>127300</v>
      </c>
    </row>
    <row r="1167" spans="1:8" ht="15" customHeight="1">
      <c r="A1167" s="804">
        <v>41814</v>
      </c>
      <c r="B1167" s="132">
        <v>305388</v>
      </c>
      <c r="C1167" s="137">
        <v>18150</v>
      </c>
      <c r="D1167" s="136">
        <v>18270</v>
      </c>
      <c r="E1167" s="161">
        <f t="shared" ref="E1167:E1176" si="117">C1167-C1166</f>
        <v>-270</v>
      </c>
      <c r="H1167" s="135">
        <v>126500</v>
      </c>
    </row>
    <row r="1168" spans="1:8" ht="15" customHeight="1">
      <c r="A1168" s="805">
        <v>41815</v>
      </c>
      <c r="B1168" s="132">
        <v>305862</v>
      </c>
      <c r="C1168" s="137">
        <v>18280</v>
      </c>
      <c r="D1168" s="136">
        <v>18355</v>
      </c>
      <c r="E1168" s="161">
        <f t="shared" si="117"/>
        <v>130</v>
      </c>
      <c r="H1168" s="135">
        <v>124250</v>
      </c>
    </row>
    <row r="1169" spans="1:9" ht="15" customHeight="1">
      <c r="A1169" s="806">
        <v>41816</v>
      </c>
      <c r="B1169" s="132">
        <v>305556</v>
      </c>
      <c r="C1169" s="137">
        <v>18625</v>
      </c>
      <c r="D1169" s="136">
        <v>18720</v>
      </c>
      <c r="E1169" s="161">
        <f t="shared" si="117"/>
        <v>345</v>
      </c>
      <c r="H1169" s="135">
        <v>126400</v>
      </c>
    </row>
    <row r="1170" spans="1:9" ht="15" customHeight="1">
      <c r="A1170" s="807">
        <v>41817</v>
      </c>
      <c r="B1170" s="132">
        <v>305790</v>
      </c>
      <c r="C1170" s="137">
        <v>18765</v>
      </c>
      <c r="D1170" s="136">
        <v>18850</v>
      </c>
      <c r="E1170" s="161">
        <f t="shared" si="117"/>
        <v>140</v>
      </c>
      <c r="H1170" s="135">
        <v>127400</v>
      </c>
    </row>
    <row r="1171" spans="1:9" ht="15" customHeight="1" thickBot="1">
      <c r="A1171" s="809">
        <v>41820</v>
      </c>
      <c r="B1171" s="142">
        <v>304890</v>
      </c>
      <c r="C1171" s="143">
        <v>18715</v>
      </c>
      <c r="D1171" s="144">
        <v>18800</v>
      </c>
      <c r="E1171" s="233">
        <f t="shared" si="117"/>
        <v>-50</v>
      </c>
      <c r="F1171" s="459">
        <f>AVERAGE(C1151:C1171)</f>
        <v>18573.571428571428</v>
      </c>
      <c r="G1171" s="460">
        <f>AVERAGE(C1044:C1171)</f>
        <v>16522.822580645163</v>
      </c>
      <c r="H1171" s="151">
        <v>127450</v>
      </c>
    </row>
    <row r="1172" spans="1:9" ht="15" customHeight="1">
      <c r="A1172" s="838">
        <v>41821</v>
      </c>
      <c r="B1172" s="152">
        <v>305256</v>
      </c>
      <c r="C1172" s="153">
        <v>18850</v>
      </c>
      <c r="D1172" s="154">
        <v>18930</v>
      </c>
      <c r="E1172" s="155">
        <f t="shared" si="117"/>
        <v>135</v>
      </c>
      <c r="F1172" s="155"/>
      <c r="G1172" s="155"/>
      <c r="H1172" s="156">
        <v>130150</v>
      </c>
      <c r="I1172" s="848"/>
    </row>
    <row r="1173" spans="1:9" ht="15" customHeight="1">
      <c r="A1173" s="842">
        <v>41822</v>
      </c>
      <c r="B1173" s="129">
        <v>305394</v>
      </c>
      <c r="C1173" s="140">
        <v>19080</v>
      </c>
      <c r="D1173" s="138">
        <v>19175</v>
      </c>
      <c r="E1173" s="161">
        <f t="shared" si="117"/>
        <v>230</v>
      </c>
      <c r="F1173" s="161"/>
      <c r="G1173" s="161"/>
      <c r="H1173" s="162">
        <v>131000</v>
      </c>
      <c r="I1173" s="848"/>
    </row>
    <row r="1174" spans="1:9" ht="15" customHeight="1">
      <c r="A1174" s="842">
        <v>41823</v>
      </c>
      <c r="B1174" s="129">
        <v>304938</v>
      </c>
      <c r="C1174" s="140">
        <v>19795</v>
      </c>
      <c r="D1174" s="138">
        <v>19850</v>
      </c>
      <c r="E1174" s="161">
        <f t="shared" si="117"/>
        <v>715</v>
      </c>
      <c r="F1174" s="161"/>
      <c r="G1174" s="161"/>
      <c r="H1174" s="162">
        <v>134750</v>
      </c>
      <c r="I1174" s="848"/>
    </row>
    <row r="1175" spans="1:9" ht="15" customHeight="1">
      <c r="A1175" s="842">
        <v>41824</v>
      </c>
      <c r="B1175" s="129">
        <v>304536</v>
      </c>
      <c r="C1175" s="140">
        <v>19385</v>
      </c>
      <c r="D1175" s="138">
        <v>19475</v>
      </c>
      <c r="E1175" s="161">
        <f t="shared" si="117"/>
        <v>-410</v>
      </c>
      <c r="F1175" s="161"/>
      <c r="G1175" s="161"/>
      <c r="H1175" s="162">
        <v>133750</v>
      </c>
      <c r="I1175" s="848"/>
    </row>
    <row r="1176" spans="1:9" ht="15" customHeight="1">
      <c r="A1176" s="842">
        <v>41827</v>
      </c>
      <c r="B1176" s="129">
        <v>305394</v>
      </c>
      <c r="C1176" s="140">
        <v>19180</v>
      </c>
      <c r="D1176" s="138">
        <v>19300</v>
      </c>
      <c r="E1176" s="161">
        <f t="shared" si="117"/>
        <v>-205</v>
      </c>
      <c r="F1176" s="161"/>
      <c r="G1176" s="161"/>
      <c r="H1176" s="162">
        <v>130250</v>
      </c>
      <c r="I1176" s="848"/>
    </row>
    <row r="1177" spans="1:9" ht="15" customHeight="1">
      <c r="A1177" s="842">
        <v>41828</v>
      </c>
      <c r="B1177" s="129">
        <v>305280</v>
      </c>
      <c r="C1177" s="140">
        <v>19440</v>
      </c>
      <c r="D1177" s="138">
        <v>19550</v>
      </c>
      <c r="E1177" s="161">
        <f t="shared" ref="E1177:E1183" si="118">C1177-C1176</f>
        <v>260</v>
      </c>
      <c r="F1177" s="161"/>
      <c r="G1177" s="161"/>
      <c r="H1177" s="162">
        <v>130500</v>
      </c>
      <c r="I1177" s="848"/>
    </row>
    <row r="1178" spans="1:9" ht="15" customHeight="1">
      <c r="A1178" s="842">
        <v>41829</v>
      </c>
      <c r="B1178" s="129">
        <v>306828</v>
      </c>
      <c r="C1178" s="140">
        <v>19515</v>
      </c>
      <c r="D1178" s="138">
        <v>19625</v>
      </c>
      <c r="E1178" s="161">
        <f t="shared" si="118"/>
        <v>75</v>
      </c>
      <c r="F1178" s="161"/>
      <c r="G1178" s="161"/>
      <c r="H1178" s="162">
        <v>133000</v>
      </c>
      <c r="I1178" s="848"/>
    </row>
    <row r="1179" spans="1:9" ht="15" customHeight="1">
      <c r="A1179" s="842">
        <v>41830</v>
      </c>
      <c r="B1179" s="129">
        <v>307410</v>
      </c>
      <c r="C1179" s="140">
        <v>18975</v>
      </c>
      <c r="D1179" s="138">
        <v>19050</v>
      </c>
      <c r="E1179" s="161">
        <f t="shared" si="118"/>
        <v>-540</v>
      </c>
      <c r="F1179" s="161"/>
      <c r="G1179" s="161"/>
      <c r="H1179" s="162">
        <v>130750</v>
      </c>
      <c r="I1179" s="848"/>
    </row>
    <row r="1180" spans="1:9" ht="15" customHeight="1">
      <c r="A1180" s="842">
        <v>41831</v>
      </c>
      <c r="B1180" s="129">
        <v>307350</v>
      </c>
      <c r="C1180" s="140">
        <v>19065</v>
      </c>
      <c r="D1180" s="138">
        <v>19160</v>
      </c>
      <c r="E1180" s="161">
        <f t="shared" si="118"/>
        <v>90</v>
      </c>
      <c r="F1180" s="161"/>
      <c r="G1180" s="161"/>
      <c r="H1180" s="162">
        <v>131800</v>
      </c>
      <c r="I1180" s="848"/>
    </row>
    <row r="1181" spans="1:9" ht="15" customHeight="1">
      <c r="A1181" s="842">
        <v>41834</v>
      </c>
      <c r="B1181" s="129">
        <v>307710</v>
      </c>
      <c r="C1181" s="140">
        <v>19210</v>
      </c>
      <c r="D1181" s="138">
        <v>19325</v>
      </c>
      <c r="E1181" s="161">
        <f t="shared" si="118"/>
        <v>145</v>
      </c>
      <c r="F1181" s="161"/>
      <c r="G1181" s="161"/>
      <c r="H1181" s="162">
        <v>132000</v>
      </c>
      <c r="I1181" s="848"/>
    </row>
    <row r="1182" spans="1:9" ht="15" customHeight="1">
      <c r="A1182" s="842">
        <v>41835</v>
      </c>
      <c r="B1182" s="129">
        <v>308322</v>
      </c>
      <c r="C1182" s="140">
        <v>19260</v>
      </c>
      <c r="D1182" s="138">
        <v>19330</v>
      </c>
      <c r="E1182" s="161">
        <f t="shared" si="118"/>
        <v>50</v>
      </c>
      <c r="F1182" s="161"/>
      <c r="G1182" s="161"/>
      <c r="H1182" s="162">
        <v>131700</v>
      </c>
      <c r="I1182" s="848"/>
    </row>
    <row r="1183" spans="1:9" ht="15" customHeight="1">
      <c r="A1183" s="842">
        <v>41836</v>
      </c>
      <c r="B1183" s="129">
        <v>308418</v>
      </c>
      <c r="C1183" s="140">
        <v>19200</v>
      </c>
      <c r="D1183" s="138">
        <v>19300</v>
      </c>
      <c r="E1183" s="161">
        <f t="shared" si="118"/>
        <v>-60</v>
      </c>
      <c r="F1183" s="161"/>
      <c r="G1183" s="161"/>
      <c r="H1183" s="162">
        <v>131700</v>
      </c>
      <c r="I1183" s="848"/>
    </row>
    <row r="1184" spans="1:9" ht="15" customHeight="1">
      <c r="A1184" s="842">
        <v>41837</v>
      </c>
      <c r="B1184" s="129">
        <v>310782</v>
      </c>
      <c r="C1184" s="140">
        <v>19080</v>
      </c>
      <c r="D1184" s="138">
        <v>19175</v>
      </c>
      <c r="E1184" s="161">
        <f t="shared" ref="E1184:E1205" si="119">C1184-C1183</f>
        <v>-120</v>
      </c>
      <c r="F1184" s="161"/>
      <c r="G1184" s="161"/>
      <c r="H1184" s="162">
        <v>131300</v>
      </c>
      <c r="I1184" s="848"/>
    </row>
    <row r="1185" spans="1:9" ht="15" customHeight="1">
      <c r="A1185" s="842">
        <v>41838</v>
      </c>
      <c r="B1185" s="129">
        <v>311088</v>
      </c>
      <c r="C1185" s="140">
        <v>18505</v>
      </c>
      <c r="D1185" s="138">
        <v>18610</v>
      </c>
      <c r="E1185" s="161">
        <f t="shared" si="119"/>
        <v>-575</v>
      </c>
      <c r="F1185" s="161"/>
      <c r="G1185" s="161"/>
      <c r="H1185" s="162">
        <v>131200</v>
      </c>
      <c r="I1185" s="848"/>
    </row>
    <row r="1186" spans="1:9" ht="15" customHeight="1">
      <c r="A1186" s="842">
        <v>41841</v>
      </c>
      <c r="B1186" s="129">
        <v>311064</v>
      </c>
      <c r="C1186" s="140">
        <v>18725</v>
      </c>
      <c r="D1186" s="138">
        <v>18900</v>
      </c>
      <c r="E1186" s="161">
        <f t="shared" si="119"/>
        <v>220</v>
      </c>
      <c r="F1186" s="161"/>
      <c r="G1186" s="161"/>
      <c r="H1186" s="162">
        <v>126800</v>
      </c>
      <c r="I1186" s="848"/>
    </row>
    <row r="1187" spans="1:9" ht="15" customHeight="1">
      <c r="A1187" s="842">
        <v>41842</v>
      </c>
      <c r="B1187" s="129">
        <v>311214</v>
      </c>
      <c r="C1187" s="140">
        <v>18925</v>
      </c>
      <c r="D1187" s="138">
        <v>19000</v>
      </c>
      <c r="E1187" s="161">
        <f t="shared" si="119"/>
        <v>200</v>
      </c>
      <c r="F1187" s="161"/>
      <c r="G1187" s="161"/>
      <c r="H1187" s="162">
        <v>129150</v>
      </c>
      <c r="I1187" s="848"/>
    </row>
    <row r="1188" spans="1:9" ht="15" customHeight="1">
      <c r="A1188" s="842">
        <v>41843</v>
      </c>
      <c r="B1188" s="129">
        <v>310716</v>
      </c>
      <c r="C1188" s="140">
        <v>18960</v>
      </c>
      <c r="D1188" s="138">
        <v>19065</v>
      </c>
      <c r="E1188" s="161">
        <f t="shared" si="119"/>
        <v>35</v>
      </c>
      <c r="F1188" s="161"/>
      <c r="G1188" s="161"/>
      <c r="H1188" s="162">
        <v>129150</v>
      </c>
      <c r="I1188" s="848"/>
    </row>
    <row r="1189" spans="1:9" ht="15" customHeight="1">
      <c r="A1189" s="842">
        <v>41844</v>
      </c>
      <c r="B1189" s="129">
        <v>311964</v>
      </c>
      <c r="C1189" s="140">
        <v>19080</v>
      </c>
      <c r="D1189" s="138">
        <v>19175</v>
      </c>
      <c r="E1189" s="161">
        <f t="shared" si="119"/>
        <v>120</v>
      </c>
      <c r="F1189" s="161"/>
      <c r="G1189" s="161"/>
      <c r="H1189" s="162">
        <v>129700</v>
      </c>
      <c r="I1189" s="848"/>
    </row>
    <row r="1190" spans="1:9" ht="15" customHeight="1">
      <c r="A1190" s="842">
        <v>41845</v>
      </c>
      <c r="B1190" s="129">
        <v>312156</v>
      </c>
      <c r="C1190" s="140">
        <v>19160</v>
      </c>
      <c r="D1190" s="138">
        <v>19230</v>
      </c>
      <c r="E1190" s="161">
        <f t="shared" si="119"/>
        <v>80</v>
      </c>
      <c r="F1190" s="161"/>
      <c r="G1190" s="161"/>
      <c r="H1190" s="162">
        <v>130150</v>
      </c>
      <c r="I1190" s="848"/>
    </row>
    <row r="1191" spans="1:9" ht="15" customHeight="1">
      <c r="A1191" s="842">
        <v>41848</v>
      </c>
      <c r="B1191" s="129">
        <v>311802</v>
      </c>
      <c r="C1191" s="140">
        <v>18800</v>
      </c>
      <c r="D1191" s="138">
        <v>18850</v>
      </c>
      <c r="E1191" s="161">
        <f t="shared" si="119"/>
        <v>-360</v>
      </c>
      <c r="F1191" s="161"/>
      <c r="G1191" s="161"/>
      <c r="H1191" s="162">
        <v>131300</v>
      </c>
      <c r="I1191" s="848"/>
    </row>
    <row r="1192" spans="1:9" ht="15" customHeight="1">
      <c r="A1192" s="842">
        <v>41849</v>
      </c>
      <c r="B1192" s="129">
        <v>312720</v>
      </c>
      <c r="C1192" s="140">
        <v>18525</v>
      </c>
      <c r="D1192" s="138">
        <v>18595</v>
      </c>
      <c r="E1192" s="161">
        <f t="shared" si="119"/>
        <v>-275</v>
      </c>
      <c r="F1192" s="161"/>
      <c r="G1192" s="161"/>
      <c r="H1192" s="162">
        <v>129600</v>
      </c>
      <c r="I1192" s="848"/>
    </row>
    <row r="1193" spans="1:9" ht="15" customHeight="1">
      <c r="A1193" s="842">
        <v>41850</v>
      </c>
      <c r="B1193" s="129">
        <v>314400</v>
      </c>
      <c r="C1193" s="140">
        <v>18680</v>
      </c>
      <c r="D1193" s="138">
        <v>18825</v>
      </c>
      <c r="E1193" s="161">
        <f t="shared" si="119"/>
        <v>155</v>
      </c>
      <c r="F1193" s="161"/>
      <c r="G1193" s="161"/>
      <c r="H1193" s="162">
        <v>129400</v>
      </c>
      <c r="I1193" s="848"/>
    </row>
    <row r="1194" spans="1:9" ht="15" customHeight="1" thickBot="1">
      <c r="A1194" s="843">
        <v>41851</v>
      </c>
      <c r="B1194" s="142">
        <v>315798</v>
      </c>
      <c r="C1194" s="143">
        <v>18765</v>
      </c>
      <c r="D1194" s="144">
        <v>18800</v>
      </c>
      <c r="E1194" s="233">
        <f t="shared" si="119"/>
        <v>85</v>
      </c>
      <c r="F1194" s="459">
        <f>AVERAGE(C1172:C1194)</f>
        <v>19050.434782608696</v>
      </c>
      <c r="G1194" s="460">
        <f>AVERAGE(C1044:C1194)</f>
        <v>16918.299319727892</v>
      </c>
      <c r="H1194" s="151">
        <v>130300</v>
      </c>
      <c r="I1194" s="848"/>
    </row>
    <row r="1195" spans="1:9" ht="15" customHeight="1">
      <c r="A1195" s="842">
        <v>41852</v>
      </c>
      <c r="B1195" s="132">
        <v>317628</v>
      </c>
      <c r="C1195" s="137">
        <v>18280</v>
      </c>
      <c r="D1195" s="136">
        <v>18375</v>
      </c>
      <c r="E1195" s="161">
        <f t="shared" si="119"/>
        <v>-485</v>
      </c>
      <c r="H1195" s="135">
        <v>129100</v>
      </c>
      <c r="I1195" s="848"/>
    </row>
    <row r="1196" spans="1:9" ht="15" customHeight="1">
      <c r="A1196" s="842">
        <v>41855</v>
      </c>
      <c r="B1196" s="132">
        <v>317544</v>
      </c>
      <c r="C1196" s="137">
        <v>18375</v>
      </c>
      <c r="D1196" s="136">
        <v>18500</v>
      </c>
      <c r="E1196" s="161">
        <f t="shared" si="119"/>
        <v>95</v>
      </c>
      <c r="H1196" s="135">
        <v>128700</v>
      </c>
      <c r="I1196" s="848"/>
    </row>
    <row r="1197" spans="1:9" ht="15" customHeight="1">
      <c r="A1197" s="842">
        <v>41856</v>
      </c>
      <c r="B1197" s="132">
        <v>317772</v>
      </c>
      <c r="C1197" s="595">
        <v>18490</v>
      </c>
      <c r="D1197" s="136">
        <v>18575</v>
      </c>
      <c r="E1197" s="161">
        <f t="shared" si="119"/>
        <v>115</v>
      </c>
      <c r="H1197" s="135">
        <v>129100</v>
      </c>
    </row>
    <row r="1198" spans="1:9" ht="15" customHeight="1">
      <c r="A1198" s="842">
        <v>41857</v>
      </c>
      <c r="B1198" s="132">
        <v>317874</v>
      </c>
      <c r="C1198" s="137">
        <v>18275</v>
      </c>
      <c r="D1198" s="136">
        <v>18400</v>
      </c>
      <c r="E1198" s="161">
        <f t="shared" si="119"/>
        <v>-215</v>
      </c>
      <c r="H1198" s="135">
        <v>128700</v>
      </c>
    </row>
    <row r="1199" spans="1:9" ht="15" customHeight="1">
      <c r="A1199" s="842">
        <v>41858</v>
      </c>
      <c r="B1199" s="132">
        <v>318114</v>
      </c>
      <c r="C1199" s="137">
        <v>18860</v>
      </c>
      <c r="D1199" s="136">
        <v>18980</v>
      </c>
      <c r="E1199" s="161">
        <f t="shared" si="119"/>
        <v>585</v>
      </c>
      <c r="H1199" s="135">
        <v>129500</v>
      </c>
    </row>
    <row r="1200" spans="1:9" ht="15" customHeight="1">
      <c r="A1200" s="842">
        <v>41859</v>
      </c>
      <c r="B1200" s="132">
        <v>318798</v>
      </c>
      <c r="C1200" s="137">
        <v>18620</v>
      </c>
      <c r="D1200" s="136">
        <v>18680</v>
      </c>
      <c r="E1200" s="161">
        <f t="shared" si="119"/>
        <v>-240</v>
      </c>
      <c r="H1200" s="135">
        <v>130250</v>
      </c>
    </row>
    <row r="1201" spans="1:8" ht="15" customHeight="1">
      <c r="A1201" s="842">
        <v>41862</v>
      </c>
      <c r="B1201" s="132">
        <v>318750</v>
      </c>
      <c r="C1201" s="137">
        <v>18495</v>
      </c>
      <c r="D1201" s="136">
        <v>18575</v>
      </c>
      <c r="E1201" s="161">
        <f t="shared" si="119"/>
        <v>-125</v>
      </c>
      <c r="H1201" s="135">
        <v>129450</v>
      </c>
    </row>
    <row r="1202" spans="1:8" ht="15" customHeight="1">
      <c r="A1202" s="842">
        <v>41863</v>
      </c>
      <c r="B1202" s="132">
        <v>319590</v>
      </c>
      <c r="C1202" s="137">
        <v>18850</v>
      </c>
      <c r="D1202" s="136">
        <v>18955</v>
      </c>
      <c r="E1202" s="161">
        <f t="shared" si="119"/>
        <v>355</v>
      </c>
      <c r="H1202" s="135">
        <v>129500</v>
      </c>
    </row>
    <row r="1203" spans="1:8" ht="15" customHeight="1">
      <c r="A1203" s="842">
        <v>41864</v>
      </c>
      <c r="B1203" s="132">
        <v>320448</v>
      </c>
      <c r="C1203" s="137">
        <v>18580</v>
      </c>
      <c r="D1203" s="136">
        <v>18700</v>
      </c>
      <c r="E1203" s="161">
        <f t="shared" si="119"/>
        <v>-270</v>
      </c>
      <c r="H1203" s="135">
        <v>130050</v>
      </c>
    </row>
    <row r="1204" spans="1:8" ht="15" customHeight="1">
      <c r="A1204" s="842">
        <v>41865</v>
      </c>
      <c r="B1204" s="132">
        <v>320754</v>
      </c>
      <c r="C1204" s="137">
        <v>18535</v>
      </c>
      <c r="D1204" s="136">
        <v>18625</v>
      </c>
      <c r="E1204" s="161">
        <f t="shared" si="119"/>
        <v>-45</v>
      </c>
      <c r="H1204" s="135">
        <v>129750</v>
      </c>
    </row>
    <row r="1205" spans="1:8" ht="15" customHeight="1">
      <c r="A1205" s="842">
        <v>41866</v>
      </c>
      <c r="B1205" s="132">
        <v>322728</v>
      </c>
      <c r="C1205" s="137">
        <v>18505</v>
      </c>
      <c r="D1205" s="136">
        <v>18555</v>
      </c>
      <c r="E1205" s="161">
        <f t="shared" si="119"/>
        <v>-30</v>
      </c>
      <c r="H1205" s="135">
        <v>129850</v>
      </c>
    </row>
    <row r="1206" spans="1:8" ht="15" customHeight="1">
      <c r="A1206" s="842">
        <v>41869</v>
      </c>
      <c r="B1206" s="132">
        <v>324984</v>
      </c>
      <c r="C1206" s="137">
        <v>18420</v>
      </c>
      <c r="D1206" s="136">
        <v>18475</v>
      </c>
      <c r="E1206" s="161">
        <f>C1206-C1205</f>
        <v>-85</v>
      </c>
      <c r="H1206" s="135">
        <v>129950</v>
      </c>
    </row>
    <row r="1207" spans="1:8" ht="15" customHeight="1">
      <c r="A1207" s="842">
        <v>41870</v>
      </c>
      <c r="B1207" s="132">
        <v>324678</v>
      </c>
      <c r="C1207" s="137">
        <v>18550</v>
      </c>
      <c r="D1207" s="136">
        <v>18585</v>
      </c>
      <c r="E1207" s="161">
        <f>C1207-C1206</f>
        <v>130</v>
      </c>
      <c r="H1207" s="135">
        <v>129400</v>
      </c>
    </row>
    <row r="1208" spans="1:8" ht="15" customHeight="1">
      <c r="A1208" s="842">
        <v>41871</v>
      </c>
      <c r="B1208" s="132">
        <v>324840</v>
      </c>
      <c r="C1208" s="137">
        <v>18780</v>
      </c>
      <c r="D1208" s="136">
        <v>18875</v>
      </c>
      <c r="E1208" s="161">
        <f>C1208-C1207</f>
        <v>230</v>
      </c>
      <c r="H1208" s="135">
        <v>129600</v>
      </c>
    </row>
    <row r="1209" spans="1:8" ht="15" customHeight="1">
      <c r="A1209" s="842">
        <v>41872</v>
      </c>
      <c r="B1209" s="132">
        <v>324714</v>
      </c>
      <c r="C1209" s="137">
        <v>18730</v>
      </c>
      <c r="D1209" s="136">
        <v>18870</v>
      </c>
      <c r="E1209" s="161">
        <f>C1209-C1208</f>
        <v>-50</v>
      </c>
      <c r="H1209" s="135">
        <v>130400</v>
      </c>
    </row>
    <row r="1210" spans="1:8" ht="15" customHeight="1">
      <c r="A1210" s="842">
        <v>41873</v>
      </c>
      <c r="B1210" s="132">
        <v>325788</v>
      </c>
      <c r="C1210" s="137">
        <v>18625</v>
      </c>
      <c r="D1210" s="136">
        <v>18725</v>
      </c>
      <c r="E1210" s="161">
        <f>C1210-C1209</f>
        <v>-105</v>
      </c>
      <c r="H1210" s="135">
        <v>130500</v>
      </c>
    </row>
    <row r="1211" spans="1:8" ht="15" customHeight="1">
      <c r="A1211" s="842">
        <v>41876</v>
      </c>
      <c r="B1211" s="1084" t="s">
        <v>181</v>
      </c>
      <c r="C1211" s="1084"/>
      <c r="D1211" s="1084"/>
      <c r="E1211" s="1084"/>
      <c r="F1211" s="259"/>
      <c r="G1211" s="259"/>
      <c r="H1211" s="135">
        <v>130000</v>
      </c>
    </row>
    <row r="1212" spans="1:8" ht="15" customHeight="1">
      <c r="A1212" s="842">
        <v>41877</v>
      </c>
      <c r="B1212" s="132">
        <v>326220</v>
      </c>
      <c r="C1212" s="137">
        <v>18805</v>
      </c>
      <c r="D1212" s="136">
        <v>18890</v>
      </c>
      <c r="E1212" s="592">
        <f>C1212-C1210</f>
        <v>180</v>
      </c>
      <c r="H1212" s="135">
        <v>130200</v>
      </c>
    </row>
    <row r="1213" spans="1:8" ht="15" customHeight="1">
      <c r="A1213" s="842">
        <v>41878</v>
      </c>
      <c r="B1213" s="591">
        <v>326466</v>
      </c>
      <c r="C1213" s="595">
        <v>18635</v>
      </c>
      <c r="D1213" s="594">
        <v>18730</v>
      </c>
      <c r="E1213" s="592">
        <f t="shared" ref="E1213:E1219" si="120">C1213-C1212</f>
        <v>-170</v>
      </c>
      <c r="H1213" s="135">
        <v>130400</v>
      </c>
    </row>
    <row r="1214" spans="1:8" ht="15" customHeight="1">
      <c r="A1214" s="842">
        <v>41879</v>
      </c>
      <c r="B1214" s="591">
        <v>326922</v>
      </c>
      <c r="C1214" s="595">
        <v>18650</v>
      </c>
      <c r="D1214" s="594">
        <v>18755</v>
      </c>
      <c r="E1214" s="592">
        <f t="shared" si="120"/>
        <v>15</v>
      </c>
      <c r="H1214" s="135">
        <v>130200</v>
      </c>
    </row>
    <row r="1215" spans="1:8" ht="15" customHeight="1" thickBot="1">
      <c r="A1215" s="843">
        <v>41880</v>
      </c>
      <c r="B1215" s="142">
        <v>329136</v>
      </c>
      <c r="C1215" s="143">
        <v>18455</v>
      </c>
      <c r="D1215" s="144">
        <v>18575</v>
      </c>
      <c r="E1215" s="233">
        <f t="shared" si="120"/>
        <v>-195</v>
      </c>
      <c r="F1215" s="459">
        <f>AVERAGE(C1195:C1215)</f>
        <v>18575.75</v>
      </c>
      <c r="G1215" s="460">
        <f>AVERAGE(C1044:C1215)</f>
        <v>17116.79640718563</v>
      </c>
      <c r="H1215" s="151">
        <v>129800</v>
      </c>
    </row>
    <row r="1216" spans="1:8" ht="15" customHeight="1">
      <c r="A1216" s="842">
        <v>41883</v>
      </c>
      <c r="B1216" s="132">
        <v>328860</v>
      </c>
      <c r="C1216" s="137">
        <v>18660</v>
      </c>
      <c r="D1216" s="136">
        <v>18820</v>
      </c>
      <c r="E1216" s="123">
        <f t="shared" si="120"/>
        <v>205</v>
      </c>
      <c r="H1216" s="135">
        <v>130000</v>
      </c>
    </row>
    <row r="1217" spans="1:8" ht="15" customHeight="1">
      <c r="A1217" s="842">
        <v>41884</v>
      </c>
      <c r="B1217" s="132">
        <v>330630</v>
      </c>
      <c r="C1217" s="137">
        <v>18555</v>
      </c>
      <c r="D1217" s="136">
        <v>18670</v>
      </c>
      <c r="E1217" s="123">
        <f t="shared" si="120"/>
        <v>-105</v>
      </c>
      <c r="H1217" s="135">
        <v>130000</v>
      </c>
    </row>
    <row r="1218" spans="1:8" ht="15" customHeight="1">
      <c r="A1218" s="842">
        <v>41885</v>
      </c>
      <c r="B1218" s="132">
        <v>331068</v>
      </c>
      <c r="C1218" s="137">
        <v>18820</v>
      </c>
      <c r="D1218" s="136">
        <v>18885</v>
      </c>
      <c r="E1218" s="123">
        <f t="shared" si="120"/>
        <v>265</v>
      </c>
      <c r="H1218" s="135">
        <v>129700</v>
      </c>
    </row>
    <row r="1219" spans="1:8" ht="15" customHeight="1">
      <c r="A1219" s="842">
        <v>41886</v>
      </c>
      <c r="B1219" s="132">
        <v>330720</v>
      </c>
      <c r="C1219" s="137">
        <v>19235</v>
      </c>
      <c r="D1219" s="136">
        <v>19350</v>
      </c>
      <c r="E1219" s="123">
        <f t="shared" si="120"/>
        <v>415</v>
      </c>
      <c r="H1219" s="135">
        <v>130800</v>
      </c>
    </row>
    <row r="1220" spans="1:8" ht="15" customHeight="1">
      <c r="A1220" s="842">
        <v>41887</v>
      </c>
      <c r="B1220" s="132">
        <v>331992</v>
      </c>
      <c r="C1220" s="137">
        <v>19385</v>
      </c>
      <c r="D1220" s="136">
        <v>19455</v>
      </c>
      <c r="E1220" s="592">
        <f t="shared" ref="E1220:E1226" si="121">C1220-C1219</f>
        <v>150</v>
      </c>
      <c r="H1220" s="135">
        <v>132800</v>
      </c>
    </row>
    <row r="1221" spans="1:8" ht="15" customHeight="1">
      <c r="A1221" s="842">
        <v>41890</v>
      </c>
      <c r="B1221" s="132">
        <v>332034</v>
      </c>
      <c r="C1221" s="137">
        <v>19740</v>
      </c>
      <c r="D1221" s="136">
        <v>19775</v>
      </c>
      <c r="E1221" s="592">
        <f t="shared" si="121"/>
        <v>355</v>
      </c>
      <c r="H1221" s="886" t="s">
        <v>184</v>
      </c>
    </row>
    <row r="1222" spans="1:8" ht="15" customHeight="1">
      <c r="A1222" s="842">
        <v>41891</v>
      </c>
      <c r="B1222" s="132">
        <v>332142</v>
      </c>
      <c r="C1222" s="137">
        <v>19360</v>
      </c>
      <c r="D1222" s="136">
        <v>19500</v>
      </c>
      <c r="E1222" s="592">
        <f t="shared" si="121"/>
        <v>-380</v>
      </c>
      <c r="H1222" s="135">
        <v>133800</v>
      </c>
    </row>
    <row r="1223" spans="1:8" ht="15" customHeight="1">
      <c r="A1223" s="842">
        <v>41892</v>
      </c>
      <c r="B1223" s="132">
        <v>331980</v>
      </c>
      <c r="C1223" s="137">
        <v>18550</v>
      </c>
      <c r="D1223" s="136">
        <v>18650</v>
      </c>
      <c r="E1223" s="592">
        <f t="shared" si="121"/>
        <v>-810</v>
      </c>
      <c r="H1223" s="135">
        <v>130200</v>
      </c>
    </row>
    <row r="1224" spans="1:8" ht="15" customHeight="1">
      <c r="A1224" s="842">
        <v>41893</v>
      </c>
      <c r="B1224" s="132">
        <v>332460</v>
      </c>
      <c r="C1224" s="137">
        <v>18460</v>
      </c>
      <c r="D1224" s="136">
        <v>18575</v>
      </c>
      <c r="E1224" s="592">
        <f t="shared" si="121"/>
        <v>-90</v>
      </c>
      <c r="H1224" s="135">
        <v>129700</v>
      </c>
    </row>
    <row r="1225" spans="1:8" ht="15" customHeight="1">
      <c r="A1225" s="842">
        <v>41894</v>
      </c>
      <c r="B1225" s="132">
        <v>333834</v>
      </c>
      <c r="C1225" s="137">
        <v>18345</v>
      </c>
      <c r="D1225" s="594">
        <v>18575</v>
      </c>
      <c r="E1225" s="592">
        <f t="shared" si="121"/>
        <v>-115</v>
      </c>
      <c r="H1225" s="135">
        <v>128950</v>
      </c>
    </row>
    <row r="1226" spans="1:8" ht="15" customHeight="1">
      <c r="A1226" s="842">
        <v>41897</v>
      </c>
      <c r="B1226" s="132">
        <v>334842</v>
      </c>
      <c r="C1226" s="137">
        <v>18255</v>
      </c>
      <c r="D1226" s="136">
        <v>18350</v>
      </c>
      <c r="E1226" s="592">
        <f t="shared" si="121"/>
        <v>-90</v>
      </c>
      <c r="H1226" s="135">
        <v>128750</v>
      </c>
    </row>
    <row r="1227" spans="1:8" ht="15" customHeight="1">
      <c r="A1227" s="842">
        <v>41898</v>
      </c>
      <c r="B1227" s="132">
        <v>337044</v>
      </c>
      <c r="C1227" s="137">
        <v>17905</v>
      </c>
      <c r="D1227" s="136">
        <v>18010</v>
      </c>
      <c r="E1227" s="592">
        <f t="shared" ref="E1227:E1236" si="122">C1227-C1226</f>
        <v>-350</v>
      </c>
      <c r="H1227" s="135">
        <v>126950</v>
      </c>
    </row>
    <row r="1228" spans="1:8" ht="15" customHeight="1">
      <c r="A1228" s="842">
        <v>41899</v>
      </c>
      <c r="B1228" s="132">
        <v>337992</v>
      </c>
      <c r="C1228" s="137">
        <v>17920</v>
      </c>
      <c r="D1228" s="136">
        <v>18005</v>
      </c>
      <c r="E1228" s="592">
        <f t="shared" si="122"/>
        <v>15</v>
      </c>
      <c r="H1228" s="135">
        <v>126750</v>
      </c>
    </row>
    <row r="1229" spans="1:8" ht="15" customHeight="1">
      <c r="A1229" s="842">
        <v>41900</v>
      </c>
      <c r="B1229" s="132">
        <v>339288</v>
      </c>
      <c r="C1229" s="137">
        <v>17885</v>
      </c>
      <c r="D1229" s="136">
        <v>17940</v>
      </c>
      <c r="E1229" s="592">
        <f t="shared" si="122"/>
        <v>-35</v>
      </c>
      <c r="H1229" s="135">
        <v>125450</v>
      </c>
    </row>
    <row r="1230" spans="1:8" ht="15" customHeight="1">
      <c r="A1230" s="842">
        <v>41901</v>
      </c>
      <c r="B1230" s="132">
        <v>339042</v>
      </c>
      <c r="C1230" s="137">
        <v>17755</v>
      </c>
      <c r="D1230" s="136">
        <v>17830</v>
      </c>
      <c r="E1230" s="592">
        <f t="shared" si="122"/>
        <v>-130</v>
      </c>
      <c r="H1230" s="135">
        <v>124950</v>
      </c>
    </row>
    <row r="1231" spans="1:8" ht="15" customHeight="1">
      <c r="A1231" s="842">
        <v>41904</v>
      </c>
      <c r="B1231" s="132">
        <v>339036</v>
      </c>
      <c r="C1231" s="137">
        <v>17075</v>
      </c>
      <c r="D1231" s="136">
        <v>17175</v>
      </c>
      <c r="E1231" s="592">
        <f t="shared" si="122"/>
        <v>-680</v>
      </c>
      <c r="H1231" s="135">
        <v>121350</v>
      </c>
    </row>
    <row r="1232" spans="1:8" ht="15" customHeight="1">
      <c r="A1232" s="842">
        <v>41905</v>
      </c>
      <c r="B1232" s="132">
        <v>341364</v>
      </c>
      <c r="C1232" s="137">
        <v>17135</v>
      </c>
      <c r="D1232" s="136">
        <v>17250</v>
      </c>
      <c r="E1232" s="592">
        <f t="shared" si="122"/>
        <v>60</v>
      </c>
      <c r="H1232" s="135">
        <v>116250</v>
      </c>
    </row>
    <row r="1233" spans="1:8" ht="15" customHeight="1">
      <c r="A1233" s="842">
        <v>41906</v>
      </c>
      <c r="B1233" s="132">
        <v>343284</v>
      </c>
      <c r="C1233" s="137">
        <v>17200</v>
      </c>
      <c r="D1233" s="136">
        <v>17260</v>
      </c>
      <c r="E1233" s="592">
        <f t="shared" si="122"/>
        <v>65</v>
      </c>
      <c r="H1233" s="135">
        <v>118050</v>
      </c>
    </row>
    <row r="1234" spans="1:8" ht="15" customHeight="1">
      <c r="A1234" s="842">
        <v>41907</v>
      </c>
      <c r="B1234" s="132">
        <v>344796</v>
      </c>
      <c r="C1234" s="137">
        <v>17210</v>
      </c>
      <c r="D1234" s="136">
        <v>17315</v>
      </c>
      <c r="E1234" s="592">
        <f t="shared" si="122"/>
        <v>10</v>
      </c>
      <c r="H1234" s="135">
        <v>119700</v>
      </c>
    </row>
    <row r="1235" spans="1:8" ht="15" customHeight="1">
      <c r="A1235" s="842">
        <v>41908</v>
      </c>
      <c r="B1235" s="132">
        <v>347970</v>
      </c>
      <c r="C1235" s="137">
        <v>17280</v>
      </c>
      <c r="D1235" s="136">
        <v>17380</v>
      </c>
      <c r="E1235" s="592">
        <f t="shared" si="122"/>
        <v>70</v>
      </c>
      <c r="H1235" s="135">
        <v>118300</v>
      </c>
    </row>
    <row r="1236" spans="1:8" ht="15" customHeight="1">
      <c r="A1236" s="842">
        <v>41911</v>
      </c>
      <c r="B1236" s="132">
        <v>353340</v>
      </c>
      <c r="C1236" s="137">
        <v>16510</v>
      </c>
      <c r="D1236" s="136">
        <v>16565</v>
      </c>
      <c r="E1236" s="592">
        <f t="shared" si="122"/>
        <v>-770</v>
      </c>
      <c r="H1236" s="135">
        <v>114200</v>
      </c>
    </row>
    <row r="1237" spans="1:8" ht="15" customHeight="1" thickBot="1">
      <c r="A1237" s="843">
        <v>41912</v>
      </c>
      <c r="B1237" s="142">
        <v>356040</v>
      </c>
      <c r="C1237" s="143">
        <v>16505</v>
      </c>
      <c r="D1237" s="144">
        <v>16600</v>
      </c>
      <c r="E1237" s="233">
        <f t="shared" ref="E1237:E1243" si="123">C1237-C1236</f>
        <v>-5</v>
      </c>
      <c r="F1237" s="459">
        <f>AVERAGE(C1216:C1237)</f>
        <v>18079.31818181818</v>
      </c>
      <c r="G1237" s="460">
        <f>AVERAGE(C1044:C1237)</f>
        <v>17228.835978835978</v>
      </c>
      <c r="H1237" s="151">
        <v>114200</v>
      </c>
    </row>
    <row r="1238" spans="1:8" ht="15" customHeight="1">
      <c r="A1238" s="842">
        <v>41913</v>
      </c>
      <c r="B1238" s="132">
        <v>358374</v>
      </c>
      <c r="C1238" s="137">
        <v>15855</v>
      </c>
      <c r="D1238" s="136">
        <v>15965</v>
      </c>
      <c r="E1238" s="161">
        <f t="shared" si="123"/>
        <v>-650</v>
      </c>
      <c r="H1238" s="1091" t="s">
        <v>184</v>
      </c>
    </row>
    <row r="1239" spans="1:8" ht="15" customHeight="1">
      <c r="A1239" s="842">
        <v>41914</v>
      </c>
      <c r="B1239" s="132">
        <v>359166</v>
      </c>
      <c r="C1239" s="137">
        <v>16050</v>
      </c>
      <c r="D1239" s="136">
        <v>16115</v>
      </c>
      <c r="E1239" s="161">
        <f t="shared" si="123"/>
        <v>195</v>
      </c>
      <c r="F1239" s="161"/>
      <c r="G1239" s="161"/>
      <c r="H1239" s="1049"/>
    </row>
    <row r="1240" spans="1:8" ht="15" customHeight="1">
      <c r="A1240" s="842">
        <v>41915</v>
      </c>
      <c r="B1240" s="132">
        <v>363102</v>
      </c>
      <c r="C1240" s="137">
        <v>16270</v>
      </c>
      <c r="D1240" s="136">
        <v>16310</v>
      </c>
      <c r="E1240" s="161">
        <f t="shared" si="123"/>
        <v>220</v>
      </c>
      <c r="H1240" s="1049"/>
    </row>
    <row r="1241" spans="1:8" ht="15" customHeight="1">
      <c r="A1241" s="842">
        <v>41918</v>
      </c>
      <c r="B1241" s="132">
        <v>364332</v>
      </c>
      <c r="C1241" s="137">
        <v>16485</v>
      </c>
      <c r="D1241" s="136">
        <v>16615</v>
      </c>
      <c r="E1241" s="161">
        <f t="shared" si="123"/>
        <v>215</v>
      </c>
      <c r="H1241" s="1049"/>
    </row>
    <row r="1242" spans="1:8" ht="15" customHeight="1">
      <c r="A1242" s="842">
        <v>41919</v>
      </c>
      <c r="B1242" s="132">
        <v>364248</v>
      </c>
      <c r="C1242" s="137">
        <v>16750</v>
      </c>
      <c r="D1242" s="136">
        <v>16835</v>
      </c>
      <c r="E1242" s="161">
        <f t="shared" si="123"/>
        <v>265</v>
      </c>
      <c r="H1242" s="1049"/>
    </row>
    <row r="1243" spans="1:8" ht="15" customHeight="1">
      <c r="A1243" s="842">
        <v>41920</v>
      </c>
      <c r="B1243" s="132">
        <v>364530</v>
      </c>
      <c r="C1243" s="137">
        <v>16700</v>
      </c>
      <c r="D1243" s="136">
        <v>16755</v>
      </c>
      <c r="E1243" s="161">
        <f t="shared" si="123"/>
        <v>-50</v>
      </c>
      <c r="H1243" s="1049"/>
    </row>
    <row r="1244" spans="1:8" ht="15" customHeight="1">
      <c r="A1244" s="842">
        <v>41921</v>
      </c>
      <c r="B1244" s="132">
        <v>365148</v>
      </c>
      <c r="C1244" s="137">
        <v>16630</v>
      </c>
      <c r="D1244" s="136">
        <v>16710</v>
      </c>
      <c r="E1244" s="161">
        <f t="shared" ref="E1244:E1249" si="124">C1244-C1243</f>
        <v>-70</v>
      </c>
      <c r="H1244" s="135">
        <v>113800</v>
      </c>
    </row>
    <row r="1245" spans="1:8" ht="15" customHeight="1">
      <c r="A1245" s="842">
        <v>41922</v>
      </c>
      <c r="B1245" s="132">
        <v>367134</v>
      </c>
      <c r="C1245" s="137">
        <v>16310</v>
      </c>
      <c r="D1245" s="136">
        <v>16400</v>
      </c>
      <c r="E1245" s="161">
        <f t="shared" si="124"/>
        <v>-320</v>
      </c>
      <c r="H1245" s="135">
        <v>113800</v>
      </c>
    </row>
    <row r="1246" spans="1:8" ht="15" customHeight="1">
      <c r="A1246" s="842">
        <v>41925</v>
      </c>
      <c r="B1246" s="591">
        <v>368364</v>
      </c>
      <c r="C1246" s="595">
        <v>16390</v>
      </c>
      <c r="D1246" s="594">
        <v>16500</v>
      </c>
      <c r="E1246" s="161">
        <f t="shared" si="124"/>
        <v>80</v>
      </c>
      <c r="H1246" s="135">
        <v>113400</v>
      </c>
    </row>
    <row r="1247" spans="1:8" ht="15" customHeight="1">
      <c r="A1247" s="842">
        <v>41926</v>
      </c>
      <c r="B1247" s="132">
        <v>373110</v>
      </c>
      <c r="C1247" s="137">
        <v>16180</v>
      </c>
      <c r="D1247" s="136">
        <v>16290</v>
      </c>
      <c r="E1247" s="161">
        <f t="shared" si="124"/>
        <v>-210</v>
      </c>
      <c r="H1247" s="135">
        <v>113400</v>
      </c>
    </row>
    <row r="1248" spans="1:8" ht="15" customHeight="1">
      <c r="A1248" s="842">
        <v>41927</v>
      </c>
      <c r="B1248" s="132">
        <v>374934</v>
      </c>
      <c r="C1248" s="137">
        <v>16135</v>
      </c>
      <c r="D1248" s="136">
        <v>16230</v>
      </c>
      <c r="E1248" s="161">
        <f t="shared" si="124"/>
        <v>-45</v>
      </c>
      <c r="H1248" s="135">
        <v>112250</v>
      </c>
    </row>
    <row r="1249" spans="1:8" ht="15" customHeight="1">
      <c r="A1249" s="842">
        <v>41928</v>
      </c>
      <c r="B1249" s="132">
        <v>347562</v>
      </c>
      <c r="C1249" s="137">
        <v>15315</v>
      </c>
      <c r="D1249" s="136">
        <v>15400</v>
      </c>
      <c r="E1249" s="161">
        <f t="shared" si="124"/>
        <v>-820</v>
      </c>
      <c r="H1249" s="135">
        <v>106650</v>
      </c>
    </row>
    <row r="1250" spans="1:8" ht="15" customHeight="1">
      <c r="A1250" s="842">
        <v>41929</v>
      </c>
      <c r="B1250" s="132">
        <v>375492</v>
      </c>
      <c r="C1250" s="137">
        <v>15505</v>
      </c>
      <c r="D1250" s="136">
        <v>15600</v>
      </c>
      <c r="E1250" s="161">
        <f t="shared" ref="E1250:E1256" si="125">C1250-C1249</f>
        <v>190</v>
      </c>
      <c r="H1250" s="135">
        <v>106600</v>
      </c>
    </row>
    <row r="1251" spans="1:8" ht="15" customHeight="1">
      <c r="A1251" s="842">
        <v>41932</v>
      </c>
      <c r="B1251" s="132">
        <v>376506</v>
      </c>
      <c r="C1251" s="137">
        <v>15315</v>
      </c>
      <c r="D1251" s="136">
        <v>15390</v>
      </c>
      <c r="E1251" s="161">
        <f t="shared" si="125"/>
        <v>-190</v>
      </c>
      <c r="H1251" s="135">
        <v>107200</v>
      </c>
    </row>
    <row r="1252" spans="1:8" ht="15" customHeight="1">
      <c r="A1252" s="842">
        <v>41933</v>
      </c>
      <c r="B1252" s="132">
        <v>377136</v>
      </c>
      <c r="C1252" s="137">
        <v>15225</v>
      </c>
      <c r="D1252" s="136">
        <v>15310</v>
      </c>
      <c r="E1252" s="161">
        <f t="shared" si="125"/>
        <v>-90</v>
      </c>
      <c r="H1252" s="135">
        <v>103800</v>
      </c>
    </row>
    <row r="1253" spans="1:8" ht="15" customHeight="1">
      <c r="A1253" s="842">
        <v>41934</v>
      </c>
      <c r="B1253" s="132">
        <v>377010</v>
      </c>
      <c r="C1253" s="137">
        <v>15220</v>
      </c>
      <c r="D1253" s="136">
        <v>15300</v>
      </c>
      <c r="E1253" s="161">
        <f t="shared" si="125"/>
        <v>-5</v>
      </c>
      <c r="H1253" s="135">
        <v>104000</v>
      </c>
    </row>
    <row r="1254" spans="1:8" ht="15" customHeight="1">
      <c r="A1254" s="842">
        <v>41935</v>
      </c>
      <c r="B1254" s="132">
        <v>377538</v>
      </c>
      <c r="C1254" s="137">
        <v>14950</v>
      </c>
      <c r="D1254" s="136">
        <v>15025</v>
      </c>
      <c r="E1254" s="161">
        <f t="shared" si="125"/>
        <v>-270</v>
      </c>
      <c r="H1254" s="135">
        <v>103200</v>
      </c>
    </row>
    <row r="1255" spans="1:8" ht="15" customHeight="1">
      <c r="A1255" s="842">
        <v>41936</v>
      </c>
      <c r="B1255" s="132">
        <v>378132</v>
      </c>
      <c r="C1255" s="137">
        <v>15005</v>
      </c>
      <c r="D1255" s="136">
        <v>15075</v>
      </c>
      <c r="E1255" s="161">
        <f t="shared" si="125"/>
        <v>55</v>
      </c>
      <c r="H1255" s="135">
        <v>103350</v>
      </c>
    </row>
    <row r="1256" spans="1:8" ht="15" customHeight="1">
      <c r="A1256" s="842">
        <v>41939</v>
      </c>
      <c r="B1256" s="132">
        <v>378222</v>
      </c>
      <c r="C1256" s="137">
        <v>14650</v>
      </c>
      <c r="D1256" s="136">
        <v>14800</v>
      </c>
      <c r="E1256" s="161">
        <f t="shared" si="125"/>
        <v>-355</v>
      </c>
      <c r="H1256" s="135">
        <v>100950</v>
      </c>
    </row>
    <row r="1257" spans="1:8" ht="15" customHeight="1">
      <c r="A1257" s="842">
        <v>41940</v>
      </c>
      <c r="B1257" s="132">
        <v>378864</v>
      </c>
      <c r="C1257" s="137">
        <v>15055</v>
      </c>
      <c r="D1257" s="136">
        <v>15135</v>
      </c>
      <c r="E1257" s="161">
        <f t="shared" ref="E1257:E1269" si="126">C1257-C1256</f>
        <v>405</v>
      </c>
      <c r="H1257" s="135">
        <v>99650</v>
      </c>
    </row>
    <row r="1258" spans="1:8" ht="15" customHeight="1">
      <c r="A1258" s="842">
        <v>41941</v>
      </c>
      <c r="B1258" s="132">
        <v>380946</v>
      </c>
      <c r="C1258" s="137">
        <v>15585</v>
      </c>
      <c r="D1258" s="136">
        <v>15625</v>
      </c>
      <c r="E1258" s="161">
        <f t="shared" si="126"/>
        <v>530</v>
      </c>
      <c r="H1258" s="135">
        <v>105850</v>
      </c>
    </row>
    <row r="1259" spans="1:8" ht="15" customHeight="1">
      <c r="A1259" s="842">
        <v>41942</v>
      </c>
      <c r="B1259" s="132">
        <v>381762</v>
      </c>
      <c r="C1259" s="137">
        <v>15325</v>
      </c>
      <c r="D1259" s="136">
        <v>15400</v>
      </c>
      <c r="E1259" s="161">
        <f t="shared" si="126"/>
        <v>-260</v>
      </c>
      <c r="H1259" s="135">
        <v>104750</v>
      </c>
    </row>
    <row r="1260" spans="1:8" ht="15" customHeight="1" thickBot="1">
      <c r="A1260" s="843">
        <v>41943</v>
      </c>
      <c r="B1260" s="142">
        <v>383442</v>
      </c>
      <c r="C1260" s="143">
        <v>15815</v>
      </c>
      <c r="D1260" s="144">
        <v>15900</v>
      </c>
      <c r="E1260" s="233">
        <f t="shared" si="126"/>
        <v>490</v>
      </c>
      <c r="F1260" s="459">
        <f>AVERAGE(C1238:C1260)</f>
        <v>15770.434782608696</v>
      </c>
      <c r="G1260" s="460">
        <f>AVERAGE(C1044:C1260)</f>
        <v>17070.613207547169</v>
      </c>
      <c r="H1260" s="151">
        <v>106000</v>
      </c>
    </row>
    <row r="1261" spans="1:8" ht="15" customHeight="1">
      <c r="A1261" s="842">
        <v>41946</v>
      </c>
      <c r="B1261" s="132">
        <v>385314</v>
      </c>
      <c r="C1261" s="137">
        <v>15575</v>
      </c>
      <c r="D1261" s="136">
        <v>15680</v>
      </c>
      <c r="E1261" s="161">
        <f t="shared" si="126"/>
        <v>-240</v>
      </c>
      <c r="H1261" s="135">
        <v>105900</v>
      </c>
    </row>
    <row r="1262" spans="1:8" ht="15" customHeight="1">
      <c r="A1262" s="842">
        <v>41947</v>
      </c>
      <c r="B1262" s="132">
        <v>385860</v>
      </c>
      <c r="C1262" s="137">
        <v>15155</v>
      </c>
      <c r="D1262" s="138">
        <v>15235</v>
      </c>
      <c r="E1262" s="161">
        <f t="shared" si="126"/>
        <v>-420</v>
      </c>
      <c r="H1262" s="135">
        <v>105700</v>
      </c>
    </row>
    <row r="1263" spans="1:8" ht="15" customHeight="1">
      <c r="A1263" s="842">
        <v>41948</v>
      </c>
      <c r="B1263" s="591">
        <v>385860</v>
      </c>
      <c r="C1263" s="137">
        <v>14980</v>
      </c>
      <c r="D1263" s="138">
        <v>15030</v>
      </c>
      <c r="E1263" s="161">
        <f t="shared" si="126"/>
        <v>-175</v>
      </c>
      <c r="H1263" s="135">
        <v>102000</v>
      </c>
    </row>
    <row r="1264" spans="1:8" ht="15" customHeight="1">
      <c r="A1264" s="842">
        <v>41949</v>
      </c>
      <c r="B1264" s="132">
        <v>386118</v>
      </c>
      <c r="C1264" s="137">
        <v>15255</v>
      </c>
      <c r="D1264" s="136">
        <v>15340</v>
      </c>
      <c r="E1264" s="161">
        <f t="shared" si="126"/>
        <v>275</v>
      </c>
      <c r="H1264" s="135">
        <v>103500</v>
      </c>
    </row>
    <row r="1265" spans="1:8" ht="15" customHeight="1">
      <c r="A1265" s="842">
        <v>41950</v>
      </c>
      <c r="B1265" s="132">
        <v>387222</v>
      </c>
      <c r="C1265" s="137">
        <v>15265</v>
      </c>
      <c r="D1265" s="136">
        <v>15340</v>
      </c>
      <c r="E1265" s="161">
        <f t="shared" si="126"/>
        <v>10</v>
      </c>
      <c r="H1265" s="135">
        <v>104000</v>
      </c>
    </row>
    <row r="1266" spans="1:8" ht="15" customHeight="1">
      <c r="A1266" s="842">
        <v>41953</v>
      </c>
      <c r="B1266" s="132">
        <v>389334</v>
      </c>
      <c r="C1266" s="137">
        <v>15070</v>
      </c>
      <c r="D1266" s="136">
        <v>15150</v>
      </c>
      <c r="E1266" s="161">
        <f t="shared" si="126"/>
        <v>-195</v>
      </c>
      <c r="H1266" s="135">
        <v>103350</v>
      </c>
    </row>
    <row r="1267" spans="1:8" ht="15" customHeight="1">
      <c r="A1267" s="842">
        <v>41954</v>
      </c>
      <c r="B1267" s="132">
        <v>388896</v>
      </c>
      <c r="C1267" s="137">
        <v>15090</v>
      </c>
      <c r="D1267" s="136">
        <v>15160</v>
      </c>
      <c r="E1267" s="161">
        <f t="shared" si="126"/>
        <v>20</v>
      </c>
      <c r="H1267" s="135">
        <v>103400</v>
      </c>
    </row>
    <row r="1268" spans="1:8" ht="15" customHeight="1">
      <c r="A1268" s="842">
        <v>41955</v>
      </c>
      <c r="B1268" s="132">
        <v>388776</v>
      </c>
      <c r="C1268" s="137">
        <v>15535</v>
      </c>
      <c r="D1268" s="136">
        <v>15600</v>
      </c>
      <c r="E1268" s="161">
        <f t="shared" si="126"/>
        <v>445</v>
      </c>
      <c r="H1268" s="135">
        <v>104600</v>
      </c>
    </row>
    <row r="1269" spans="1:8" ht="15" customHeight="1">
      <c r="A1269" s="842">
        <v>41956</v>
      </c>
      <c r="B1269" s="132">
        <v>389136</v>
      </c>
      <c r="C1269" s="137">
        <v>15520</v>
      </c>
      <c r="D1269" s="136">
        <v>15625</v>
      </c>
      <c r="E1269" s="161">
        <f t="shared" si="126"/>
        <v>-15</v>
      </c>
      <c r="H1269" s="135">
        <v>105500</v>
      </c>
    </row>
    <row r="1270" spans="1:8" ht="15" customHeight="1">
      <c r="A1270" s="842">
        <v>41957</v>
      </c>
      <c r="B1270" s="132">
        <v>389370</v>
      </c>
      <c r="C1270" s="137">
        <v>15320</v>
      </c>
      <c r="D1270" s="136">
        <v>15375</v>
      </c>
      <c r="E1270" s="161">
        <f t="shared" ref="E1270:E1294" si="127">C1270-C1269</f>
        <v>-200</v>
      </c>
      <c r="H1270" s="135">
        <v>104200</v>
      </c>
    </row>
    <row r="1271" spans="1:8" ht="15" customHeight="1">
      <c r="A1271" s="842">
        <v>41960</v>
      </c>
      <c r="B1271" s="132">
        <v>389766</v>
      </c>
      <c r="C1271" s="137">
        <v>15600</v>
      </c>
      <c r="D1271" s="136">
        <v>15660</v>
      </c>
      <c r="E1271" s="161">
        <f t="shared" si="127"/>
        <v>280</v>
      </c>
      <c r="H1271" s="135">
        <v>106350</v>
      </c>
    </row>
    <row r="1272" spans="1:8" ht="15" customHeight="1">
      <c r="A1272" s="842">
        <v>41961</v>
      </c>
      <c r="B1272" s="132">
        <v>390198</v>
      </c>
      <c r="C1272" s="137">
        <v>15650</v>
      </c>
      <c r="D1272" s="136">
        <v>15705</v>
      </c>
      <c r="E1272" s="161">
        <f t="shared" si="127"/>
        <v>50</v>
      </c>
      <c r="H1272" s="135">
        <v>106450</v>
      </c>
    </row>
    <row r="1273" spans="1:8" ht="15" customHeight="1">
      <c r="A1273" s="842">
        <v>41962</v>
      </c>
      <c r="B1273" s="132">
        <v>390432</v>
      </c>
      <c r="C1273" s="137">
        <v>15850</v>
      </c>
      <c r="D1273" s="136">
        <v>15905</v>
      </c>
      <c r="E1273" s="161">
        <f t="shared" si="127"/>
        <v>200</v>
      </c>
      <c r="H1273" s="135">
        <v>106650</v>
      </c>
    </row>
    <row r="1274" spans="1:8" ht="15" customHeight="1">
      <c r="A1274" s="842">
        <v>41963</v>
      </c>
      <c r="B1274" s="132">
        <v>393324</v>
      </c>
      <c r="C1274" s="137">
        <v>16175</v>
      </c>
      <c r="D1274" s="136">
        <v>16250</v>
      </c>
      <c r="E1274" s="161">
        <f t="shared" si="127"/>
        <v>325</v>
      </c>
      <c r="H1274" s="135">
        <v>110800</v>
      </c>
    </row>
    <row r="1275" spans="1:8" ht="15" customHeight="1">
      <c r="A1275" s="842">
        <v>41964</v>
      </c>
      <c r="B1275" s="591">
        <v>394770</v>
      </c>
      <c r="C1275" s="595">
        <v>16450</v>
      </c>
      <c r="D1275" s="594">
        <v>16505</v>
      </c>
      <c r="E1275" s="161">
        <f t="shared" si="127"/>
        <v>275</v>
      </c>
      <c r="H1275" s="135">
        <v>111400</v>
      </c>
    </row>
    <row r="1276" spans="1:8" ht="15" customHeight="1">
      <c r="A1276" s="842">
        <v>41967</v>
      </c>
      <c r="B1276" s="591">
        <v>397236</v>
      </c>
      <c r="C1276" s="595">
        <v>16535</v>
      </c>
      <c r="D1276" s="594">
        <v>16605</v>
      </c>
      <c r="E1276" s="161">
        <f t="shared" si="127"/>
        <v>85</v>
      </c>
      <c r="H1276" s="135">
        <v>112250</v>
      </c>
    </row>
    <row r="1277" spans="1:8" ht="15" customHeight="1">
      <c r="A1277" s="842">
        <v>41968</v>
      </c>
      <c r="B1277" s="591">
        <v>398064</v>
      </c>
      <c r="C1277" s="595">
        <v>16455</v>
      </c>
      <c r="D1277" s="594">
        <v>16535</v>
      </c>
      <c r="E1277" s="161">
        <f t="shared" si="127"/>
        <v>-80</v>
      </c>
      <c r="H1277" s="135">
        <v>112750</v>
      </c>
    </row>
    <row r="1278" spans="1:8" ht="15" customHeight="1">
      <c r="A1278" s="842">
        <v>41969</v>
      </c>
      <c r="B1278" s="132">
        <v>399996</v>
      </c>
      <c r="C1278" s="137">
        <v>16230</v>
      </c>
      <c r="D1278" s="136">
        <v>16310</v>
      </c>
      <c r="E1278" s="161">
        <f t="shared" si="127"/>
        <v>-225</v>
      </c>
      <c r="H1278" s="135">
        <v>112100</v>
      </c>
    </row>
    <row r="1279" spans="1:8" ht="15" customHeight="1">
      <c r="A1279" s="842">
        <v>41970</v>
      </c>
      <c r="B1279" s="132">
        <v>401850</v>
      </c>
      <c r="C1279" s="137">
        <v>16325</v>
      </c>
      <c r="D1279" s="136">
        <v>16400</v>
      </c>
      <c r="E1279" s="161">
        <f t="shared" si="127"/>
        <v>95</v>
      </c>
      <c r="H1279" s="135">
        <v>111650</v>
      </c>
    </row>
    <row r="1280" spans="1:8" ht="15" customHeight="1" thickBot="1">
      <c r="A1280" s="843">
        <v>41971</v>
      </c>
      <c r="B1280" s="142">
        <v>404496</v>
      </c>
      <c r="C1280" s="143">
        <v>16090</v>
      </c>
      <c r="D1280" s="144">
        <v>16160</v>
      </c>
      <c r="E1280" s="233">
        <f t="shared" si="127"/>
        <v>-235</v>
      </c>
      <c r="F1280" s="459">
        <f>AVERAGE(C1261:C1280)</f>
        <v>15706.25</v>
      </c>
      <c r="G1280" s="460">
        <f>AVERAGE(C1044:C1280)</f>
        <v>16952.995689655174</v>
      </c>
      <c r="H1280" s="151">
        <v>111650</v>
      </c>
    </row>
    <row r="1281" spans="1:8" ht="15" customHeight="1">
      <c r="A1281" s="842">
        <v>41974</v>
      </c>
      <c r="B1281" s="132">
        <v>404766</v>
      </c>
      <c r="C1281" s="137">
        <v>16205</v>
      </c>
      <c r="D1281" s="136">
        <v>16275</v>
      </c>
      <c r="E1281" s="161">
        <f t="shared" si="127"/>
        <v>115</v>
      </c>
      <c r="H1281" s="135">
        <v>110850</v>
      </c>
    </row>
    <row r="1282" spans="1:8" ht="15" customHeight="1">
      <c r="A1282" s="842">
        <v>41975</v>
      </c>
      <c r="B1282" s="132">
        <v>405570</v>
      </c>
      <c r="C1282" s="137">
        <v>16175</v>
      </c>
      <c r="D1282" s="136">
        <v>16250</v>
      </c>
      <c r="E1282" s="161">
        <f t="shared" si="127"/>
        <v>-30</v>
      </c>
      <c r="H1282" s="135">
        <v>111200</v>
      </c>
    </row>
    <row r="1283" spans="1:8" ht="15" customHeight="1">
      <c r="A1283" s="842">
        <v>41976</v>
      </c>
      <c r="B1283" s="132">
        <v>407646</v>
      </c>
      <c r="C1283" s="137">
        <v>16325</v>
      </c>
      <c r="D1283" s="136">
        <v>16400</v>
      </c>
      <c r="E1283" s="161">
        <f t="shared" si="127"/>
        <v>150</v>
      </c>
      <c r="H1283" s="135">
        <v>111800</v>
      </c>
    </row>
    <row r="1284" spans="1:8" ht="15" customHeight="1">
      <c r="A1284" s="842">
        <v>41977</v>
      </c>
      <c r="B1284" s="132">
        <v>406992</v>
      </c>
      <c r="C1284" s="137">
        <v>16780</v>
      </c>
      <c r="D1284" s="136">
        <v>16850</v>
      </c>
      <c r="E1284" s="161">
        <f t="shared" si="127"/>
        <v>455</v>
      </c>
      <c r="H1284" s="135">
        <v>114650</v>
      </c>
    </row>
    <row r="1285" spans="1:8" ht="15" customHeight="1">
      <c r="A1285" s="842">
        <v>41978</v>
      </c>
      <c r="B1285" s="132">
        <v>407370</v>
      </c>
      <c r="C1285" s="137">
        <v>16825</v>
      </c>
      <c r="D1285" s="136">
        <v>16875</v>
      </c>
      <c r="E1285" s="161">
        <f t="shared" si="127"/>
        <v>45</v>
      </c>
      <c r="H1285" s="135">
        <v>118150</v>
      </c>
    </row>
    <row r="1286" spans="1:8" ht="15" customHeight="1">
      <c r="A1286" s="842">
        <v>41981</v>
      </c>
      <c r="B1286" s="132">
        <v>406410</v>
      </c>
      <c r="C1286" s="137">
        <v>16555</v>
      </c>
      <c r="D1286" s="136">
        <v>16675</v>
      </c>
      <c r="E1286" s="161">
        <f t="shared" si="127"/>
        <v>-270</v>
      </c>
      <c r="H1286" s="135">
        <v>115900</v>
      </c>
    </row>
    <row r="1287" spans="1:8" ht="15" customHeight="1">
      <c r="A1287" s="842">
        <v>41982</v>
      </c>
      <c r="B1287" s="132">
        <v>406248</v>
      </c>
      <c r="C1287" s="137">
        <v>16255</v>
      </c>
      <c r="D1287" s="136">
        <v>16330</v>
      </c>
      <c r="E1287" s="161">
        <f t="shared" si="127"/>
        <v>-300</v>
      </c>
      <c r="H1287" s="135">
        <v>115350</v>
      </c>
    </row>
    <row r="1288" spans="1:8" ht="15" customHeight="1">
      <c r="A1288" s="842">
        <v>41983</v>
      </c>
      <c r="B1288" s="132">
        <v>407568</v>
      </c>
      <c r="C1288" s="137">
        <v>16425</v>
      </c>
      <c r="D1288" s="136">
        <v>16500</v>
      </c>
      <c r="E1288" s="161">
        <f t="shared" si="127"/>
        <v>170</v>
      </c>
      <c r="H1288" s="135">
        <v>115350</v>
      </c>
    </row>
    <row r="1289" spans="1:8" ht="15" customHeight="1">
      <c r="A1289" s="842">
        <v>41984</v>
      </c>
      <c r="B1289" s="132">
        <v>406524</v>
      </c>
      <c r="C1289" s="137">
        <v>16150</v>
      </c>
      <c r="D1289" s="136">
        <v>16230</v>
      </c>
      <c r="E1289" s="161">
        <f t="shared" si="127"/>
        <v>-275</v>
      </c>
      <c r="H1289" s="135">
        <v>114850</v>
      </c>
    </row>
    <row r="1290" spans="1:8" ht="15" customHeight="1">
      <c r="A1290" s="842">
        <v>41985</v>
      </c>
      <c r="B1290" s="132">
        <v>405294</v>
      </c>
      <c r="C1290" s="137">
        <v>16335</v>
      </c>
      <c r="D1290" s="136">
        <v>16425</v>
      </c>
      <c r="E1290" s="161">
        <f t="shared" si="127"/>
        <v>185</v>
      </c>
      <c r="H1290" s="135">
        <v>114050</v>
      </c>
    </row>
    <row r="1291" spans="1:8" ht="15" customHeight="1">
      <c r="A1291" s="842">
        <v>41988</v>
      </c>
      <c r="B1291" s="132">
        <v>405186</v>
      </c>
      <c r="C1291" s="137">
        <v>16660</v>
      </c>
      <c r="D1291" s="136">
        <v>16720</v>
      </c>
      <c r="E1291" s="161">
        <f t="shared" si="127"/>
        <v>325</v>
      </c>
      <c r="H1291" s="135">
        <v>116950</v>
      </c>
    </row>
    <row r="1292" spans="1:8" ht="15" customHeight="1">
      <c r="A1292" s="842">
        <v>41989</v>
      </c>
      <c r="B1292" s="132">
        <v>405174</v>
      </c>
      <c r="C1292" s="137">
        <v>16130</v>
      </c>
      <c r="D1292" s="136">
        <v>16275</v>
      </c>
      <c r="E1292" s="161">
        <f t="shared" si="127"/>
        <v>-530</v>
      </c>
      <c r="H1292" s="135">
        <v>114950</v>
      </c>
    </row>
    <row r="1293" spans="1:8" ht="15" customHeight="1">
      <c r="A1293" s="842">
        <v>41990</v>
      </c>
      <c r="B1293" s="132">
        <v>406854</v>
      </c>
      <c r="C1293" s="137">
        <v>15430</v>
      </c>
      <c r="D1293" s="136">
        <v>15500</v>
      </c>
      <c r="E1293" s="161">
        <f t="shared" si="127"/>
        <v>-700</v>
      </c>
      <c r="H1293" s="135">
        <v>113150</v>
      </c>
    </row>
    <row r="1294" spans="1:8" ht="15" customHeight="1">
      <c r="A1294" s="842">
        <v>41991</v>
      </c>
      <c r="B1294" s="132">
        <v>406722</v>
      </c>
      <c r="C1294" s="137">
        <v>15505</v>
      </c>
      <c r="D1294" s="136">
        <v>15525</v>
      </c>
      <c r="E1294" s="161">
        <f t="shared" si="127"/>
        <v>75</v>
      </c>
      <c r="H1294" s="135">
        <v>110250</v>
      </c>
    </row>
    <row r="1295" spans="1:8" ht="15" customHeight="1">
      <c r="A1295" s="842">
        <v>41992</v>
      </c>
      <c r="B1295" s="132">
        <v>406812</v>
      </c>
      <c r="C1295" s="137">
        <v>15350</v>
      </c>
      <c r="D1295" s="136">
        <v>15400</v>
      </c>
      <c r="E1295" s="161">
        <f>C1295-C1294</f>
        <v>-155</v>
      </c>
      <c r="H1295" s="135">
        <v>109050</v>
      </c>
    </row>
    <row r="1296" spans="1:8" ht="15" customHeight="1">
      <c r="A1296" s="842">
        <v>41995</v>
      </c>
      <c r="B1296" s="132">
        <v>408408</v>
      </c>
      <c r="C1296" s="137">
        <v>15630</v>
      </c>
      <c r="D1296" s="136">
        <v>15705</v>
      </c>
      <c r="E1296" s="161">
        <f>C1296-C1295</f>
        <v>280</v>
      </c>
      <c r="H1296" s="135">
        <v>110100</v>
      </c>
    </row>
    <row r="1297" spans="1:8" ht="15" customHeight="1">
      <c r="A1297" s="842">
        <v>41996</v>
      </c>
      <c r="B1297" s="132">
        <v>408990</v>
      </c>
      <c r="C1297" s="137">
        <v>15380</v>
      </c>
      <c r="D1297" s="136">
        <v>15460</v>
      </c>
      <c r="E1297" s="161">
        <f>C1297-C1296</f>
        <v>-250</v>
      </c>
      <c r="H1297" s="135">
        <v>109850</v>
      </c>
    </row>
    <row r="1298" spans="1:8" ht="15" customHeight="1">
      <c r="A1298" s="842">
        <v>41997</v>
      </c>
      <c r="B1298" s="132">
        <v>410880</v>
      </c>
      <c r="C1298" s="137">
        <v>15275</v>
      </c>
      <c r="D1298" s="136">
        <v>15310</v>
      </c>
      <c r="E1298" s="161">
        <f>C1298-C1297</f>
        <v>-105</v>
      </c>
      <c r="H1298" s="135">
        <v>107350</v>
      </c>
    </row>
    <row r="1299" spans="1:8" ht="15" customHeight="1">
      <c r="A1299" s="842">
        <v>41998</v>
      </c>
      <c r="B1299" s="1085" t="s">
        <v>191</v>
      </c>
      <c r="C1299" s="1085"/>
      <c r="D1299" s="1085"/>
      <c r="E1299" s="1085"/>
      <c r="H1299" s="135">
        <v>107400</v>
      </c>
    </row>
    <row r="1300" spans="1:8" ht="15" customHeight="1">
      <c r="A1300" s="842">
        <v>41999</v>
      </c>
      <c r="B1300" s="1085"/>
      <c r="C1300" s="1085"/>
      <c r="D1300" s="1085"/>
      <c r="E1300" s="1085"/>
      <c r="H1300" s="135">
        <v>108250</v>
      </c>
    </row>
    <row r="1301" spans="1:8" ht="15" customHeight="1">
      <c r="A1301" s="842">
        <v>42002</v>
      </c>
      <c r="B1301" s="132">
        <v>410808</v>
      </c>
      <c r="C1301" s="137">
        <v>15110</v>
      </c>
      <c r="D1301" s="136">
        <v>15185</v>
      </c>
      <c r="E1301" s="161">
        <f>C1301-C1298</f>
        <v>-165</v>
      </c>
      <c r="H1301" s="135">
        <v>108550</v>
      </c>
    </row>
    <row r="1302" spans="1:8" ht="15" customHeight="1">
      <c r="A1302" s="842">
        <v>42003</v>
      </c>
      <c r="B1302" s="132">
        <v>412704</v>
      </c>
      <c r="C1302" s="137">
        <v>14855</v>
      </c>
      <c r="D1302" s="136">
        <v>14950</v>
      </c>
      <c r="E1302" s="161">
        <f>C1302-C1301</f>
        <v>-255</v>
      </c>
      <c r="H1302" s="135">
        <v>107450</v>
      </c>
    </row>
    <row r="1303" spans="1:8" ht="15" customHeight="1" thickBot="1">
      <c r="A1303" s="843">
        <v>42004</v>
      </c>
      <c r="B1303" s="142">
        <v>413148</v>
      </c>
      <c r="C1303" s="143">
        <v>14935</v>
      </c>
      <c r="D1303" s="144">
        <v>15025</v>
      </c>
      <c r="E1303" s="233">
        <f>C1303-C1302</f>
        <v>80</v>
      </c>
      <c r="F1303" s="459">
        <f>AVERAGE(C1281:C1303)</f>
        <v>15918.571428571429</v>
      </c>
      <c r="G1303" s="460">
        <f>AVERAGE(C1044:C1303)</f>
        <v>16867.13438735178</v>
      </c>
      <c r="H1303" s="151">
        <v>108350</v>
      </c>
    </row>
    <row r="1304" spans="1:8" ht="15" customHeight="1">
      <c r="A1304" s="842">
        <v>42006</v>
      </c>
      <c r="B1304" s="132">
        <v>414900</v>
      </c>
      <c r="C1304" s="137">
        <v>14880</v>
      </c>
      <c r="D1304" s="136">
        <v>15000</v>
      </c>
      <c r="E1304" s="161">
        <f>C1304-C1303</f>
        <v>-55</v>
      </c>
      <c r="H1304" s="135">
        <v>107800</v>
      </c>
    </row>
    <row r="1305" spans="1:8" ht="15" customHeight="1">
      <c r="A1305" s="842">
        <v>42009</v>
      </c>
      <c r="B1305" s="132">
        <v>414756</v>
      </c>
      <c r="C1305" s="137">
        <v>14585</v>
      </c>
      <c r="D1305" s="136">
        <v>14660</v>
      </c>
      <c r="E1305" s="161">
        <f>C1305-C1304</f>
        <v>-295</v>
      </c>
      <c r="H1305" s="135">
        <v>107800</v>
      </c>
    </row>
    <row r="1306" spans="1:8" ht="15" customHeight="1">
      <c r="A1306" s="842">
        <v>42010</v>
      </c>
      <c r="B1306" s="132">
        <v>415338</v>
      </c>
      <c r="C1306" s="137">
        <v>15285</v>
      </c>
      <c r="D1306" s="136">
        <v>15325</v>
      </c>
      <c r="E1306" s="161">
        <f>C1306-C1305</f>
        <v>700</v>
      </c>
      <c r="H1306" s="135">
        <v>108500</v>
      </c>
    </row>
    <row r="1307" spans="1:8" ht="15" customHeight="1">
      <c r="A1307" s="842">
        <v>42011</v>
      </c>
      <c r="B1307" s="132">
        <v>415812</v>
      </c>
      <c r="C1307" s="137">
        <v>15455</v>
      </c>
      <c r="D1307" s="136">
        <v>15540</v>
      </c>
      <c r="E1307" s="161">
        <f>C1307-C1306</f>
        <v>170</v>
      </c>
      <c r="F1307" s="255">
        <f>AVERAGE(C1304:C1307)</f>
        <v>15051.25</v>
      </c>
      <c r="G1307" s="953">
        <f>AVERAGE(C1304:C1307)</f>
        <v>15051.25</v>
      </c>
      <c r="H1307" s="135">
        <v>109800</v>
      </c>
    </row>
  </sheetData>
  <mergeCells count="52">
    <mergeCell ref="B1299:E1300"/>
    <mergeCell ref="B1211:E1211"/>
    <mergeCell ref="C1120:D1121"/>
    <mergeCell ref="B1039:E1040"/>
    <mergeCell ref="H970:H971"/>
    <mergeCell ref="H1238:H1243"/>
    <mergeCell ref="H897:H899"/>
    <mergeCell ref="H867:H868"/>
    <mergeCell ref="H1066:H1069"/>
    <mergeCell ref="H850:H851"/>
    <mergeCell ref="H978:H982"/>
    <mergeCell ref="B846:E846"/>
    <mergeCell ref="B847:E847"/>
    <mergeCell ref="B952:E952"/>
    <mergeCell ref="B887:E887"/>
    <mergeCell ref="B872:E872"/>
    <mergeCell ref="B591:E592"/>
    <mergeCell ref="H812:H816"/>
    <mergeCell ref="H587:H589"/>
    <mergeCell ref="H717:H721"/>
    <mergeCell ref="B778:E778"/>
    <mergeCell ref="B779:E779"/>
    <mergeCell ref="B783:E783"/>
    <mergeCell ref="B612:E612"/>
    <mergeCell ref="B632:E633"/>
    <mergeCell ref="B692:E692"/>
    <mergeCell ref="H537:H541"/>
    <mergeCell ref="B522:E522"/>
    <mergeCell ref="H457:H461"/>
    <mergeCell ref="B432:E432"/>
    <mergeCell ref="B347:H347"/>
    <mergeCell ref="A1:A2"/>
    <mergeCell ref="C1:C2"/>
    <mergeCell ref="D1:D2"/>
    <mergeCell ref="E1:E2"/>
    <mergeCell ref="B67:E68"/>
    <mergeCell ref="B88:H88"/>
    <mergeCell ref="B173:E173"/>
    <mergeCell ref="G1:G2"/>
    <mergeCell ref="F1:F2"/>
    <mergeCell ref="H118:H120"/>
    <mergeCell ref="B346:E346"/>
    <mergeCell ref="B517:E518"/>
    <mergeCell ref="H522:H523"/>
    <mergeCell ref="B367:E367"/>
    <mergeCell ref="B108:G108"/>
    <mergeCell ref="B258:H259"/>
    <mergeCell ref="H197:H201"/>
    <mergeCell ref="B341:H342"/>
    <mergeCell ref="H327:H328"/>
    <mergeCell ref="H190:H192"/>
    <mergeCell ref="H284:H288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enableFormatConditionsCalculation="0">
    <tabColor indexed="29"/>
  </sheetPr>
  <dimension ref="A1:N11"/>
  <sheetViews>
    <sheetView showGridLines="0" workbookViewId="0">
      <selection activeCell="G31" sqref="G31"/>
    </sheetView>
  </sheetViews>
  <sheetFormatPr defaultRowHeight="13.5"/>
  <cols>
    <col min="13" max="13" width="9.44140625" bestFit="1" customWidth="1"/>
  </cols>
  <sheetData>
    <row r="1" spans="1:14" s="53" customFormat="1" ht="15" customHeight="1">
      <c r="A1" s="65" t="s">
        <v>89</v>
      </c>
    </row>
    <row r="2" spans="1:14" s="68" customFormat="1" ht="17.25" customHeight="1">
      <c r="A2" s="186" t="s">
        <v>8</v>
      </c>
      <c r="B2" s="185" t="s">
        <v>21</v>
      </c>
      <c r="C2" s="185" t="s">
        <v>22</v>
      </c>
      <c r="D2" s="185" t="s">
        <v>23</v>
      </c>
      <c r="E2" s="185" t="s">
        <v>24</v>
      </c>
      <c r="F2" s="185" t="s">
        <v>25</v>
      </c>
      <c r="G2" s="185" t="s">
        <v>26</v>
      </c>
      <c r="H2" s="185" t="s">
        <v>27</v>
      </c>
      <c r="I2" s="185" t="s">
        <v>28</v>
      </c>
      <c r="J2" s="185" t="s">
        <v>29</v>
      </c>
      <c r="K2" s="185" t="s">
        <v>30</v>
      </c>
      <c r="L2" s="185" t="s">
        <v>31</v>
      </c>
      <c r="M2" s="185" t="s">
        <v>32</v>
      </c>
      <c r="N2" s="185" t="s">
        <v>9</v>
      </c>
    </row>
    <row r="3" spans="1:14" ht="17.25" hidden="1" customHeight="1">
      <c r="A3" s="187" t="s">
        <v>56</v>
      </c>
      <c r="B3" s="184">
        <v>11306.9</v>
      </c>
      <c r="C3" s="188">
        <v>10408.75</v>
      </c>
      <c r="D3" s="184">
        <v>9696.36</v>
      </c>
      <c r="E3" s="188">
        <v>11166</v>
      </c>
      <c r="F3" s="184">
        <v>12634.74</v>
      </c>
      <c r="G3" s="188">
        <v>14960.45</v>
      </c>
      <c r="H3" s="189">
        <v>15984.57</v>
      </c>
      <c r="I3" s="188">
        <v>19641.75</v>
      </c>
      <c r="J3" s="188">
        <v>17473.18</v>
      </c>
      <c r="K3" s="184">
        <v>18525.23</v>
      </c>
      <c r="L3" s="184">
        <v>16991.189999999999</v>
      </c>
      <c r="M3" s="190">
        <v>17066.43</v>
      </c>
      <c r="N3" s="188">
        <f>AVERAGE(B3:M3)</f>
        <v>14654.629166666666</v>
      </c>
    </row>
    <row r="4" spans="1:14" ht="17.25" customHeight="1">
      <c r="A4" s="58" t="s">
        <v>62</v>
      </c>
      <c r="B4" s="61">
        <v>18439.25</v>
      </c>
      <c r="C4" s="61">
        <v>18976</v>
      </c>
      <c r="D4" s="61">
        <v>22461.3</v>
      </c>
      <c r="E4" s="61">
        <v>26030.75</v>
      </c>
      <c r="F4" s="61">
        <v>22008.16</v>
      </c>
      <c r="G4" s="61">
        <v>19388.636363636364</v>
      </c>
      <c r="H4" s="226">
        <v>19517.5</v>
      </c>
      <c r="I4" s="226">
        <v>21413.333333333332</v>
      </c>
      <c r="J4" s="61">
        <v>22765.909090909092</v>
      </c>
      <c r="K4" s="61">
        <v>23663.571428571428</v>
      </c>
      <c r="L4" s="61">
        <v>22909.31818181818</v>
      </c>
      <c r="M4" s="61">
        <v>24111.190476190477</v>
      </c>
      <c r="N4" s="59">
        <v>21807.076327561299</v>
      </c>
    </row>
    <row r="5" spans="1:14" ht="17.25" customHeight="1">
      <c r="A5" s="56" t="s">
        <v>76</v>
      </c>
      <c r="B5" s="119">
        <v>25646.25</v>
      </c>
      <c r="C5" s="119">
        <v>28252.25</v>
      </c>
      <c r="D5" s="119">
        <v>26811.739130434784</v>
      </c>
      <c r="E5" s="119">
        <v>26328.888888888891</v>
      </c>
      <c r="F5" s="119">
        <v>24210</v>
      </c>
      <c r="G5" s="119">
        <v>22354.090909090908</v>
      </c>
      <c r="H5" s="119">
        <v>23731.190476190477</v>
      </c>
      <c r="I5" s="119">
        <v>22083.863636363636</v>
      </c>
      <c r="J5" s="119">
        <v>20392.045454545456</v>
      </c>
      <c r="K5" s="119">
        <v>18886.428571428572</v>
      </c>
      <c r="L5" s="119">
        <v>17882.045454545456</v>
      </c>
      <c r="M5" s="119">
        <v>18153.5</v>
      </c>
      <c r="N5" s="57">
        <v>22830.537848605578</v>
      </c>
    </row>
    <row r="6" spans="1:14" ht="17.25" customHeight="1">
      <c r="A6" s="56" t="s">
        <v>87</v>
      </c>
      <c r="B6" s="119">
        <v>19821.904761904763</v>
      </c>
      <c r="C6" s="119">
        <v>20465</v>
      </c>
      <c r="D6" s="119">
        <v>18709.545454545456</v>
      </c>
      <c r="E6" s="119">
        <v>17897.36842105263</v>
      </c>
      <c r="F6" s="119">
        <v>17020</v>
      </c>
      <c r="G6" s="119">
        <v>16539.21052631579</v>
      </c>
      <c r="H6" s="119">
        <v>16159.09090909091</v>
      </c>
      <c r="I6" s="119">
        <v>15657.727272727272</v>
      </c>
      <c r="J6" s="119">
        <v>17215.5</v>
      </c>
      <c r="K6" s="119">
        <v>17245.43</v>
      </c>
      <c r="L6" s="413">
        <v>16297.5</v>
      </c>
      <c r="M6" s="414">
        <v>17406.580000000002</v>
      </c>
      <c r="N6" s="415">
        <v>17526.169999999998</v>
      </c>
    </row>
    <row r="7" spans="1:14" s="494" customFormat="1" ht="17.25" customHeight="1">
      <c r="A7" s="56" t="s">
        <v>113</v>
      </c>
      <c r="B7" s="416">
        <v>17464.77</v>
      </c>
      <c r="C7" s="416">
        <v>17733.75</v>
      </c>
      <c r="D7" s="119">
        <v>16727.75</v>
      </c>
      <c r="E7" s="119">
        <v>15635</v>
      </c>
      <c r="F7" s="416">
        <v>14950.952380952382</v>
      </c>
      <c r="G7" s="416">
        <v>14270.5</v>
      </c>
      <c r="H7" s="416">
        <v>13705</v>
      </c>
      <c r="I7" s="416">
        <v>14282.14</v>
      </c>
      <c r="J7" s="416">
        <v>13779.52</v>
      </c>
      <c r="K7" s="416">
        <v>14069.78</v>
      </c>
      <c r="L7" s="416">
        <v>13729.05</v>
      </c>
      <c r="M7" s="414">
        <v>13914.5</v>
      </c>
      <c r="N7" s="415">
        <v>15096.55</v>
      </c>
    </row>
    <row r="8" spans="1:14" ht="17.25" customHeight="1">
      <c r="A8" s="56" t="s">
        <v>162</v>
      </c>
      <c r="B8" s="119">
        <v>14079.32</v>
      </c>
      <c r="C8" s="119">
        <v>14194.5</v>
      </c>
      <c r="D8" s="119">
        <v>15659.76</v>
      </c>
      <c r="E8" s="119">
        <v>17375</v>
      </c>
      <c r="F8" s="119">
        <v>19439.75</v>
      </c>
      <c r="G8" s="119">
        <v>18573.57</v>
      </c>
      <c r="H8" s="119">
        <v>19050.43</v>
      </c>
      <c r="I8" s="119">
        <v>18575.75</v>
      </c>
      <c r="J8" s="119">
        <v>18079.32</v>
      </c>
      <c r="K8" s="119">
        <v>15770.43</v>
      </c>
      <c r="L8" s="119">
        <v>15706.25</v>
      </c>
      <c r="M8" s="183">
        <v>15918.57</v>
      </c>
      <c r="N8" s="119">
        <v>16867.13</v>
      </c>
    </row>
    <row r="9" spans="1:14" s="581" customFormat="1" ht="17.25" customHeight="1">
      <c r="A9" s="411" t="s">
        <v>194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990"/>
      <c r="N9" s="984"/>
    </row>
    <row r="10" spans="1:14">
      <c r="A10" s="73" t="s">
        <v>12</v>
      </c>
      <c r="B10" s="122">
        <f>B9-M8</f>
        <v>-15918.57</v>
      </c>
      <c r="C10" s="122">
        <f t="shared" ref="C10:M10" si="0">C9-B9</f>
        <v>0</v>
      </c>
      <c r="D10" s="122">
        <f t="shared" si="0"/>
        <v>0</v>
      </c>
      <c r="E10" s="122">
        <f t="shared" si="0"/>
        <v>0</v>
      </c>
      <c r="F10" s="122">
        <f t="shared" si="0"/>
        <v>0</v>
      </c>
      <c r="G10" s="837">
        <f t="shared" si="0"/>
        <v>0</v>
      </c>
      <c r="H10" s="122">
        <f t="shared" si="0"/>
        <v>0</v>
      </c>
      <c r="I10" s="122">
        <f t="shared" si="0"/>
        <v>0</v>
      </c>
      <c r="J10" s="122">
        <f t="shared" si="0"/>
        <v>0</v>
      </c>
      <c r="K10" s="122">
        <f t="shared" si="0"/>
        <v>0</v>
      </c>
      <c r="L10" s="122">
        <f t="shared" si="0"/>
        <v>0</v>
      </c>
      <c r="M10" s="991">
        <f t="shared" si="0"/>
        <v>0</v>
      </c>
      <c r="N10" s="525"/>
    </row>
    <row r="11" spans="1:14">
      <c r="F11" s="581"/>
      <c r="G11" s="581"/>
      <c r="J11" s="221"/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7" tint="-0.499984740745262"/>
  </sheetPr>
  <dimension ref="A1:L1054"/>
  <sheetViews>
    <sheetView zoomScaleNormal="100" workbookViewId="0">
      <pane ySplit="2" topLeftCell="A770" activePane="bottomLeft" state="frozen"/>
      <selection pane="bottomLeft" activeCell="A796" sqref="A796"/>
    </sheetView>
  </sheetViews>
  <sheetFormatPr defaultRowHeight="15" customHeight="1"/>
  <cols>
    <col min="1" max="1" width="11.44140625" bestFit="1" customWidth="1"/>
    <col min="2" max="2" width="8.88671875" style="331"/>
    <col min="3" max="3" width="11.77734375" style="329" customWidth="1"/>
    <col min="4" max="4" width="12.33203125" style="330" bestFit="1" customWidth="1"/>
    <col min="6" max="7" width="9.6640625" bestFit="1" customWidth="1"/>
    <col min="8" max="8" width="13.88671875" style="578" customWidth="1"/>
    <col min="12" max="12" width="13.44140625" bestFit="1" customWidth="1"/>
  </cols>
  <sheetData>
    <row r="1" spans="1:10" s="123" customFormat="1" ht="15" customHeight="1">
      <c r="A1" s="1023" t="s">
        <v>3</v>
      </c>
      <c r="B1" s="5" t="s">
        <v>2</v>
      </c>
      <c r="C1" s="1096" t="s">
        <v>1</v>
      </c>
      <c r="D1" s="1098" t="s">
        <v>0</v>
      </c>
      <c r="E1" s="1080" t="s">
        <v>66</v>
      </c>
      <c r="F1" s="1022" t="s">
        <v>78</v>
      </c>
      <c r="G1" s="1022" t="s">
        <v>79</v>
      </c>
      <c r="H1" s="553" t="s">
        <v>11</v>
      </c>
    </row>
    <row r="2" spans="1:10" s="123" customFormat="1" ht="15" customHeight="1" thickBot="1">
      <c r="A2" s="1024"/>
      <c r="B2" s="14" t="s">
        <v>5</v>
      </c>
      <c r="C2" s="1097"/>
      <c r="D2" s="1099"/>
      <c r="E2" s="1081"/>
      <c r="F2" s="1076"/>
      <c r="G2" s="1076"/>
      <c r="H2" s="596" t="s">
        <v>6</v>
      </c>
    </row>
    <row r="3" spans="1:10" s="123" customFormat="1" ht="15" customHeight="1">
      <c r="A3" s="3">
        <v>40910</v>
      </c>
      <c r="B3" s="1069" t="s">
        <v>71</v>
      </c>
      <c r="C3" s="1069"/>
      <c r="D3" s="1069"/>
      <c r="E3" s="1069"/>
      <c r="F3" s="161"/>
      <c r="H3" s="1092" t="s">
        <v>71</v>
      </c>
      <c r="J3" s="342">
        <f>AVERAGE(C4:C18)</f>
        <v>20722.666666666668</v>
      </c>
    </row>
    <row r="4" spans="1:10" s="123" customFormat="1" ht="15" customHeight="1">
      <c r="A4" s="3">
        <v>40911</v>
      </c>
      <c r="B4" s="129">
        <v>12095</v>
      </c>
      <c r="C4" s="316">
        <v>19450</v>
      </c>
      <c r="D4" s="323">
        <v>19495</v>
      </c>
      <c r="E4" s="19" t="e">
        <f>+C4-#REF!</f>
        <v>#REF!</v>
      </c>
      <c r="F4" s="161"/>
      <c r="G4" s="161"/>
      <c r="H4" s="1093"/>
    </row>
    <row r="5" spans="1:10" s="123" customFormat="1" ht="15" customHeight="1">
      <c r="A5" s="3">
        <v>40912</v>
      </c>
      <c r="B5" s="129">
        <v>11795</v>
      </c>
      <c r="C5" s="316">
        <v>19675</v>
      </c>
      <c r="D5" s="323">
        <v>19750</v>
      </c>
      <c r="E5" s="19">
        <f t="shared" ref="E5:E14" si="0">+C5-C4</f>
        <v>225</v>
      </c>
      <c r="F5" s="161"/>
      <c r="G5" s="161"/>
      <c r="H5" s="554"/>
    </row>
    <row r="6" spans="1:10" s="123" customFormat="1" ht="15" customHeight="1">
      <c r="A6" s="3">
        <v>40913</v>
      </c>
      <c r="B6" s="129">
        <v>11360</v>
      </c>
      <c r="C6" s="316">
        <v>19415</v>
      </c>
      <c r="D6" s="323">
        <v>19450</v>
      </c>
      <c r="E6" s="19">
        <f t="shared" si="0"/>
        <v>-260</v>
      </c>
      <c r="F6" s="213"/>
      <c r="G6" s="213"/>
      <c r="H6" s="554"/>
    </row>
    <row r="7" spans="1:10" s="123" customFormat="1" ht="15" customHeight="1">
      <c r="A7" s="3">
        <v>40914</v>
      </c>
      <c r="B7" s="129">
        <v>11335</v>
      </c>
      <c r="C7" s="316">
        <v>19750</v>
      </c>
      <c r="D7" s="323">
        <v>19800</v>
      </c>
      <c r="E7" s="19">
        <f t="shared" si="0"/>
        <v>335</v>
      </c>
      <c r="F7" s="213"/>
      <c r="G7" s="213"/>
      <c r="H7" s="554"/>
    </row>
    <row r="8" spans="1:10" s="123" customFormat="1" ht="15" customHeight="1">
      <c r="A8" s="3">
        <v>40917</v>
      </c>
      <c r="B8" s="129">
        <v>11330</v>
      </c>
      <c r="C8" s="316">
        <v>20100</v>
      </c>
      <c r="D8" s="323">
        <v>20100</v>
      </c>
      <c r="E8" s="19">
        <f t="shared" si="0"/>
        <v>350</v>
      </c>
      <c r="F8" s="213"/>
      <c r="G8" s="213"/>
      <c r="H8" s="554"/>
    </row>
    <row r="9" spans="1:10" s="123" customFormat="1" ht="15" customHeight="1">
      <c r="A9" s="3">
        <v>40918</v>
      </c>
      <c r="B9" s="129">
        <v>11270</v>
      </c>
      <c r="C9" s="316">
        <v>20075</v>
      </c>
      <c r="D9" s="323">
        <v>20010</v>
      </c>
      <c r="E9" s="19">
        <f t="shared" si="0"/>
        <v>-25</v>
      </c>
      <c r="F9" s="213"/>
      <c r="G9" s="213"/>
      <c r="H9" s="554"/>
    </row>
    <row r="10" spans="1:10" s="123" customFormat="1" ht="15" customHeight="1">
      <c r="A10" s="3">
        <v>40919</v>
      </c>
      <c r="B10" s="129">
        <v>11250</v>
      </c>
      <c r="C10" s="316">
        <v>20300</v>
      </c>
      <c r="D10" s="323">
        <v>20350</v>
      </c>
      <c r="E10" s="19">
        <f t="shared" si="0"/>
        <v>225</v>
      </c>
      <c r="F10" s="213"/>
      <c r="G10" s="213"/>
      <c r="H10" s="554"/>
    </row>
    <row r="11" spans="1:10" s="123" customFormat="1" ht="15" customHeight="1">
      <c r="A11" s="3">
        <v>40920</v>
      </c>
      <c r="B11" s="129">
        <v>11250</v>
      </c>
      <c r="C11" s="316">
        <v>21100</v>
      </c>
      <c r="D11" s="323">
        <v>21100</v>
      </c>
      <c r="E11" s="19">
        <f t="shared" si="0"/>
        <v>800</v>
      </c>
      <c r="F11" s="213"/>
      <c r="G11" s="213"/>
      <c r="H11" s="554"/>
    </row>
    <row r="12" spans="1:10" s="123" customFormat="1" ht="15" customHeight="1">
      <c r="A12" s="3">
        <v>40921</v>
      </c>
      <c r="B12" s="129">
        <v>11205</v>
      </c>
      <c r="C12" s="316">
        <v>21090</v>
      </c>
      <c r="D12" s="323">
        <v>21100</v>
      </c>
      <c r="E12" s="19">
        <f t="shared" si="0"/>
        <v>-10</v>
      </c>
      <c r="F12" s="213"/>
      <c r="G12" s="213"/>
      <c r="H12" s="554"/>
    </row>
    <row r="13" spans="1:10" s="123" customFormat="1" ht="15" customHeight="1">
      <c r="A13" s="3">
        <v>40924</v>
      </c>
      <c r="B13" s="129">
        <v>11160</v>
      </c>
      <c r="C13" s="316">
        <v>20900</v>
      </c>
      <c r="D13" s="323">
        <v>20905</v>
      </c>
      <c r="E13" s="19">
        <f t="shared" si="0"/>
        <v>-190</v>
      </c>
      <c r="F13" s="213"/>
      <c r="G13" s="213"/>
      <c r="H13" s="554"/>
    </row>
    <row r="14" spans="1:10" s="123" customFormat="1" ht="15" customHeight="1">
      <c r="A14" s="3">
        <v>40925</v>
      </c>
      <c r="B14" s="129">
        <v>10935</v>
      </c>
      <c r="C14" s="316">
        <v>21600</v>
      </c>
      <c r="D14" s="323">
        <v>21650</v>
      </c>
      <c r="E14" s="19">
        <f t="shared" si="0"/>
        <v>700</v>
      </c>
      <c r="F14" s="213"/>
      <c r="G14" s="213"/>
      <c r="H14" s="554"/>
    </row>
    <row r="15" spans="1:10" s="123" customFormat="1" ht="15" customHeight="1">
      <c r="A15" s="3">
        <v>40926</v>
      </c>
      <c r="B15" s="129">
        <v>10885</v>
      </c>
      <c r="C15" s="316">
        <v>21600</v>
      </c>
      <c r="D15" s="323">
        <v>21650</v>
      </c>
      <c r="E15" s="19">
        <f>+C15-C13</f>
        <v>700</v>
      </c>
      <c r="F15" s="213"/>
      <c r="G15" s="213"/>
      <c r="H15" s="554"/>
    </row>
    <row r="16" spans="1:10" s="123" customFormat="1" ht="15" customHeight="1">
      <c r="A16" s="3">
        <v>40927</v>
      </c>
      <c r="B16" s="129">
        <v>10745</v>
      </c>
      <c r="C16" s="316">
        <v>22000</v>
      </c>
      <c r="D16" s="323">
        <v>22005</v>
      </c>
      <c r="E16" s="19">
        <f t="shared" ref="E16:E21" si="1">+C16-C15</f>
        <v>400</v>
      </c>
      <c r="F16" s="213"/>
      <c r="G16" s="213"/>
      <c r="H16" s="554"/>
    </row>
    <row r="17" spans="1:8" s="123" customFormat="1" ht="15" customHeight="1">
      <c r="A17" s="3">
        <v>40928</v>
      </c>
      <c r="B17" s="129">
        <v>9800</v>
      </c>
      <c r="C17" s="316">
        <v>21850</v>
      </c>
      <c r="D17" s="323">
        <v>21925</v>
      </c>
      <c r="E17" s="19">
        <f t="shared" si="1"/>
        <v>-150</v>
      </c>
      <c r="F17" s="213"/>
      <c r="G17" s="213"/>
      <c r="H17" s="554">
        <v>173000</v>
      </c>
    </row>
    <row r="18" spans="1:8" s="123" customFormat="1" ht="15" customHeight="1">
      <c r="A18" s="3">
        <v>40931</v>
      </c>
      <c r="B18" s="129">
        <v>9705</v>
      </c>
      <c r="C18" s="316">
        <v>21935</v>
      </c>
      <c r="D18" s="323">
        <v>22050</v>
      </c>
      <c r="E18" s="19">
        <f t="shared" si="1"/>
        <v>85</v>
      </c>
      <c r="F18" s="213"/>
      <c r="G18" s="213"/>
      <c r="H18" s="1093" t="s">
        <v>86</v>
      </c>
    </row>
    <row r="19" spans="1:8" s="123" customFormat="1" ht="15" customHeight="1">
      <c r="A19" s="3">
        <v>40932</v>
      </c>
      <c r="B19" s="129">
        <v>9685</v>
      </c>
      <c r="C19" s="316">
        <v>21860</v>
      </c>
      <c r="D19" s="323">
        <v>22000</v>
      </c>
      <c r="E19" s="19">
        <f t="shared" si="1"/>
        <v>-75</v>
      </c>
      <c r="F19" s="213"/>
      <c r="G19" s="213"/>
      <c r="H19" s="1093"/>
    </row>
    <row r="20" spans="1:8" s="123" customFormat="1" ht="15" customHeight="1">
      <c r="A20" s="3">
        <v>40933</v>
      </c>
      <c r="B20" s="129">
        <v>9685</v>
      </c>
      <c r="C20" s="316">
        <v>22005</v>
      </c>
      <c r="D20" s="323">
        <v>22145</v>
      </c>
      <c r="E20" s="19">
        <f t="shared" si="1"/>
        <v>145</v>
      </c>
      <c r="F20" s="213"/>
      <c r="G20" s="213"/>
      <c r="H20" s="1093"/>
    </row>
    <row r="21" spans="1:8" s="123" customFormat="1" ht="15" customHeight="1">
      <c r="A21" s="3">
        <v>40934</v>
      </c>
      <c r="B21" s="129">
        <v>9664</v>
      </c>
      <c r="C21" s="316">
        <v>23330</v>
      </c>
      <c r="D21" s="323">
        <v>23400</v>
      </c>
      <c r="E21" s="19">
        <f t="shared" si="1"/>
        <v>1325</v>
      </c>
      <c r="F21" s="213"/>
      <c r="G21" s="213"/>
      <c r="H21" s="1093"/>
    </row>
    <row r="22" spans="1:8" ht="15" customHeight="1">
      <c r="A22" s="3">
        <v>40935</v>
      </c>
      <c r="B22" s="129">
        <v>9365</v>
      </c>
      <c r="C22" s="316">
        <v>24310</v>
      </c>
      <c r="D22" s="323">
        <v>24325</v>
      </c>
      <c r="E22" s="19">
        <f t="shared" ref="E22:E27" si="2">+C22-C21</f>
        <v>980</v>
      </c>
      <c r="F22" s="213"/>
      <c r="G22" s="213"/>
      <c r="H22" s="1093"/>
    </row>
    <row r="23" spans="1:8" ht="15" customHeight="1">
      <c r="A23" s="3">
        <v>40938</v>
      </c>
      <c r="B23" s="129">
        <v>9315</v>
      </c>
      <c r="C23" s="316">
        <v>24050</v>
      </c>
      <c r="D23" s="323">
        <v>24005</v>
      </c>
      <c r="E23" s="19">
        <f t="shared" si="2"/>
        <v>-260</v>
      </c>
      <c r="F23" s="213"/>
      <c r="G23" s="213"/>
      <c r="H23" s="554">
        <v>181000</v>
      </c>
    </row>
    <row r="24" spans="1:8" ht="15" customHeight="1" thickBot="1">
      <c r="A24" s="12">
        <v>40939</v>
      </c>
      <c r="B24" s="142">
        <v>9100</v>
      </c>
      <c r="C24" s="317">
        <v>24290</v>
      </c>
      <c r="D24" s="324">
        <v>24325</v>
      </c>
      <c r="E24" s="20">
        <f t="shared" si="2"/>
        <v>240</v>
      </c>
      <c r="F24" s="260">
        <f>AVERAGE(C4:C24)</f>
        <v>21461.190476190477</v>
      </c>
      <c r="G24" s="261">
        <f>AVERAGE(C4:C24)</f>
        <v>21461.190476190477</v>
      </c>
      <c r="H24" s="555">
        <v>183000</v>
      </c>
    </row>
    <row r="25" spans="1:8" ht="15" customHeight="1">
      <c r="A25" s="3">
        <v>40940</v>
      </c>
      <c r="B25" s="132">
        <v>9175</v>
      </c>
      <c r="C25" s="318">
        <v>24060</v>
      </c>
      <c r="D25" s="315">
        <v>24250</v>
      </c>
      <c r="E25" s="19">
        <f t="shared" si="2"/>
        <v>-230</v>
      </c>
      <c r="F25" s="145"/>
      <c r="G25" s="145"/>
      <c r="H25" s="556">
        <v>183000</v>
      </c>
    </row>
    <row r="26" spans="1:8" ht="15" customHeight="1">
      <c r="A26" s="3">
        <v>40941</v>
      </c>
      <c r="B26" s="132">
        <v>9200</v>
      </c>
      <c r="C26" s="318">
        <v>24100</v>
      </c>
      <c r="D26" s="315">
        <v>24150</v>
      </c>
      <c r="E26" s="19">
        <f t="shared" si="2"/>
        <v>40</v>
      </c>
      <c r="F26" s="145"/>
      <c r="G26" s="145"/>
      <c r="H26" s="554">
        <v>184500</v>
      </c>
    </row>
    <row r="27" spans="1:8" ht="15" customHeight="1">
      <c r="A27" s="3">
        <v>40942</v>
      </c>
      <c r="B27" s="132">
        <v>9240</v>
      </c>
      <c r="C27" s="318">
        <v>24000</v>
      </c>
      <c r="D27" s="315">
        <v>24075</v>
      </c>
      <c r="E27" s="19">
        <f t="shared" si="2"/>
        <v>-100</v>
      </c>
      <c r="F27" s="145"/>
      <c r="G27" s="145"/>
      <c r="H27" s="557">
        <v>183500</v>
      </c>
    </row>
    <row r="28" spans="1:8" ht="15" customHeight="1">
      <c r="A28" s="3">
        <v>40945</v>
      </c>
      <c r="B28" s="132">
        <v>9400</v>
      </c>
      <c r="C28" s="318">
        <v>24375</v>
      </c>
      <c r="D28" s="315">
        <v>24400</v>
      </c>
      <c r="E28" s="19">
        <f t="shared" ref="E28:E33" si="3">+C28-C27</f>
        <v>375</v>
      </c>
      <c r="F28" s="145"/>
      <c r="G28" s="145"/>
      <c r="H28" s="557">
        <v>182500</v>
      </c>
    </row>
    <row r="29" spans="1:8" ht="15" customHeight="1">
      <c r="A29" s="3">
        <v>40946</v>
      </c>
      <c r="B29" s="132">
        <v>9125</v>
      </c>
      <c r="C29" s="318">
        <v>24250</v>
      </c>
      <c r="D29" s="315">
        <v>24300</v>
      </c>
      <c r="E29" s="19">
        <f t="shared" si="3"/>
        <v>-125</v>
      </c>
      <c r="F29" s="145"/>
      <c r="G29" s="145"/>
      <c r="H29" s="557">
        <v>181000</v>
      </c>
    </row>
    <row r="30" spans="1:8" ht="15" customHeight="1">
      <c r="A30" s="3">
        <v>40947</v>
      </c>
      <c r="B30" s="132">
        <v>9090</v>
      </c>
      <c r="C30" s="318">
        <v>25650</v>
      </c>
      <c r="D30" s="315">
        <v>25700</v>
      </c>
      <c r="E30" s="19">
        <f t="shared" si="3"/>
        <v>1400</v>
      </c>
      <c r="F30" s="145"/>
      <c r="G30" s="145"/>
      <c r="H30" s="557">
        <v>179500</v>
      </c>
    </row>
    <row r="31" spans="1:8" ht="15" customHeight="1">
      <c r="A31" s="3">
        <v>40948</v>
      </c>
      <c r="B31" s="132">
        <v>9090</v>
      </c>
      <c r="C31" s="318">
        <v>25160</v>
      </c>
      <c r="D31" s="315">
        <v>25205</v>
      </c>
      <c r="E31" s="19">
        <f t="shared" si="3"/>
        <v>-490</v>
      </c>
      <c r="F31" s="145"/>
      <c r="G31" s="145"/>
      <c r="H31" s="557">
        <v>179500</v>
      </c>
    </row>
    <row r="32" spans="1:8" ht="15" customHeight="1">
      <c r="A32" s="3">
        <v>40949</v>
      </c>
      <c r="B32" s="132">
        <v>9150</v>
      </c>
      <c r="C32" s="318">
        <v>25500</v>
      </c>
      <c r="D32" s="315">
        <v>25500</v>
      </c>
      <c r="E32" s="19">
        <f t="shared" si="3"/>
        <v>340</v>
      </c>
      <c r="F32" s="145"/>
      <c r="G32" s="145"/>
      <c r="H32" s="557">
        <v>179500</v>
      </c>
    </row>
    <row r="33" spans="1:8" ht="15" customHeight="1">
      <c r="A33" s="3">
        <v>40952</v>
      </c>
      <c r="B33" s="132">
        <v>9190</v>
      </c>
      <c r="C33" s="318">
        <v>25325</v>
      </c>
      <c r="D33" s="315">
        <v>25325</v>
      </c>
      <c r="E33" s="19">
        <f t="shared" si="3"/>
        <v>-175</v>
      </c>
      <c r="F33" s="145"/>
      <c r="G33" s="145"/>
      <c r="H33" s="557">
        <v>181000</v>
      </c>
    </row>
    <row r="34" spans="1:8" ht="15" customHeight="1">
      <c r="A34" s="3">
        <v>40953</v>
      </c>
      <c r="B34" s="132">
        <v>9300</v>
      </c>
      <c r="C34" s="318">
        <v>24800</v>
      </c>
      <c r="D34" s="315">
        <v>24840</v>
      </c>
      <c r="E34" s="19">
        <f t="shared" ref="E34:E39" si="4">+C34-C33</f>
        <v>-525</v>
      </c>
      <c r="F34" s="145"/>
      <c r="G34" s="145"/>
      <c r="H34" s="557">
        <v>180250</v>
      </c>
    </row>
    <row r="35" spans="1:8" ht="15" customHeight="1">
      <c r="A35" s="3">
        <v>40954</v>
      </c>
      <c r="B35" s="132">
        <v>9180</v>
      </c>
      <c r="C35" s="318">
        <v>24535</v>
      </c>
      <c r="D35" s="315">
        <v>24575</v>
      </c>
      <c r="E35" s="19">
        <f t="shared" si="4"/>
        <v>-265</v>
      </c>
      <c r="F35" s="145"/>
      <c r="G35" s="145"/>
      <c r="H35" s="557">
        <v>178750</v>
      </c>
    </row>
    <row r="36" spans="1:8" ht="15" customHeight="1">
      <c r="A36" s="3">
        <v>40955</v>
      </c>
      <c r="B36" s="132">
        <v>10000</v>
      </c>
      <c r="C36" s="318">
        <v>24005</v>
      </c>
      <c r="D36" s="315">
        <v>24150</v>
      </c>
      <c r="E36" s="19">
        <f t="shared" si="4"/>
        <v>-530</v>
      </c>
      <c r="F36" s="145"/>
      <c r="G36" s="145"/>
      <c r="H36" s="557">
        <v>178000</v>
      </c>
    </row>
    <row r="37" spans="1:8" ht="15" customHeight="1">
      <c r="A37" s="3">
        <v>40956</v>
      </c>
      <c r="B37" s="132">
        <v>9995</v>
      </c>
      <c r="C37" s="318">
        <v>24200</v>
      </c>
      <c r="D37" s="315">
        <v>24275</v>
      </c>
      <c r="E37" s="19">
        <f t="shared" si="4"/>
        <v>195</v>
      </c>
      <c r="F37" s="145"/>
      <c r="G37" s="145"/>
      <c r="H37" s="557">
        <v>177500</v>
      </c>
    </row>
    <row r="38" spans="1:8" ht="15" customHeight="1">
      <c r="A38" s="3">
        <v>40959</v>
      </c>
      <c r="B38" s="132">
        <v>10080</v>
      </c>
      <c r="C38" s="318">
        <v>23550</v>
      </c>
      <c r="D38" s="315">
        <v>23600</v>
      </c>
      <c r="E38" s="19">
        <f t="shared" si="4"/>
        <v>-650</v>
      </c>
      <c r="F38" s="145"/>
      <c r="G38" s="145"/>
      <c r="H38" s="557">
        <v>175500</v>
      </c>
    </row>
    <row r="39" spans="1:8" ht="15" customHeight="1">
      <c r="A39" s="3">
        <v>40960</v>
      </c>
      <c r="B39" s="132">
        <v>10005</v>
      </c>
      <c r="C39" s="318">
        <v>23750</v>
      </c>
      <c r="D39" s="315">
        <v>23825</v>
      </c>
      <c r="E39" s="19">
        <f t="shared" si="4"/>
        <v>200</v>
      </c>
      <c r="F39" s="145"/>
      <c r="G39" s="145"/>
      <c r="H39" s="557">
        <v>173250</v>
      </c>
    </row>
    <row r="40" spans="1:8" ht="15" customHeight="1">
      <c r="A40" s="3">
        <v>40961</v>
      </c>
      <c r="B40" s="132">
        <v>9945</v>
      </c>
      <c r="C40" s="318">
        <v>23950</v>
      </c>
      <c r="D40" s="315">
        <v>24000</v>
      </c>
      <c r="E40" s="19">
        <f t="shared" ref="E40:E46" si="5">+C40-C39</f>
        <v>200</v>
      </c>
      <c r="F40" s="145"/>
      <c r="G40" s="145"/>
      <c r="H40" s="557">
        <v>173500</v>
      </c>
    </row>
    <row r="41" spans="1:8" ht="15" customHeight="1">
      <c r="A41" s="3">
        <v>40962</v>
      </c>
      <c r="B41" s="132">
        <v>9840</v>
      </c>
      <c r="C41" s="318">
        <v>24035</v>
      </c>
      <c r="D41" s="315">
        <v>24125</v>
      </c>
      <c r="E41" s="19">
        <f t="shared" si="5"/>
        <v>85</v>
      </c>
      <c r="F41" s="145"/>
      <c r="G41" s="145"/>
      <c r="H41" s="557">
        <v>173500</v>
      </c>
    </row>
    <row r="42" spans="1:8" ht="15" customHeight="1">
      <c r="A42" s="3">
        <v>40963</v>
      </c>
      <c r="B42" s="132">
        <v>10250</v>
      </c>
      <c r="C42" s="318">
        <v>24100</v>
      </c>
      <c r="D42" s="315">
        <v>24050</v>
      </c>
      <c r="E42" s="19">
        <f t="shared" si="5"/>
        <v>65</v>
      </c>
      <c r="F42" s="145"/>
      <c r="G42" s="145"/>
      <c r="H42" s="557">
        <v>174000</v>
      </c>
    </row>
    <row r="43" spans="1:8" ht="15" customHeight="1">
      <c r="A43" s="3">
        <v>40966</v>
      </c>
      <c r="B43" s="132">
        <v>10250</v>
      </c>
      <c r="C43" s="318">
        <v>23475</v>
      </c>
      <c r="D43" s="315">
        <v>23525</v>
      </c>
      <c r="E43" s="19">
        <f t="shared" si="5"/>
        <v>-625</v>
      </c>
      <c r="F43" s="145"/>
      <c r="G43" s="145"/>
      <c r="H43" s="557">
        <v>174250</v>
      </c>
    </row>
    <row r="44" spans="1:8" ht="15" customHeight="1">
      <c r="A44" s="3">
        <v>40967</v>
      </c>
      <c r="B44" s="129">
        <v>10250</v>
      </c>
      <c r="C44" s="316">
        <v>24125</v>
      </c>
      <c r="D44" s="323">
        <v>24125</v>
      </c>
      <c r="E44" s="19">
        <f t="shared" si="5"/>
        <v>650</v>
      </c>
      <c r="F44" s="213"/>
      <c r="G44" s="213"/>
      <c r="H44" s="557">
        <v>173750</v>
      </c>
    </row>
    <row r="45" spans="1:8" ht="15" customHeight="1" thickBot="1">
      <c r="A45" s="12">
        <v>40968</v>
      </c>
      <c r="B45" s="142">
        <v>10470</v>
      </c>
      <c r="C45" s="317">
        <v>24250</v>
      </c>
      <c r="D45" s="324">
        <v>24300</v>
      </c>
      <c r="E45" s="20">
        <f t="shared" si="5"/>
        <v>125</v>
      </c>
      <c r="F45" s="260">
        <f>AVERAGE(C25:C45)</f>
        <v>24342.619047619046</v>
      </c>
      <c r="G45" s="261">
        <f>AVERAGE(C4:C45)</f>
        <v>22901.904761904763</v>
      </c>
      <c r="H45" s="558"/>
    </row>
    <row r="46" spans="1:8" ht="15" customHeight="1">
      <c r="A46" s="36">
        <v>40969</v>
      </c>
      <c r="B46" s="152">
        <v>10615</v>
      </c>
      <c r="C46" s="319">
        <v>23880</v>
      </c>
      <c r="D46" s="325">
        <v>23945</v>
      </c>
      <c r="E46" s="21">
        <f t="shared" si="5"/>
        <v>-370</v>
      </c>
      <c r="F46" s="216"/>
      <c r="G46" s="216"/>
      <c r="H46" s="559">
        <v>173500</v>
      </c>
    </row>
    <row r="47" spans="1:8" ht="15" customHeight="1">
      <c r="A47" s="3">
        <v>40970</v>
      </c>
      <c r="B47" s="129">
        <v>11035</v>
      </c>
      <c r="C47" s="316">
        <v>23650</v>
      </c>
      <c r="D47" s="323">
        <v>23700</v>
      </c>
      <c r="E47" s="19">
        <f t="shared" ref="E47:E52" si="6">+C47-C46</f>
        <v>-230</v>
      </c>
      <c r="F47" s="213"/>
      <c r="G47" s="213"/>
      <c r="H47" s="557">
        <v>173500</v>
      </c>
    </row>
    <row r="48" spans="1:8" ht="15" customHeight="1">
      <c r="A48" s="3">
        <v>40973</v>
      </c>
      <c r="B48" s="129">
        <v>11225</v>
      </c>
      <c r="C48" s="316">
        <v>22905</v>
      </c>
      <c r="D48" s="323">
        <v>23075</v>
      </c>
      <c r="E48" s="19">
        <f t="shared" si="6"/>
        <v>-745</v>
      </c>
      <c r="F48" s="213"/>
      <c r="G48" s="213"/>
      <c r="H48" s="557">
        <v>173500</v>
      </c>
    </row>
    <row r="49" spans="1:8" ht="15" customHeight="1">
      <c r="A49" s="3">
        <v>40974</v>
      </c>
      <c r="B49" s="129">
        <v>11315</v>
      </c>
      <c r="C49" s="316">
        <v>22700</v>
      </c>
      <c r="D49" s="323">
        <v>22700</v>
      </c>
      <c r="E49" s="19">
        <f t="shared" si="6"/>
        <v>-205</v>
      </c>
      <c r="F49" s="213"/>
      <c r="G49" s="213"/>
      <c r="H49" s="557">
        <v>172750</v>
      </c>
    </row>
    <row r="50" spans="1:8" ht="15" customHeight="1">
      <c r="A50" s="3">
        <v>40975</v>
      </c>
      <c r="B50" s="129">
        <v>11460</v>
      </c>
      <c r="C50" s="316">
        <v>22450</v>
      </c>
      <c r="D50" s="323">
        <v>22455</v>
      </c>
      <c r="E50" s="19">
        <f t="shared" si="6"/>
        <v>-250</v>
      </c>
      <c r="F50" s="213"/>
      <c r="G50" s="213"/>
      <c r="H50" s="557">
        <v>171000</v>
      </c>
    </row>
    <row r="51" spans="1:8" ht="15" customHeight="1">
      <c r="A51" s="3">
        <v>40976</v>
      </c>
      <c r="B51" s="129">
        <v>11545</v>
      </c>
      <c r="C51" s="316">
        <v>22900</v>
      </c>
      <c r="D51" s="323">
        <v>22950</v>
      </c>
      <c r="E51" s="19">
        <f t="shared" si="6"/>
        <v>450</v>
      </c>
      <c r="F51" s="213"/>
      <c r="G51" s="213"/>
      <c r="H51" s="557">
        <v>170750</v>
      </c>
    </row>
    <row r="52" spans="1:8" ht="15" customHeight="1">
      <c r="A52" s="3">
        <v>40977</v>
      </c>
      <c r="B52" s="129">
        <v>11620</v>
      </c>
      <c r="C52" s="316">
        <v>22660</v>
      </c>
      <c r="D52" s="323">
        <v>22700</v>
      </c>
      <c r="E52" s="19">
        <f t="shared" si="6"/>
        <v>-240</v>
      </c>
      <c r="F52" s="213"/>
      <c r="G52" s="213"/>
      <c r="H52" s="557">
        <v>170500</v>
      </c>
    </row>
    <row r="53" spans="1:8" ht="15" customHeight="1">
      <c r="A53" s="3">
        <v>40980</v>
      </c>
      <c r="B53" s="129">
        <v>11615</v>
      </c>
      <c r="C53" s="316">
        <v>22905</v>
      </c>
      <c r="D53" s="323">
        <v>23000</v>
      </c>
      <c r="E53" s="19">
        <f t="shared" ref="E53:E58" si="7">+C53-C52</f>
        <v>245</v>
      </c>
      <c r="F53" s="213"/>
      <c r="G53" s="213"/>
      <c r="H53" s="557">
        <v>171500</v>
      </c>
    </row>
    <row r="54" spans="1:8" ht="15" customHeight="1">
      <c r="A54" s="3">
        <v>40981</v>
      </c>
      <c r="B54" s="129">
        <v>11595</v>
      </c>
      <c r="C54" s="316">
        <v>23450</v>
      </c>
      <c r="D54" s="323">
        <v>23550</v>
      </c>
      <c r="E54" s="19">
        <f t="shared" si="7"/>
        <v>545</v>
      </c>
      <c r="F54" s="213"/>
      <c r="G54" s="213"/>
      <c r="H54" s="557">
        <v>171500</v>
      </c>
    </row>
    <row r="55" spans="1:8" ht="15" customHeight="1">
      <c r="A55" s="3">
        <v>40982</v>
      </c>
      <c r="B55" s="129">
        <v>11570</v>
      </c>
      <c r="C55" s="316">
        <v>23900</v>
      </c>
      <c r="D55" s="323">
        <v>23950</v>
      </c>
      <c r="E55" s="19">
        <f t="shared" si="7"/>
        <v>450</v>
      </c>
      <c r="F55" s="213"/>
      <c r="G55" s="213"/>
      <c r="H55" s="557">
        <v>173500</v>
      </c>
    </row>
    <row r="56" spans="1:8" ht="15" customHeight="1">
      <c r="A56" s="3">
        <v>40983</v>
      </c>
      <c r="B56" s="129">
        <v>11570</v>
      </c>
      <c r="C56" s="316">
        <v>23530</v>
      </c>
      <c r="D56" s="323">
        <v>23650</v>
      </c>
      <c r="E56" s="19">
        <f t="shared" si="7"/>
        <v>-370</v>
      </c>
      <c r="F56" s="213"/>
      <c r="G56" s="213"/>
      <c r="H56" s="557">
        <v>174000</v>
      </c>
    </row>
    <row r="57" spans="1:8" ht="15" customHeight="1">
      <c r="A57" s="3">
        <v>40984</v>
      </c>
      <c r="B57" s="129">
        <v>11570</v>
      </c>
      <c r="C57" s="316">
        <v>23800</v>
      </c>
      <c r="D57" s="323">
        <v>23850</v>
      </c>
      <c r="E57" s="19">
        <f t="shared" si="7"/>
        <v>270</v>
      </c>
      <c r="F57" s="213"/>
      <c r="G57" s="213"/>
      <c r="H57" s="557">
        <v>173500</v>
      </c>
    </row>
    <row r="58" spans="1:8" ht="15" customHeight="1">
      <c r="A58" s="3">
        <v>40987</v>
      </c>
      <c r="B58" s="129">
        <v>11555</v>
      </c>
      <c r="C58" s="316">
        <v>23625</v>
      </c>
      <c r="D58" s="323">
        <v>23650</v>
      </c>
      <c r="E58" s="19">
        <f t="shared" si="7"/>
        <v>-175</v>
      </c>
      <c r="F58" s="213"/>
      <c r="G58" s="213"/>
      <c r="H58" s="557">
        <v>172000</v>
      </c>
    </row>
    <row r="59" spans="1:8" ht="15" customHeight="1">
      <c r="A59" s="3">
        <v>40988</v>
      </c>
      <c r="B59" s="129">
        <v>12095</v>
      </c>
      <c r="C59" s="316">
        <v>23170</v>
      </c>
      <c r="D59" s="323">
        <v>23250</v>
      </c>
      <c r="E59" s="19">
        <f t="shared" ref="E59:E64" si="8">+C59-C58</f>
        <v>-455</v>
      </c>
      <c r="F59" s="213"/>
      <c r="G59" s="213"/>
      <c r="H59" s="557">
        <v>172250</v>
      </c>
    </row>
    <row r="60" spans="1:8" ht="15" customHeight="1">
      <c r="A60" s="3">
        <v>40989</v>
      </c>
      <c r="B60" s="129">
        <v>12500</v>
      </c>
      <c r="C60" s="316">
        <v>23305</v>
      </c>
      <c r="D60" s="323">
        <v>23330</v>
      </c>
      <c r="E60" s="19">
        <f t="shared" si="8"/>
        <v>135</v>
      </c>
      <c r="F60" s="213"/>
      <c r="G60" s="213"/>
      <c r="H60" s="557">
        <v>171000</v>
      </c>
    </row>
    <row r="61" spans="1:8" ht="15" customHeight="1">
      <c r="A61" s="3">
        <v>40990</v>
      </c>
      <c r="B61" s="129">
        <v>12690</v>
      </c>
      <c r="C61" s="316">
        <v>22325</v>
      </c>
      <c r="D61" s="323">
        <v>22305</v>
      </c>
      <c r="E61" s="19">
        <f t="shared" si="8"/>
        <v>-980</v>
      </c>
      <c r="F61" s="213"/>
      <c r="G61" s="213"/>
      <c r="H61" s="557">
        <v>170500</v>
      </c>
    </row>
    <row r="62" spans="1:8" ht="15" customHeight="1">
      <c r="A62" s="3">
        <v>40991</v>
      </c>
      <c r="B62" s="129">
        <v>12705</v>
      </c>
      <c r="C62" s="316">
        <v>22350</v>
      </c>
      <c r="D62" s="323">
        <v>22375</v>
      </c>
      <c r="E62" s="19">
        <f t="shared" si="8"/>
        <v>25</v>
      </c>
      <c r="F62" s="213"/>
      <c r="G62" s="213"/>
      <c r="H62" s="557">
        <v>169750</v>
      </c>
    </row>
    <row r="63" spans="1:8" ht="15" customHeight="1">
      <c r="A63" s="3">
        <v>40994</v>
      </c>
      <c r="B63" s="129">
        <v>12825</v>
      </c>
      <c r="C63" s="316">
        <v>22375</v>
      </c>
      <c r="D63" s="323">
        <v>22355</v>
      </c>
      <c r="E63" s="19">
        <f t="shared" si="8"/>
        <v>25</v>
      </c>
      <c r="F63" s="213"/>
      <c r="G63" s="213"/>
      <c r="H63" s="557">
        <v>169750</v>
      </c>
    </row>
    <row r="64" spans="1:8" ht="15" customHeight="1">
      <c r="A64" s="3">
        <v>40995</v>
      </c>
      <c r="B64" s="129">
        <v>12810</v>
      </c>
      <c r="C64" s="316">
        <v>22475</v>
      </c>
      <c r="D64" s="323">
        <v>22550</v>
      </c>
      <c r="E64" s="19">
        <f t="shared" si="8"/>
        <v>100</v>
      </c>
      <c r="F64" s="213"/>
      <c r="G64" s="213"/>
      <c r="H64" s="557">
        <v>169750</v>
      </c>
    </row>
    <row r="65" spans="1:8" ht="15" customHeight="1">
      <c r="A65" s="3">
        <v>40996</v>
      </c>
      <c r="B65" s="129">
        <v>12950</v>
      </c>
      <c r="C65" s="316">
        <v>22450</v>
      </c>
      <c r="D65" s="323">
        <v>22425</v>
      </c>
      <c r="E65" s="19">
        <f t="shared" ref="E65:E70" si="9">+C65-C64</f>
        <v>-25</v>
      </c>
      <c r="F65" s="213"/>
      <c r="G65" s="213"/>
      <c r="H65" s="557">
        <v>169500</v>
      </c>
    </row>
    <row r="66" spans="1:8" ht="15" customHeight="1">
      <c r="A66" s="3">
        <v>40997</v>
      </c>
      <c r="B66" s="129">
        <v>12925</v>
      </c>
      <c r="C66" s="316">
        <v>22350</v>
      </c>
      <c r="D66" s="323">
        <v>22425</v>
      </c>
      <c r="E66" s="19">
        <f t="shared" si="9"/>
        <v>-100</v>
      </c>
      <c r="F66" s="213"/>
      <c r="G66" s="213"/>
      <c r="H66" s="557">
        <v>170000</v>
      </c>
    </row>
    <row r="67" spans="1:8" ht="15" customHeight="1" thickBot="1">
      <c r="A67" s="12">
        <v>40998</v>
      </c>
      <c r="B67" s="142">
        <v>13080</v>
      </c>
      <c r="C67" s="317">
        <v>23200</v>
      </c>
      <c r="D67" s="324">
        <v>23100</v>
      </c>
      <c r="E67" s="20">
        <f t="shared" si="9"/>
        <v>850</v>
      </c>
      <c r="F67" s="260">
        <f>AVERAGE(C46:C67)</f>
        <v>23016.136363636364</v>
      </c>
      <c r="G67" s="261">
        <f>AVERAGE(C4:C67)</f>
        <v>22941.171875</v>
      </c>
      <c r="H67" s="560">
        <v>170000</v>
      </c>
    </row>
    <row r="68" spans="1:8" ht="15" customHeight="1">
      <c r="A68" s="36">
        <v>41001</v>
      </c>
      <c r="B68" s="235">
        <v>13090</v>
      </c>
      <c r="C68" s="320">
        <v>22750</v>
      </c>
      <c r="D68" s="326">
        <v>22810</v>
      </c>
      <c r="E68" s="21">
        <f t="shared" si="9"/>
        <v>-450</v>
      </c>
      <c r="F68" s="216"/>
      <c r="G68" s="216"/>
      <c r="H68" s="1092" t="s">
        <v>90</v>
      </c>
    </row>
    <row r="69" spans="1:8" ht="15" customHeight="1">
      <c r="A69" s="3">
        <v>41002</v>
      </c>
      <c r="B69" s="130">
        <v>13285</v>
      </c>
      <c r="C69" s="321">
        <v>23100</v>
      </c>
      <c r="D69" s="327">
        <v>23200</v>
      </c>
      <c r="E69" s="19">
        <f t="shared" si="9"/>
        <v>350</v>
      </c>
      <c r="F69" s="213"/>
      <c r="G69" s="213"/>
      <c r="H69" s="1093"/>
    </row>
    <row r="70" spans="1:8" ht="15" customHeight="1">
      <c r="A70" s="3">
        <v>41003</v>
      </c>
      <c r="B70" s="130">
        <v>13285</v>
      </c>
      <c r="C70" s="321">
        <v>22550</v>
      </c>
      <c r="D70" s="327">
        <v>22505</v>
      </c>
      <c r="E70" s="19">
        <f t="shared" si="9"/>
        <v>-550</v>
      </c>
      <c r="F70" s="213"/>
      <c r="G70" s="213"/>
      <c r="H70" s="1093"/>
    </row>
    <row r="71" spans="1:8" ht="15" customHeight="1">
      <c r="A71" s="3">
        <v>41004</v>
      </c>
      <c r="B71" s="130">
        <v>13070</v>
      </c>
      <c r="C71" s="321">
        <v>22500</v>
      </c>
      <c r="D71" s="327">
        <v>22455</v>
      </c>
      <c r="E71" s="19">
        <f>+C71-C70</f>
        <v>-50</v>
      </c>
      <c r="F71" s="213"/>
      <c r="G71" s="213"/>
      <c r="H71" s="557">
        <v>170000</v>
      </c>
    </row>
    <row r="72" spans="1:8" ht="15" customHeight="1">
      <c r="A72" s="3">
        <v>41005</v>
      </c>
      <c r="B72" s="1066" t="s">
        <v>71</v>
      </c>
      <c r="C72" s="1066"/>
      <c r="D72" s="1066"/>
      <c r="E72" s="1066"/>
      <c r="F72" s="213"/>
      <c r="G72" s="213"/>
      <c r="H72" s="557">
        <v>170000</v>
      </c>
    </row>
    <row r="73" spans="1:8" ht="15" customHeight="1">
      <c r="A73" s="3">
        <v>41008</v>
      </c>
      <c r="B73" s="1066"/>
      <c r="C73" s="1066"/>
      <c r="D73" s="1066"/>
      <c r="E73" s="1066"/>
      <c r="F73" s="213"/>
      <c r="G73" s="213"/>
      <c r="H73" s="557">
        <v>169250</v>
      </c>
    </row>
    <row r="74" spans="1:8" ht="15" customHeight="1">
      <c r="A74" s="3">
        <v>41009</v>
      </c>
      <c r="B74" s="130">
        <v>13045</v>
      </c>
      <c r="C74" s="321">
        <v>22850</v>
      </c>
      <c r="D74" s="327">
        <v>23000</v>
      </c>
      <c r="E74" s="19">
        <f>+C74-C71</f>
        <v>350</v>
      </c>
      <c r="F74" s="213"/>
      <c r="G74" s="213"/>
      <c r="H74" s="557">
        <v>168250</v>
      </c>
    </row>
    <row r="75" spans="1:8" ht="15" customHeight="1">
      <c r="A75" s="3">
        <v>41010</v>
      </c>
      <c r="B75" s="130">
        <v>13150</v>
      </c>
      <c r="C75" s="321">
        <v>22650</v>
      </c>
      <c r="D75" s="327">
        <v>22730</v>
      </c>
      <c r="E75" s="19">
        <f t="shared" ref="E75:E80" si="10">+C75-C74</f>
        <v>-200</v>
      </c>
      <c r="F75" s="213"/>
      <c r="G75" s="213"/>
      <c r="H75" s="557">
        <v>168000</v>
      </c>
    </row>
    <row r="76" spans="1:8" ht="15" customHeight="1">
      <c r="A76" s="3">
        <v>41011</v>
      </c>
      <c r="B76" s="130">
        <v>13150</v>
      </c>
      <c r="C76" s="321">
        <v>22625</v>
      </c>
      <c r="D76" s="327">
        <v>22700</v>
      </c>
      <c r="E76" s="19">
        <f t="shared" si="10"/>
        <v>-25</v>
      </c>
      <c r="F76" s="213"/>
      <c r="G76" s="213"/>
      <c r="H76" s="557">
        <v>167250</v>
      </c>
    </row>
    <row r="77" spans="1:8" ht="15" customHeight="1">
      <c r="A77" s="3">
        <v>41012</v>
      </c>
      <c r="B77" s="130">
        <v>13265</v>
      </c>
      <c r="C77" s="321">
        <v>22650</v>
      </c>
      <c r="D77" s="327">
        <v>22605</v>
      </c>
      <c r="E77" s="19">
        <f t="shared" si="10"/>
        <v>25</v>
      </c>
      <c r="F77" s="213"/>
      <c r="G77" s="213"/>
      <c r="H77" s="557">
        <v>167250</v>
      </c>
    </row>
    <row r="78" spans="1:8" ht="15" customHeight="1">
      <c r="A78" s="3">
        <v>41015</v>
      </c>
      <c r="B78" s="130">
        <v>13240</v>
      </c>
      <c r="C78" s="321">
        <v>21650</v>
      </c>
      <c r="D78" s="327">
        <v>21795</v>
      </c>
      <c r="E78" s="19">
        <f t="shared" si="10"/>
        <v>-1000</v>
      </c>
      <c r="F78" s="213"/>
      <c r="G78" s="213"/>
      <c r="H78" s="557">
        <v>166500</v>
      </c>
    </row>
    <row r="79" spans="1:8" ht="15" customHeight="1">
      <c r="A79" s="3">
        <v>41016</v>
      </c>
      <c r="B79" s="130">
        <v>13275</v>
      </c>
      <c r="C79" s="321">
        <v>21250</v>
      </c>
      <c r="D79" s="327">
        <v>21350</v>
      </c>
      <c r="E79" s="19">
        <f t="shared" si="10"/>
        <v>-400</v>
      </c>
      <c r="F79" s="213"/>
      <c r="G79" s="213"/>
      <c r="H79" s="557">
        <v>165750</v>
      </c>
    </row>
    <row r="80" spans="1:8" ht="15" customHeight="1">
      <c r="A80" s="3">
        <v>41017</v>
      </c>
      <c r="B80" s="130">
        <v>13470</v>
      </c>
      <c r="C80" s="321">
        <v>21170</v>
      </c>
      <c r="D80" s="327">
        <v>21225</v>
      </c>
      <c r="E80" s="19">
        <f t="shared" si="10"/>
        <v>-80</v>
      </c>
      <c r="F80" s="213"/>
      <c r="G80" s="213"/>
      <c r="H80" s="557">
        <v>165250</v>
      </c>
    </row>
    <row r="81" spans="1:8" ht="15" customHeight="1">
      <c r="A81" s="3">
        <v>41018</v>
      </c>
      <c r="B81" s="130">
        <v>13480</v>
      </c>
      <c r="C81" s="321">
        <v>21060</v>
      </c>
      <c r="D81" s="327">
        <v>21250</v>
      </c>
      <c r="E81" s="19">
        <f t="shared" ref="E81:E86" si="11">+C81-C80</f>
        <v>-110</v>
      </c>
      <c r="F81" s="213"/>
      <c r="G81" s="213"/>
      <c r="H81" s="557">
        <v>164750</v>
      </c>
    </row>
    <row r="82" spans="1:8" ht="15" customHeight="1">
      <c r="A82" s="3">
        <v>41019</v>
      </c>
      <c r="B82" s="130">
        <v>13645</v>
      </c>
      <c r="C82" s="321">
        <v>21255</v>
      </c>
      <c r="D82" s="327">
        <v>21350</v>
      </c>
      <c r="E82" s="19">
        <f t="shared" si="11"/>
        <v>195</v>
      </c>
      <c r="F82" s="213"/>
      <c r="G82" s="213"/>
      <c r="H82" s="557">
        <v>164750</v>
      </c>
    </row>
    <row r="83" spans="1:8" ht="15" customHeight="1">
      <c r="A83" s="3">
        <v>41022</v>
      </c>
      <c r="B83" s="130">
        <v>13810</v>
      </c>
      <c r="C83" s="321">
        <v>21065</v>
      </c>
      <c r="D83" s="327">
        <v>21165</v>
      </c>
      <c r="E83" s="19">
        <f t="shared" si="11"/>
        <v>-190</v>
      </c>
      <c r="F83" s="213"/>
      <c r="G83" s="213"/>
      <c r="H83" s="557">
        <v>164750</v>
      </c>
    </row>
    <row r="84" spans="1:8" ht="15" customHeight="1">
      <c r="A84" s="3">
        <v>41023</v>
      </c>
      <c r="B84" s="130">
        <v>13875</v>
      </c>
      <c r="C84" s="321">
        <v>21390</v>
      </c>
      <c r="D84" s="327">
        <v>21400</v>
      </c>
      <c r="E84" s="19">
        <f t="shared" si="11"/>
        <v>325</v>
      </c>
      <c r="F84" s="213"/>
      <c r="G84" s="213"/>
      <c r="H84" s="557">
        <v>164500</v>
      </c>
    </row>
    <row r="85" spans="1:8" ht="15" customHeight="1">
      <c r="A85" s="3">
        <v>41024</v>
      </c>
      <c r="B85" s="130">
        <v>13875</v>
      </c>
      <c r="C85" s="321">
        <v>21700</v>
      </c>
      <c r="D85" s="327">
        <v>21750</v>
      </c>
      <c r="E85" s="19">
        <f t="shared" si="11"/>
        <v>310</v>
      </c>
      <c r="F85" s="213"/>
      <c r="G85" s="213"/>
      <c r="H85" s="557">
        <v>164500</v>
      </c>
    </row>
    <row r="86" spans="1:8" ht="15" customHeight="1">
      <c r="A86" s="3">
        <v>41025</v>
      </c>
      <c r="B86" s="130">
        <v>13890</v>
      </c>
      <c r="C86" s="321">
        <v>22495</v>
      </c>
      <c r="D86" s="327">
        <v>22500</v>
      </c>
      <c r="E86" s="19">
        <f t="shared" si="11"/>
        <v>795</v>
      </c>
      <c r="F86" s="213"/>
      <c r="G86" s="213"/>
      <c r="H86" s="557">
        <v>164000</v>
      </c>
    </row>
    <row r="87" spans="1:8" ht="15" customHeight="1">
      <c r="A87" s="3">
        <v>41026</v>
      </c>
      <c r="B87" s="130">
        <v>14405</v>
      </c>
      <c r="C87" s="321">
        <v>22405</v>
      </c>
      <c r="D87" s="327">
        <v>22525</v>
      </c>
      <c r="E87" s="19">
        <f t="shared" ref="E87:E92" si="12">+C87-C86</f>
        <v>-90</v>
      </c>
      <c r="F87" s="213"/>
      <c r="G87" s="213"/>
      <c r="H87" s="557">
        <v>164000</v>
      </c>
    </row>
    <row r="88" spans="1:8" ht="15" customHeight="1" thickBot="1">
      <c r="A88" s="12">
        <v>41029</v>
      </c>
      <c r="B88" s="236">
        <v>14515</v>
      </c>
      <c r="C88" s="322">
        <v>22625</v>
      </c>
      <c r="D88" s="328">
        <v>22680</v>
      </c>
      <c r="E88" s="20">
        <f t="shared" si="12"/>
        <v>220</v>
      </c>
      <c r="F88" s="260">
        <f>AVERAGE(C68:C88)</f>
        <v>22091.57894736842</v>
      </c>
      <c r="G88" s="261">
        <f>AVERAGE(C4:C88)</f>
        <v>22746.686746987951</v>
      </c>
      <c r="H88" s="561" t="s">
        <v>77</v>
      </c>
    </row>
    <row r="89" spans="1:8" ht="15" customHeight="1">
      <c r="A89" s="36">
        <v>41030</v>
      </c>
      <c r="B89" s="235">
        <v>14515</v>
      </c>
      <c r="C89" s="320">
        <v>22725</v>
      </c>
      <c r="D89" s="326">
        <v>22800</v>
      </c>
      <c r="E89" s="21">
        <f t="shared" si="12"/>
        <v>100</v>
      </c>
      <c r="F89" s="216"/>
      <c r="G89" s="216"/>
      <c r="H89" s="562" t="s">
        <v>77</v>
      </c>
    </row>
    <row r="90" spans="1:8" ht="15" customHeight="1">
      <c r="A90" s="3">
        <v>41031</v>
      </c>
      <c r="B90" s="130">
        <v>14490</v>
      </c>
      <c r="C90" s="321">
        <v>22250</v>
      </c>
      <c r="D90" s="327">
        <v>22325</v>
      </c>
      <c r="E90" s="19">
        <f t="shared" si="12"/>
        <v>-475</v>
      </c>
      <c r="F90" s="213"/>
      <c r="G90" s="213"/>
      <c r="H90" s="557">
        <v>164250</v>
      </c>
    </row>
    <row r="91" spans="1:8" ht="15" customHeight="1">
      <c r="A91" s="3">
        <v>41032</v>
      </c>
      <c r="B91" s="130">
        <v>14510</v>
      </c>
      <c r="C91" s="321">
        <v>22005</v>
      </c>
      <c r="D91" s="327">
        <v>22075</v>
      </c>
      <c r="E91" s="19">
        <f t="shared" si="12"/>
        <v>-245</v>
      </c>
      <c r="F91" s="213"/>
      <c r="G91" s="213"/>
      <c r="H91" s="557">
        <v>164250</v>
      </c>
    </row>
    <row r="92" spans="1:8" ht="15" customHeight="1">
      <c r="A92" s="3">
        <v>41033</v>
      </c>
      <c r="B92" s="130">
        <v>14545</v>
      </c>
      <c r="C92" s="321">
        <v>21775</v>
      </c>
      <c r="D92" s="327">
        <v>21700</v>
      </c>
      <c r="E92" s="19">
        <f t="shared" si="12"/>
        <v>-230</v>
      </c>
      <c r="F92" s="213"/>
      <c r="G92" s="213"/>
      <c r="H92" s="557">
        <v>163750</v>
      </c>
    </row>
    <row r="93" spans="1:8" ht="15" customHeight="1">
      <c r="A93" s="3">
        <v>41036</v>
      </c>
      <c r="B93" s="1069" t="s">
        <v>71</v>
      </c>
      <c r="C93" s="1069"/>
      <c r="D93" s="1069"/>
      <c r="E93" s="1069"/>
      <c r="F93" s="213"/>
      <c r="G93" s="213"/>
      <c r="H93" s="557">
        <v>163500</v>
      </c>
    </row>
    <row r="94" spans="1:8" ht="15" customHeight="1">
      <c r="A94" s="3">
        <v>41037</v>
      </c>
      <c r="B94" s="130">
        <v>14595</v>
      </c>
      <c r="C94" s="321">
        <v>21340</v>
      </c>
      <c r="D94" s="327">
        <v>21345</v>
      </c>
      <c r="E94" s="19">
        <f t="shared" ref="E94:E99" si="13">+C94-C93</f>
        <v>21340</v>
      </c>
      <c r="F94" s="213"/>
      <c r="G94" s="213"/>
      <c r="H94" s="557">
        <v>162500</v>
      </c>
    </row>
    <row r="95" spans="1:8" ht="15" customHeight="1">
      <c r="A95" s="3">
        <v>41038</v>
      </c>
      <c r="B95" s="130">
        <v>14490</v>
      </c>
      <c r="C95" s="321">
        <v>20850</v>
      </c>
      <c r="D95" s="327">
        <v>20900</v>
      </c>
      <c r="E95" s="19">
        <f t="shared" si="13"/>
        <v>-490</v>
      </c>
      <c r="F95" s="213"/>
      <c r="G95" s="213"/>
      <c r="H95" s="557">
        <v>161750</v>
      </c>
    </row>
    <row r="96" spans="1:8" ht="15" customHeight="1">
      <c r="A96" s="3">
        <v>41039</v>
      </c>
      <c r="B96" s="130">
        <v>14515</v>
      </c>
      <c r="C96" s="321">
        <v>20645</v>
      </c>
      <c r="D96" s="327">
        <v>20650</v>
      </c>
      <c r="E96" s="19">
        <f t="shared" si="13"/>
        <v>-205</v>
      </c>
      <c r="F96" s="213"/>
      <c r="G96" s="213"/>
      <c r="H96" s="557">
        <v>160000</v>
      </c>
    </row>
    <row r="97" spans="1:8" ht="15" customHeight="1">
      <c r="A97" s="3">
        <v>41040</v>
      </c>
      <c r="B97" s="130">
        <v>14490</v>
      </c>
      <c r="C97" s="321">
        <v>20255</v>
      </c>
      <c r="D97" s="327">
        <v>20325</v>
      </c>
      <c r="E97" s="19">
        <f t="shared" si="13"/>
        <v>-390</v>
      </c>
      <c r="F97" s="213"/>
      <c r="G97" s="213"/>
      <c r="H97" s="557">
        <v>159750</v>
      </c>
    </row>
    <row r="98" spans="1:8" ht="15" customHeight="1">
      <c r="A98" s="3">
        <v>41043</v>
      </c>
      <c r="B98" s="130">
        <v>14425</v>
      </c>
      <c r="C98" s="321">
        <v>20275</v>
      </c>
      <c r="D98" s="327">
        <v>20200</v>
      </c>
      <c r="E98" s="19">
        <f t="shared" si="13"/>
        <v>20</v>
      </c>
      <c r="F98" s="213"/>
      <c r="G98" s="213"/>
      <c r="H98" s="557">
        <v>158000</v>
      </c>
    </row>
    <row r="99" spans="1:8" ht="15" customHeight="1">
      <c r="A99" s="3">
        <v>41044</v>
      </c>
      <c r="B99" s="130">
        <v>14305</v>
      </c>
      <c r="C99" s="321">
        <v>20200</v>
      </c>
      <c r="D99" s="327">
        <v>20200</v>
      </c>
      <c r="E99" s="19">
        <f t="shared" si="13"/>
        <v>-75</v>
      </c>
      <c r="F99" s="213"/>
      <c r="G99" s="213"/>
      <c r="H99" s="557">
        <v>157500</v>
      </c>
    </row>
    <row r="100" spans="1:8" ht="15" customHeight="1">
      <c r="A100" s="3">
        <v>41045</v>
      </c>
      <c r="B100" s="130">
        <v>14255</v>
      </c>
      <c r="C100" s="321">
        <v>19780</v>
      </c>
      <c r="D100" s="327">
        <v>19850</v>
      </c>
      <c r="E100" s="19">
        <f t="shared" ref="E100:E105" si="14">+C100-C99</f>
        <v>-420</v>
      </c>
      <c r="F100" s="213"/>
      <c r="G100" s="213"/>
      <c r="H100" s="557">
        <v>155500</v>
      </c>
    </row>
    <row r="101" spans="1:8" ht="15" customHeight="1">
      <c r="A101" s="3">
        <v>41046</v>
      </c>
      <c r="B101" s="130">
        <v>14355</v>
      </c>
      <c r="C101" s="321">
        <v>19450</v>
      </c>
      <c r="D101" s="327">
        <v>19380</v>
      </c>
      <c r="E101" s="19">
        <f t="shared" si="14"/>
        <v>-330</v>
      </c>
      <c r="F101" s="213"/>
      <c r="G101" s="213"/>
      <c r="H101" s="557">
        <v>154500</v>
      </c>
    </row>
    <row r="102" spans="1:8" ht="15" customHeight="1">
      <c r="A102" s="3">
        <v>41047</v>
      </c>
      <c r="B102" s="130">
        <v>14430</v>
      </c>
      <c r="C102" s="321">
        <v>19400</v>
      </c>
      <c r="D102" s="327">
        <v>19450</v>
      </c>
      <c r="E102" s="19">
        <f t="shared" si="14"/>
        <v>-50</v>
      </c>
      <c r="F102" s="213"/>
      <c r="G102" s="213"/>
      <c r="H102" s="557">
        <v>154500</v>
      </c>
    </row>
    <row r="103" spans="1:8" ht="15" customHeight="1">
      <c r="A103" s="3">
        <v>41050</v>
      </c>
      <c r="B103" s="130">
        <v>14470</v>
      </c>
      <c r="C103" s="321">
        <v>19450</v>
      </c>
      <c r="D103" s="327">
        <v>19425</v>
      </c>
      <c r="E103" s="19">
        <f t="shared" si="14"/>
        <v>50</v>
      </c>
      <c r="F103" s="213"/>
      <c r="G103" s="213"/>
      <c r="H103" s="557">
        <v>154000</v>
      </c>
    </row>
    <row r="104" spans="1:8" ht="15" customHeight="1">
      <c r="A104" s="3">
        <v>41051</v>
      </c>
      <c r="B104" s="130">
        <v>14575</v>
      </c>
      <c r="C104" s="321">
        <v>19460</v>
      </c>
      <c r="D104" s="327">
        <v>19525</v>
      </c>
      <c r="E104" s="19">
        <f t="shared" si="14"/>
        <v>10</v>
      </c>
      <c r="F104" s="213"/>
      <c r="G104" s="213"/>
      <c r="H104" s="557">
        <v>154000</v>
      </c>
    </row>
    <row r="105" spans="1:8" ht="15" customHeight="1">
      <c r="A105" s="3">
        <v>41052</v>
      </c>
      <c r="B105" s="130">
        <v>13995</v>
      </c>
      <c r="C105" s="321">
        <v>19305</v>
      </c>
      <c r="D105" s="327">
        <v>19350</v>
      </c>
      <c r="E105" s="19">
        <f t="shared" si="14"/>
        <v>-155</v>
      </c>
      <c r="F105" s="213"/>
      <c r="G105" s="213"/>
      <c r="H105" s="557">
        <v>154250</v>
      </c>
    </row>
    <row r="106" spans="1:8" ht="15" customHeight="1">
      <c r="A106" s="3">
        <v>41053</v>
      </c>
      <c r="B106" s="130">
        <v>13625</v>
      </c>
      <c r="C106" s="321">
        <v>19655</v>
      </c>
      <c r="D106" s="327">
        <v>19695</v>
      </c>
      <c r="E106" s="19">
        <f t="shared" ref="E106:E111" si="15">+C106-C105</f>
        <v>350</v>
      </c>
      <c r="F106" s="213"/>
      <c r="G106" s="213"/>
      <c r="H106" s="557">
        <v>155000</v>
      </c>
    </row>
    <row r="107" spans="1:8" ht="15" customHeight="1">
      <c r="A107" s="3">
        <v>41054</v>
      </c>
      <c r="B107" s="130">
        <v>13465</v>
      </c>
      <c r="C107" s="321">
        <v>19850</v>
      </c>
      <c r="D107" s="327">
        <v>19850</v>
      </c>
      <c r="E107" s="19">
        <f t="shared" si="15"/>
        <v>195</v>
      </c>
      <c r="F107" s="213"/>
      <c r="G107" s="213"/>
      <c r="H107" s="557">
        <v>154750</v>
      </c>
    </row>
    <row r="108" spans="1:8" ht="15" customHeight="1">
      <c r="A108" s="3">
        <v>41057</v>
      </c>
      <c r="B108" s="130">
        <v>13395</v>
      </c>
      <c r="C108" s="321">
        <v>19855</v>
      </c>
      <c r="D108" s="327">
        <v>19895</v>
      </c>
      <c r="E108" s="19">
        <f t="shared" si="15"/>
        <v>5</v>
      </c>
      <c r="F108" s="213"/>
      <c r="G108" s="213"/>
      <c r="H108" s="557">
        <v>154500</v>
      </c>
    </row>
    <row r="109" spans="1:8" ht="15" customHeight="1">
      <c r="A109" s="3">
        <v>41058</v>
      </c>
      <c r="B109" s="130">
        <v>13355</v>
      </c>
      <c r="C109" s="321">
        <v>20100</v>
      </c>
      <c r="D109" s="327">
        <v>20100</v>
      </c>
      <c r="E109" s="19">
        <f t="shared" si="15"/>
        <v>245</v>
      </c>
      <c r="F109" s="213"/>
      <c r="G109" s="213"/>
      <c r="H109" s="557">
        <v>154750</v>
      </c>
    </row>
    <row r="110" spans="1:8" ht="15" customHeight="1">
      <c r="A110" s="3">
        <v>41059</v>
      </c>
      <c r="B110" s="130">
        <v>13410</v>
      </c>
      <c r="C110" s="321">
        <v>19805</v>
      </c>
      <c r="D110" s="327">
        <v>19800</v>
      </c>
      <c r="E110" s="19">
        <f t="shared" si="15"/>
        <v>-295</v>
      </c>
      <c r="F110" s="213"/>
      <c r="G110" s="213"/>
      <c r="H110" s="557">
        <v>154250</v>
      </c>
    </row>
    <row r="111" spans="1:8" ht="15" customHeight="1" thickBot="1">
      <c r="A111" s="12">
        <v>41060</v>
      </c>
      <c r="B111" s="236">
        <v>13410</v>
      </c>
      <c r="C111" s="322">
        <v>19725</v>
      </c>
      <c r="D111" s="328">
        <v>19725</v>
      </c>
      <c r="E111" s="20">
        <f t="shared" si="15"/>
        <v>-80</v>
      </c>
      <c r="F111" s="260">
        <f>AVERAGE(C89:C111)</f>
        <v>20370.68181818182</v>
      </c>
      <c r="G111" s="261">
        <f>AVERAGE(C4:C111)</f>
        <v>22248.857142857141</v>
      </c>
      <c r="H111" s="560">
        <v>154150</v>
      </c>
    </row>
    <row r="112" spans="1:8" ht="15" customHeight="1">
      <c r="A112" s="36">
        <v>41061</v>
      </c>
      <c r="B112" s="235">
        <v>13360</v>
      </c>
      <c r="C112" s="320">
        <v>19330</v>
      </c>
      <c r="D112" s="326">
        <v>19405</v>
      </c>
      <c r="E112" s="21">
        <f>+C112-C111</f>
        <v>-395</v>
      </c>
      <c r="F112" s="216"/>
      <c r="G112" s="216"/>
      <c r="H112" s="559">
        <v>154250</v>
      </c>
    </row>
    <row r="113" spans="1:8" ht="15" customHeight="1">
      <c r="A113" s="3">
        <v>41064</v>
      </c>
      <c r="B113" s="1066" t="s">
        <v>71</v>
      </c>
      <c r="C113" s="1066"/>
      <c r="D113" s="1066"/>
      <c r="E113" s="1066"/>
      <c r="F113" s="213"/>
      <c r="G113" s="213"/>
      <c r="H113" s="557">
        <v>154250</v>
      </c>
    </row>
    <row r="114" spans="1:8" ht="15" customHeight="1">
      <c r="A114" s="3">
        <v>41065</v>
      </c>
      <c r="B114" s="1066"/>
      <c r="C114" s="1066"/>
      <c r="D114" s="1066"/>
      <c r="E114" s="1066"/>
      <c r="F114" s="213"/>
      <c r="G114" s="213"/>
      <c r="H114" s="557">
        <v>152750</v>
      </c>
    </row>
    <row r="115" spans="1:8" ht="15" customHeight="1">
      <c r="A115" s="3">
        <v>41066</v>
      </c>
      <c r="B115" s="130">
        <v>12855</v>
      </c>
      <c r="C115" s="321">
        <v>19905</v>
      </c>
      <c r="D115" s="327">
        <v>19900</v>
      </c>
      <c r="E115" s="19">
        <f>+C115-C112</f>
        <v>575</v>
      </c>
      <c r="F115" s="213"/>
      <c r="G115" s="213"/>
      <c r="H115" s="557">
        <v>152750</v>
      </c>
    </row>
    <row r="116" spans="1:8" ht="15" customHeight="1">
      <c r="A116" s="3">
        <v>41067</v>
      </c>
      <c r="B116" s="130">
        <v>12310</v>
      </c>
      <c r="C116" s="321">
        <v>19620</v>
      </c>
      <c r="D116" s="327">
        <v>19605</v>
      </c>
      <c r="E116" s="19">
        <f t="shared" ref="E116:E121" si="16">+C116-C115</f>
        <v>-285</v>
      </c>
      <c r="F116" s="213"/>
      <c r="G116" s="213"/>
      <c r="H116" s="557">
        <v>152000</v>
      </c>
    </row>
    <row r="117" spans="1:8" ht="15" customHeight="1">
      <c r="A117" s="3">
        <v>41068</v>
      </c>
      <c r="B117" s="130">
        <v>12155</v>
      </c>
      <c r="C117" s="321">
        <v>19500</v>
      </c>
      <c r="D117" s="327">
        <v>19500</v>
      </c>
      <c r="E117" s="19">
        <f t="shared" si="16"/>
        <v>-120</v>
      </c>
      <c r="F117" s="213"/>
      <c r="G117" s="213"/>
      <c r="H117" s="557">
        <v>151750</v>
      </c>
    </row>
    <row r="118" spans="1:8" ht="15" customHeight="1">
      <c r="A118" s="3">
        <v>41071</v>
      </c>
      <c r="B118" s="130">
        <v>12075</v>
      </c>
      <c r="C118" s="321">
        <v>19875</v>
      </c>
      <c r="D118" s="327">
        <v>19720</v>
      </c>
      <c r="E118" s="19">
        <f t="shared" si="16"/>
        <v>375</v>
      </c>
      <c r="F118" s="213"/>
      <c r="G118" s="213"/>
      <c r="H118" s="557">
        <v>151500</v>
      </c>
    </row>
    <row r="119" spans="1:8" ht="15" customHeight="1">
      <c r="A119" s="3">
        <v>41072</v>
      </c>
      <c r="B119" s="130">
        <v>12045</v>
      </c>
      <c r="C119" s="321">
        <v>19650</v>
      </c>
      <c r="D119" s="327">
        <v>19600</v>
      </c>
      <c r="E119" s="19">
        <f t="shared" si="16"/>
        <v>-225</v>
      </c>
      <c r="F119" s="213"/>
      <c r="G119" s="213"/>
      <c r="H119" s="557">
        <v>151500</v>
      </c>
    </row>
    <row r="120" spans="1:8" ht="15" customHeight="1">
      <c r="A120" s="3">
        <v>41073</v>
      </c>
      <c r="B120" s="130">
        <v>12045</v>
      </c>
      <c r="C120" s="321">
        <v>19510</v>
      </c>
      <c r="D120" s="327">
        <v>19550</v>
      </c>
      <c r="E120" s="19">
        <f t="shared" si="16"/>
        <v>-140</v>
      </c>
      <c r="F120" s="213"/>
      <c r="G120" s="213"/>
      <c r="H120" s="557">
        <v>151500</v>
      </c>
    </row>
    <row r="121" spans="1:8" ht="15" customHeight="1">
      <c r="A121" s="3">
        <v>41074</v>
      </c>
      <c r="B121" s="130">
        <v>12115</v>
      </c>
      <c r="C121" s="321">
        <v>19455</v>
      </c>
      <c r="D121" s="327">
        <v>19450</v>
      </c>
      <c r="E121" s="19">
        <f t="shared" si="16"/>
        <v>-55</v>
      </c>
      <c r="F121" s="213"/>
      <c r="G121" s="213"/>
      <c r="H121" s="557">
        <v>151250</v>
      </c>
    </row>
    <row r="122" spans="1:8" ht="15" customHeight="1">
      <c r="A122" s="3">
        <v>41075</v>
      </c>
      <c r="B122" s="130">
        <v>12180</v>
      </c>
      <c r="C122" s="321">
        <v>19555</v>
      </c>
      <c r="D122" s="327">
        <v>19550</v>
      </c>
      <c r="E122" s="19">
        <f t="shared" ref="E122:E127" si="17">+C122-C121</f>
        <v>100</v>
      </c>
      <c r="F122" s="213"/>
      <c r="G122" s="213"/>
      <c r="H122" s="557">
        <v>150500</v>
      </c>
    </row>
    <row r="123" spans="1:8" ht="15" customHeight="1">
      <c r="A123" s="3">
        <v>41078</v>
      </c>
      <c r="B123" s="130">
        <v>12180</v>
      </c>
      <c r="C123" s="321">
        <v>19430</v>
      </c>
      <c r="D123" s="327">
        <v>19430</v>
      </c>
      <c r="E123" s="19">
        <f t="shared" si="17"/>
        <v>-125</v>
      </c>
      <c r="F123" s="213"/>
      <c r="G123" s="213"/>
      <c r="H123" s="557">
        <v>150500</v>
      </c>
    </row>
    <row r="124" spans="1:8" ht="15" customHeight="1">
      <c r="A124" s="3">
        <v>41079</v>
      </c>
      <c r="B124" s="130">
        <v>12175</v>
      </c>
      <c r="C124" s="321">
        <v>19500</v>
      </c>
      <c r="D124" s="327">
        <v>19505</v>
      </c>
      <c r="E124" s="19">
        <f t="shared" si="17"/>
        <v>70</v>
      </c>
      <c r="F124" s="213"/>
      <c r="G124" s="213"/>
      <c r="H124" s="557">
        <v>150500</v>
      </c>
    </row>
    <row r="125" spans="1:8" ht="15" customHeight="1">
      <c r="A125" s="3">
        <v>41080</v>
      </c>
      <c r="B125" s="130">
        <v>12115</v>
      </c>
      <c r="C125" s="321">
        <v>19525</v>
      </c>
      <c r="D125" s="327">
        <v>19525</v>
      </c>
      <c r="E125" s="19">
        <f t="shared" si="17"/>
        <v>25</v>
      </c>
      <c r="F125" s="213"/>
      <c r="G125" s="213"/>
      <c r="H125" s="557">
        <v>150500</v>
      </c>
    </row>
    <row r="126" spans="1:8" ht="15" customHeight="1">
      <c r="A126" s="3">
        <v>41081</v>
      </c>
      <c r="B126" s="130">
        <v>12365</v>
      </c>
      <c r="C126" s="321">
        <v>19195</v>
      </c>
      <c r="D126" s="327">
        <v>19200</v>
      </c>
      <c r="E126" s="19">
        <f t="shared" si="17"/>
        <v>-330</v>
      </c>
      <c r="F126" s="213"/>
      <c r="G126" s="213"/>
      <c r="H126" s="557">
        <v>150500</v>
      </c>
    </row>
    <row r="127" spans="1:8" ht="15" customHeight="1">
      <c r="A127" s="3">
        <v>41082</v>
      </c>
      <c r="B127" s="130">
        <v>12235</v>
      </c>
      <c r="C127" s="321">
        <v>18375</v>
      </c>
      <c r="D127" s="327">
        <v>18360</v>
      </c>
      <c r="E127" s="19">
        <f t="shared" si="17"/>
        <v>-820</v>
      </c>
      <c r="F127" s="213"/>
      <c r="G127" s="213"/>
      <c r="H127" s="554" t="s">
        <v>71</v>
      </c>
    </row>
    <row r="128" spans="1:8" ht="15" customHeight="1">
      <c r="A128" s="3">
        <v>41085</v>
      </c>
      <c r="B128" s="130">
        <v>12225</v>
      </c>
      <c r="C128" s="321">
        <v>18800</v>
      </c>
      <c r="D128" s="327">
        <v>18795</v>
      </c>
      <c r="E128" s="19">
        <f t="shared" ref="E128:E133" si="18">+C128-C127</f>
        <v>425</v>
      </c>
      <c r="F128" s="213"/>
      <c r="G128" s="213"/>
      <c r="H128" s="557">
        <v>150000</v>
      </c>
    </row>
    <row r="129" spans="1:8" ht="15" customHeight="1">
      <c r="A129" s="3">
        <v>41086</v>
      </c>
      <c r="B129" s="130">
        <v>12250</v>
      </c>
      <c r="C129" s="321">
        <v>18600</v>
      </c>
      <c r="D129" s="327">
        <v>18555</v>
      </c>
      <c r="E129" s="19">
        <f t="shared" si="18"/>
        <v>-200</v>
      </c>
      <c r="F129" s="213"/>
      <c r="G129" s="213"/>
      <c r="H129" s="557">
        <v>149500</v>
      </c>
    </row>
    <row r="130" spans="1:8" ht="15" customHeight="1">
      <c r="A130" s="3">
        <v>41087</v>
      </c>
      <c r="B130" s="130">
        <v>12240</v>
      </c>
      <c r="C130" s="321">
        <v>18545</v>
      </c>
      <c r="D130" s="327">
        <v>18500</v>
      </c>
      <c r="E130" s="19">
        <f t="shared" si="18"/>
        <v>-55</v>
      </c>
      <c r="F130" s="213"/>
      <c r="G130" s="213"/>
      <c r="H130" s="557">
        <v>149000</v>
      </c>
    </row>
    <row r="131" spans="1:8" ht="15" customHeight="1">
      <c r="A131" s="3">
        <v>41088</v>
      </c>
      <c r="B131" s="130">
        <v>12240</v>
      </c>
      <c r="C131" s="321">
        <v>18845</v>
      </c>
      <c r="D131" s="327">
        <v>18825</v>
      </c>
      <c r="E131" s="19">
        <f t="shared" si="18"/>
        <v>300</v>
      </c>
      <c r="F131" s="213"/>
      <c r="G131" s="213"/>
      <c r="H131" s="557">
        <v>148000</v>
      </c>
    </row>
    <row r="132" spans="1:8" ht="15" customHeight="1" thickBot="1">
      <c r="A132" s="12">
        <v>41089</v>
      </c>
      <c r="B132" s="236">
        <v>12260</v>
      </c>
      <c r="C132" s="322">
        <v>18775</v>
      </c>
      <c r="D132" s="328">
        <v>18800</v>
      </c>
      <c r="E132" s="20">
        <f t="shared" si="18"/>
        <v>-70</v>
      </c>
      <c r="F132" s="260">
        <f>AVERAGE(C112:C132)</f>
        <v>19262.63157894737</v>
      </c>
      <c r="G132" s="261">
        <f>AVERAGE(C4:C132)</f>
        <v>21791.290322580644</v>
      </c>
      <c r="H132" s="560">
        <v>146750</v>
      </c>
    </row>
    <row r="133" spans="1:8" ht="15" customHeight="1">
      <c r="A133" s="36">
        <v>41092</v>
      </c>
      <c r="B133" s="235">
        <v>12170</v>
      </c>
      <c r="C133" s="320">
        <v>18935</v>
      </c>
      <c r="D133" s="326">
        <v>18945</v>
      </c>
      <c r="E133" s="21">
        <f t="shared" si="18"/>
        <v>160</v>
      </c>
      <c r="F133" s="216"/>
      <c r="G133" s="216"/>
      <c r="H133" s="559">
        <v>147000</v>
      </c>
    </row>
    <row r="134" spans="1:8" ht="15" customHeight="1">
      <c r="A134" s="3">
        <v>41093</v>
      </c>
      <c r="B134" s="130">
        <v>12590</v>
      </c>
      <c r="C134" s="321">
        <v>19130</v>
      </c>
      <c r="D134" s="327">
        <v>19155</v>
      </c>
      <c r="E134" s="19">
        <f t="shared" ref="E134:E139" si="19">+C134-C133</f>
        <v>195</v>
      </c>
      <c r="F134" s="213"/>
      <c r="G134" s="213"/>
      <c r="H134" s="557">
        <v>146500</v>
      </c>
    </row>
    <row r="135" spans="1:8" ht="15" customHeight="1">
      <c r="A135" s="3">
        <v>41094</v>
      </c>
      <c r="B135" s="130">
        <v>12580</v>
      </c>
      <c r="C135" s="321">
        <v>19095</v>
      </c>
      <c r="D135" s="327">
        <v>19100</v>
      </c>
      <c r="E135" s="19">
        <f t="shared" si="19"/>
        <v>-35</v>
      </c>
      <c r="F135" s="213"/>
      <c r="G135" s="213"/>
      <c r="H135" s="557">
        <v>147750</v>
      </c>
    </row>
    <row r="136" spans="1:8" ht="15" customHeight="1">
      <c r="A136" s="3">
        <v>41095</v>
      </c>
      <c r="B136" s="130">
        <v>12605</v>
      </c>
      <c r="C136" s="321">
        <v>19200</v>
      </c>
      <c r="D136" s="327">
        <v>19200</v>
      </c>
      <c r="E136" s="19">
        <f t="shared" si="19"/>
        <v>105</v>
      </c>
      <c r="F136" s="213"/>
      <c r="G136" s="213"/>
      <c r="H136" s="557">
        <v>148500</v>
      </c>
    </row>
    <row r="137" spans="1:8" ht="15" customHeight="1">
      <c r="A137" s="3">
        <v>41096</v>
      </c>
      <c r="B137" s="130">
        <v>12735</v>
      </c>
      <c r="C137" s="321">
        <v>18905</v>
      </c>
      <c r="D137" s="327">
        <v>18850</v>
      </c>
      <c r="E137" s="19">
        <f t="shared" si="19"/>
        <v>-295</v>
      </c>
      <c r="F137" s="213"/>
      <c r="G137" s="213"/>
      <c r="H137" s="557">
        <v>148000</v>
      </c>
    </row>
    <row r="138" spans="1:8" ht="15" customHeight="1">
      <c r="A138" s="3">
        <v>41099</v>
      </c>
      <c r="B138" s="130">
        <v>12585</v>
      </c>
      <c r="C138" s="321">
        <v>18600</v>
      </c>
      <c r="D138" s="327">
        <v>18625</v>
      </c>
      <c r="E138" s="19">
        <f t="shared" si="19"/>
        <v>-305</v>
      </c>
      <c r="F138" s="213"/>
      <c r="G138" s="213"/>
      <c r="H138" s="557">
        <v>148000</v>
      </c>
    </row>
    <row r="139" spans="1:8" ht="15" customHeight="1">
      <c r="A139" s="3">
        <v>41100</v>
      </c>
      <c r="B139" s="130">
        <v>12220</v>
      </c>
      <c r="C139" s="321">
        <v>18675</v>
      </c>
      <c r="D139" s="327">
        <v>18750</v>
      </c>
      <c r="E139" s="19">
        <f t="shared" si="19"/>
        <v>75</v>
      </c>
      <c r="F139" s="213"/>
      <c r="G139" s="213"/>
      <c r="H139" s="557">
        <v>148000</v>
      </c>
    </row>
    <row r="140" spans="1:8" ht="15" customHeight="1">
      <c r="A140" s="3">
        <v>41101</v>
      </c>
      <c r="B140" s="130">
        <v>12210</v>
      </c>
      <c r="C140" s="321">
        <v>18735</v>
      </c>
      <c r="D140" s="327">
        <v>18795</v>
      </c>
      <c r="E140" s="19">
        <f t="shared" ref="E140:E145" si="20">+C140-C139</f>
        <v>60</v>
      </c>
      <c r="F140" s="213"/>
      <c r="G140" s="213"/>
      <c r="H140" s="557">
        <v>148000</v>
      </c>
    </row>
    <row r="141" spans="1:8" ht="15" customHeight="1">
      <c r="A141" s="3">
        <v>41102</v>
      </c>
      <c r="B141" s="130">
        <v>12210</v>
      </c>
      <c r="C141" s="321">
        <v>18475</v>
      </c>
      <c r="D141" s="327">
        <v>18530</v>
      </c>
      <c r="E141" s="19">
        <f t="shared" si="20"/>
        <v>-260</v>
      </c>
      <c r="F141" s="213"/>
      <c r="G141" s="213"/>
      <c r="H141" s="557">
        <v>148000</v>
      </c>
    </row>
    <row r="142" spans="1:8" ht="15" customHeight="1">
      <c r="A142" s="3">
        <v>41103</v>
      </c>
      <c r="B142" s="130">
        <v>12100</v>
      </c>
      <c r="C142" s="321">
        <v>18800</v>
      </c>
      <c r="D142" s="327">
        <v>18705</v>
      </c>
      <c r="E142" s="19">
        <f t="shared" si="20"/>
        <v>325</v>
      </c>
      <c r="F142" s="213"/>
      <c r="G142" s="213"/>
      <c r="H142" s="557">
        <v>147500</v>
      </c>
    </row>
    <row r="143" spans="1:8" ht="15" customHeight="1">
      <c r="A143" s="3">
        <v>41106</v>
      </c>
      <c r="B143" s="130">
        <v>12095</v>
      </c>
      <c r="C143" s="321">
        <v>18745</v>
      </c>
      <c r="D143" s="327">
        <v>18750</v>
      </c>
      <c r="E143" s="19">
        <f t="shared" si="20"/>
        <v>-55</v>
      </c>
      <c r="F143" s="213"/>
      <c r="G143" s="213"/>
      <c r="H143" s="557">
        <v>147500</v>
      </c>
    </row>
    <row r="144" spans="1:8" ht="15" customHeight="1">
      <c r="A144" s="3">
        <v>41107</v>
      </c>
      <c r="B144" s="130">
        <v>11955</v>
      </c>
      <c r="C144" s="321">
        <v>18875</v>
      </c>
      <c r="D144" s="327">
        <v>18875</v>
      </c>
      <c r="E144" s="19">
        <f t="shared" si="20"/>
        <v>130</v>
      </c>
      <c r="F144" s="213"/>
      <c r="G144" s="213"/>
      <c r="H144" s="557">
        <v>147500</v>
      </c>
    </row>
    <row r="145" spans="1:8" ht="15" customHeight="1">
      <c r="A145" s="3">
        <v>41108</v>
      </c>
      <c r="B145" s="130">
        <v>11915</v>
      </c>
      <c r="C145" s="321">
        <v>18700</v>
      </c>
      <c r="D145" s="327">
        <v>18705</v>
      </c>
      <c r="E145" s="19">
        <f t="shared" si="20"/>
        <v>-175</v>
      </c>
      <c r="F145" s="213"/>
      <c r="G145" s="213"/>
      <c r="H145" s="557">
        <v>147250</v>
      </c>
    </row>
    <row r="146" spans="1:8" ht="15" customHeight="1">
      <c r="A146" s="3">
        <v>41109</v>
      </c>
      <c r="B146" s="130">
        <v>11715</v>
      </c>
      <c r="C146" s="321">
        <v>19275</v>
      </c>
      <c r="D146" s="327">
        <v>19300</v>
      </c>
      <c r="E146" s="19">
        <f t="shared" ref="E146:E151" si="21">+C146-C145</f>
        <v>575</v>
      </c>
      <c r="F146" s="213"/>
      <c r="G146" s="213"/>
      <c r="H146" s="557">
        <v>147000</v>
      </c>
    </row>
    <row r="147" spans="1:8" ht="15" customHeight="1">
      <c r="A147" s="3">
        <v>41110</v>
      </c>
      <c r="B147" s="130">
        <v>11715</v>
      </c>
      <c r="C147" s="321">
        <v>18990</v>
      </c>
      <c r="D147" s="327">
        <v>19000</v>
      </c>
      <c r="E147" s="19">
        <f t="shared" si="21"/>
        <v>-285</v>
      </c>
      <c r="F147" s="213"/>
      <c r="G147" s="213"/>
      <c r="H147" s="557">
        <v>147000</v>
      </c>
    </row>
    <row r="148" spans="1:8" ht="15" customHeight="1">
      <c r="A148" s="3">
        <v>41113</v>
      </c>
      <c r="B148" s="130">
        <v>11720</v>
      </c>
      <c r="C148" s="321">
        <v>18455</v>
      </c>
      <c r="D148" s="327">
        <v>18495</v>
      </c>
      <c r="E148" s="19">
        <f t="shared" si="21"/>
        <v>-535</v>
      </c>
      <c r="F148" s="213"/>
      <c r="G148" s="213"/>
      <c r="H148" s="557">
        <v>147000</v>
      </c>
    </row>
    <row r="149" spans="1:8" ht="15" customHeight="1">
      <c r="A149" s="3">
        <v>41114</v>
      </c>
      <c r="B149" s="130">
        <v>11720</v>
      </c>
      <c r="C149" s="321">
        <v>17840</v>
      </c>
      <c r="D149" s="327">
        <v>17730</v>
      </c>
      <c r="E149" s="19">
        <f t="shared" si="21"/>
        <v>-615</v>
      </c>
      <c r="F149" s="213"/>
      <c r="G149" s="213"/>
      <c r="H149" s="557">
        <v>146500</v>
      </c>
    </row>
    <row r="150" spans="1:8" ht="15" customHeight="1">
      <c r="A150" s="3">
        <v>41115</v>
      </c>
      <c r="B150" s="130">
        <v>11670</v>
      </c>
      <c r="C150" s="321">
        <v>17800</v>
      </c>
      <c r="D150" s="327">
        <v>17700</v>
      </c>
      <c r="E150" s="19">
        <f t="shared" si="21"/>
        <v>-40</v>
      </c>
      <c r="F150" s="213"/>
      <c r="G150" s="213"/>
      <c r="H150" s="557">
        <v>145500</v>
      </c>
    </row>
    <row r="151" spans="1:8" ht="15" customHeight="1">
      <c r="A151" s="3">
        <v>41116</v>
      </c>
      <c r="B151" s="130">
        <v>11670</v>
      </c>
      <c r="C151" s="321">
        <v>17700</v>
      </c>
      <c r="D151" s="327">
        <v>17700</v>
      </c>
      <c r="E151" s="19">
        <f t="shared" si="21"/>
        <v>-100</v>
      </c>
      <c r="F151" s="213"/>
      <c r="G151" s="213"/>
      <c r="H151" s="557">
        <v>143500</v>
      </c>
    </row>
    <row r="152" spans="1:8" ht="15" customHeight="1">
      <c r="A152" s="3">
        <v>41117</v>
      </c>
      <c r="B152" s="130">
        <v>11770</v>
      </c>
      <c r="C152" s="321">
        <v>18225</v>
      </c>
      <c r="D152" s="327">
        <v>18225</v>
      </c>
      <c r="E152" s="19">
        <f t="shared" ref="E152:E157" si="22">+C152-C151</f>
        <v>525</v>
      </c>
      <c r="F152" s="213"/>
      <c r="G152" s="213"/>
      <c r="H152" s="557">
        <v>143000</v>
      </c>
    </row>
    <row r="153" spans="1:8" ht="15" customHeight="1">
      <c r="A153" s="3">
        <v>41120</v>
      </c>
      <c r="B153" s="130">
        <v>11765</v>
      </c>
      <c r="C153" s="321">
        <v>18100</v>
      </c>
      <c r="D153" s="327">
        <v>18100</v>
      </c>
      <c r="E153" s="19">
        <f t="shared" si="22"/>
        <v>-125</v>
      </c>
      <c r="F153" s="213"/>
      <c r="G153" s="213"/>
      <c r="H153" s="557">
        <v>143000</v>
      </c>
    </row>
    <row r="154" spans="1:8" ht="15" customHeight="1" thickBot="1">
      <c r="A154" s="12">
        <v>41121</v>
      </c>
      <c r="B154" s="236">
        <v>11765</v>
      </c>
      <c r="C154" s="322">
        <v>18220</v>
      </c>
      <c r="D154" s="328">
        <v>18250</v>
      </c>
      <c r="E154" s="20">
        <f t="shared" si="22"/>
        <v>120</v>
      </c>
      <c r="F154" s="260">
        <f>AVERAGE(C133:C154)</f>
        <v>18612.5</v>
      </c>
      <c r="G154" s="261">
        <f>AVERAGE(C4:C154)</f>
        <v>21312.294520547945</v>
      </c>
      <c r="H154" s="560">
        <v>143000</v>
      </c>
    </row>
    <row r="155" spans="1:8" ht="15" customHeight="1">
      <c r="A155" s="36">
        <v>41122</v>
      </c>
      <c r="B155" s="235">
        <v>11740</v>
      </c>
      <c r="C155" s="320">
        <v>17950</v>
      </c>
      <c r="D155" s="326">
        <v>17955</v>
      </c>
      <c r="E155" s="21">
        <f t="shared" si="22"/>
        <v>-270</v>
      </c>
      <c r="F155" s="216"/>
      <c r="G155" s="216"/>
      <c r="H155" s="559">
        <v>143500</v>
      </c>
    </row>
    <row r="156" spans="1:8" ht="15" customHeight="1">
      <c r="A156" s="3">
        <v>41123</v>
      </c>
      <c r="B156" s="130">
        <v>11725</v>
      </c>
      <c r="C156" s="321">
        <v>17650</v>
      </c>
      <c r="D156" s="327">
        <v>17675</v>
      </c>
      <c r="E156" s="19">
        <f t="shared" si="22"/>
        <v>-300</v>
      </c>
      <c r="F156" s="213"/>
      <c r="G156" s="213"/>
      <c r="H156" s="557">
        <v>143500</v>
      </c>
    </row>
    <row r="157" spans="1:8" ht="15" customHeight="1">
      <c r="A157" s="3">
        <v>41124</v>
      </c>
      <c r="B157" s="130">
        <v>11650</v>
      </c>
      <c r="C157" s="321">
        <v>17775</v>
      </c>
      <c r="D157" s="327">
        <v>17775</v>
      </c>
      <c r="E157" s="19">
        <f t="shared" si="22"/>
        <v>125</v>
      </c>
      <c r="F157" s="213"/>
      <c r="G157" s="213"/>
      <c r="H157" s="557">
        <v>143000</v>
      </c>
    </row>
    <row r="158" spans="1:8" ht="15" customHeight="1">
      <c r="A158" s="3">
        <v>41127</v>
      </c>
      <c r="B158" s="130">
        <v>11650</v>
      </c>
      <c r="C158" s="321">
        <v>17710</v>
      </c>
      <c r="D158" s="327">
        <v>17780</v>
      </c>
      <c r="E158" s="19">
        <f t="shared" ref="E158:E163" si="23">+C158-C157</f>
        <v>-65</v>
      </c>
      <c r="F158" s="213"/>
      <c r="G158" s="213"/>
      <c r="H158" s="557">
        <v>143000</v>
      </c>
    </row>
    <row r="159" spans="1:8" ht="15" customHeight="1">
      <c r="A159" s="3">
        <v>41128</v>
      </c>
      <c r="B159" s="130">
        <v>11705</v>
      </c>
      <c r="C159" s="321">
        <v>18160</v>
      </c>
      <c r="D159" s="327">
        <v>18225</v>
      </c>
      <c r="E159" s="19">
        <f t="shared" si="23"/>
        <v>450</v>
      </c>
      <c r="F159" s="213"/>
      <c r="G159" s="213"/>
      <c r="H159" s="557">
        <v>142500</v>
      </c>
    </row>
    <row r="160" spans="1:8" ht="15" customHeight="1">
      <c r="A160" s="3">
        <v>41129</v>
      </c>
      <c r="B160" s="130">
        <v>11705</v>
      </c>
      <c r="C160" s="321">
        <v>18125</v>
      </c>
      <c r="D160" s="327">
        <v>18125</v>
      </c>
      <c r="E160" s="19">
        <f t="shared" si="23"/>
        <v>-35</v>
      </c>
      <c r="F160" s="213"/>
      <c r="G160" s="213"/>
      <c r="H160" s="557">
        <v>143000</v>
      </c>
    </row>
    <row r="161" spans="1:8" ht="15" customHeight="1">
      <c r="A161" s="3">
        <v>41130</v>
      </c>
      <c r="B161" s="130">
        <v>11685</v>
      </c>
      <c r="C161" s="321">
        <v>18110</v>
      </c>
      <c r="D161" s="327">
        <v>18130</v>
      </c>
      <c r="E161" s="19">
        <f t="shared" si="23"/>
        <v>-15</v>
      </c>
      <c r="F161" s="213"/>
      <c r="G161" s="213"/>
      <c r="H161" s="557">
        <v>142500</v>
      </c>
    </row>
    <row r="162" spans="1:8" ht="15" customHeight="1">
      <c r="A162" s="3">
        <v>41131</v>
      </c>
      <c r="B162" s="130">
        <v>11685</v>
      </c>
      <c r="C162" s="321">
        <v>17900</v>
      </c>
      <c r="D162" s="327">
        <v>17850</v>
      </c>
      <c r="E162" s="19">
        <f t="shared" si="23"/>
        <v>-210</v>
      </c>
      <c r="F162" s="213"/>
      <c r="G162" s="213"/>
      <c r="H162" s="557">
        <v>142500</v>
      </c>
    </row>
    <row r="163" spans="1:8" ht="15" customHeight="1">
      <c r="A163" s="3">
        <v>41134</v>
      </c>
      <c r="B163" s="130">
        <v>11660</v>
      </c>
      <c r="C163" s="321">
        <v>17815</v>
      </c>
      <c r="D163" s="327">
        <v>17830</v>
      </c>
      <c r="E163" s="19">
        <f t="shared" si="23"/>
        <v>-85</v>
      </c>
      <c r="F163" s="213"/>
      <c r="G163" s="213"/>
      <c r="H163" s="557">
        <v>142000</v>
      </c>
    </row>
    <row r="164" spans="1:8" ht="15" customHeight="1">
      <c r="A164" s="3">
        <v>41135</v>
      </c>
      <c r="B164" s="130">
        <v>11660</v>
      </c>
      <c r="C164" s="321">
        <v>18125</v>
      </c>
      <c r="D164" s="327">
        <v>17980</v>
      </c>
      <c r="E164" s="19">
        <f t="shared" ref="E164:E169" si="24">+C164-C163</f>
        <v>310</v>
      </c>
      <c r="F164" s="213"/>
      <c r="G164" s="213"/>
      <c r="H164" s="557">
        <v>141500</v>
      </c>
    </row>
    <row r="165" spans="1:8" ht="15" customHeight="1">
      <c r="A165" s="3">
        <v>41136</v>
      </c>
      <c r="B165" s="130">
        <v>11640</v>
      </c>
      <c r="C165" s="321">
        <v>18205</v>
      </c>
      <c r="D165" s="327">
        <v>18215</v>
      </c>
      <c r="E165" s="19">
        <f t="shared" si="24"/>
        <v>80</v>
      </c>
      <c r="F165" s="213"/>
      <c r="G165" s="213"/>
      <c r="H165" s="557">
        <v>141500</v>
      </c>
    </row>
    <row r="166" spans="1:8" ht="15" customHeight="1">
      <c r="A166" s="3">
        <v>41137</v>
      </c>
      <c r="B166" s="130">
        <v>11640</v>
      </c>
      <c r="C166" s="321">
        <v>18005</v>
      </c>
      <c r="D166" s="327">
        <v>18030</v>
      </c>
      <c r="E166" s="19">
        <f t="shared" si="24"/>
        <v>-200</v>
      </c>
      <c r="F166" s="213"/>
      <c r="G166" s="213"/>
      <c r="H166" s="557">
        <v>141250</v>
      </c>
    </row>
    <row r="167" spans="1:8" ht="15" customHeight="1">
      <c r="A167" s="3">
        <v>41138</v>
      </c>
      <c r="B167" s="130">
        <v>11630</v>
      </c>
      <c r="C167" s="321">
        <v>18500</v>
      </c>
      <c r="D167" s="327">
        <v>18500</v>
      </c>
      <c r="E167" s="19">
        <f t="shared" si="24"/>
        <v>495</v>
      </c>
      <c r="F167" s="213"/>
      <c r="G167" s="213"/>
      <c r="H167" s="557">
        <v>141000</v>
      </c>
    </row>
    <row r="168" spans="1:8" ht="15" customHeight="1">
      <c r="A168" s="3">
        <v>41141</v>
      </c>
      <c r="B168" s="130">
        <v>11630</v>
      </c>
      <c r="C168" s="321">
        <v>18450</v>
      </c>
      <c r="D168" s="327">
        <v>18450</v>
      </c>
      <c r="E168" s="19">
        <f t="shared" si="24"/>
        <v>-50</v>
      </c>
      <c r="F168" s="213"/>
      <c r="G168" s="213"/>
      <c r="H168" s="557">
        <v>141250</v>
      </c>
    </row>
    <row r="169" spans="1:8" ht="15" customHeight="1">
      <c r="A169" s="3">
        <v>41142</v>
      </c>
      <c r="B169" s="130">
        <v>11630</v>
      </c>
      <c r="C169" s="321">
        <v>18660</v>
      </c>
      <c r="D169" s="327">
        <v>18710</v>
      </c>
      <c r="E169" s="19">
        <f t="shared" si="24"/>
        <v>210</v>
      </c>
      <c r="F169" s="213"/>
      <c r="G169" s="213"/>
      <c r="H169" s="557">
        <v>142000</v>
      </c>
    </row>
    <row r="170" spans="1:8" ht="15" customHeight="1">
      <c r="A170" s="3">
        <v>41143</v>
      </c>
      <c r="B170" s="130">
        <v>11630</v>
      </c>
      <c r="C170" s="321">
        <v>18825</v>
      </c>
      <c r="D170" s="327">
        <v>18840</v>
      </c>
      <c r="E170" s="19">
        <f>+C170-C169</f>
        <v>165</v>
      </c>
      <c r="F170" s="213"/>
      <c r="G170" s="213"/>
      <c r="H170" s="557">
        <v>143000</v>
      </c>
    </row>
    <row r="171" spans="1:8" ht="15" customHeight="1">
      <c r="A171" s="3">
        <v>41144</v>
      </c>
      <c r="B171" s="130">
        <v>11630</v>
      </c>
      <c r="C171" s="321">
        <v>19865</v>
      </c>
      <c r="D171" s="327">
        <v>19900</v>
      </c>
      <c r="E171" s="19">
        <f>+C171-C170</f>
        <v>1040</v>
      </c>
      <c r="F171" s="213"/>
      <c r="G171" s="213"/>
      <c r="H171" s="557">
        <v>144000</v>
      </c>
    </row>
    <row r="172" spans="1:8" ht="15" customHeight="1">
      <c r="A172" s="3">
        <v>41145</v>
      </c>
      <c r="B172" s="130">
        <v>11585</v>
      </c>
      <c r="C172" s="321">
        <v>20320</v>
      </c>
      <c r="D172" s="327">
        <v>20350</v>
      </c>
      <c r="E172" s="19">
        <f>+C172-C171</f>
        <v>455</v>
      </c>
      <c r="F172" s="213"/>
      <c r="G172" s="213"/>
      <c r="H172" s="557">
        <v>147000</v>
      </c>
    </row>
    <row r="173" spans="1:8" ht="15" customHeight="1">
      <c r="A173" s="3">
        <v>41148</v>
      </c>
      <c r="B173" s="1069" t="s">
        <v>71</v>
      </c>
      <c r="C173" s="1069"/>
      <c r="D173" s="1069"/>
      <c r="E173" s="1069"/>
      <c r="F173" s="213"/>
      <c r="G173" s="213"/>
      <c r="H173" s="557">
        <v>152250</v>
      </c>
    </row>
    <row r="174" spans="1:8" ht="15" customHeight="1">
      <c r="A174" s="3">
        <v>41149</v>
      </c>
      <c r="B174" s="130">
        <v>11560</v>
      </c>
      <c r="C174" s="321">
        <v>20675</v>
      </c>
      <c r="D174" s="327">
        <v>20680</v>
      </c>
      <c r="E174" s="19">
        <f>+C174-C172</f>
        <v>355</v>
      </c>
      <c r="F174" s="213"/>
      <c r="G174" s="213"/>
      <c r="H174" s="557">
        <v>157250</v>
      </c>
    </row>
    <row r="175" spans="1:8" ht="15" customHeight="1">
      <c r="A175" s="3">
        <v>41150</v>
      </c>
      <c r="B175" s="130">
        <v>11610</v>
      </c>
      <c r="C175" s="321">
        <v>20300</v>
      </c>
      <c r="D175" s="327">
        <v>20175</v>
      </c>
      <c r="E175" s="19">
        <f t="shared" ref="E175:E180" si="25">+C175-C174</f>
        <v>-375</v>
      </c>
      <c r="F175" s="213"/>
      <c r="G175" s="213"/>
      <c r="H175" s="557">
        <v>157000</v>
      </c>
    </row>
    <row r="176" spans="1:8" ht="15" customHeight="1">
      <c r="A176" s="3">
        <v>41151</v>
      </c>
      <c r="B176" s="130">
        <v>11635</v>
      </c>
      <c r="C176" s="321">
        <v>19425</v>
      </c>
      <c r="D176" s="327">
        <v>19360</v>
      </c>
      <c r="E176" s="19">
        <f t="shared" si="25"/>
        <v>-875</v>
      </c>
      <c r="F176" s="213"/>
      <c r="G176" s="213"/>
      <c r="H176" s="557">
        <v>153000</v>
      </c>
    </row>
    <row r="177" spans="1:8" ht="15" customHeight="1" thickBot="1">
      <c r="A177" s="12">
        <v>41152</v>
      </c>
      <c r="B177" s="236">
        <v>11635</v>
      </c>
      <c r="C177" s="322">
        <v>19645</v>
      </c>
      <c r="D177" s="328">
        <v>19650</v>
      </c>
      <c r="E177" s="20">
        <f t="shared" si="25"/>
        <v>220</v>
      </c>
      <c r="F177" s="260">
        <f>AVERAGE(C155:C177)</f>
        <v>18645.227272727272</v>
      </c>
      <c r="G177" s="261">
        <f>AVERAGE(C4:C177)</f>
        <v>20963.035714285714</v>
      </c>
      <c r="H177" s="560">
        <v>152000</v>
      </c>
    </row>
    <row r="178" spans="1:8" ht="15" customHeight="1">
      <c r="A178" s="3">
        <v>41155</v>
      </c>
      <c r="B178" s="130">
        <v>11635</v>
      </c>
      <c r="C178" s="321">
        <v>19675</v>
      </c>
      <c r="D178" s="327">
        <v>19675</v>
      </c>
      <c r="E178" s="19">
        <f t="shared" si="25"/>
        <v>30</v>
      </c>
      <c r="F178" s="145"/>
      <c r="G178" s="213"/>
      <c r="H178" s="557">
        <v>150750</v>
      </c>
    </row>
    <row r="179" spans="1:8" ht="15" customHeight="1">
      <c r="A179" s="3">
        <v>41156</v>
      </c>
      <c r="B179" s="130">
        <v>11685</v>
      </c>
      <c r="C179" s="321">
        <v>19660</v>
      </c>
      <c r="D179" s="327">
        <v>19715</v>
      </c>
      <c r="E179" s="19">
        <f t="shared" si="25"/>
        <v>-15</v>
      </c>
      <c r="F179" s="145"/>
      <c r="G179" s="213"/>
      <c r="H179" s="557">
        <v>150000</v>
      </c>
    </row>
    <row r="180" spans="1:8" ht="15" customHeight="1">
      <c r="A180" s="3">
        <v>41157</v>
      </c>
      <c r="B180" s="130">
        <v>11660</v>
      </c>
      <c r="C180" s="321">
        <v>19525</v>
      </c>
      <c r="D180" s="327">
        <v>19505</v>
      </c>
      <c r="E180" s="19">
        <f t="shared" si="25"/>
        <v>-135</v>
      </c>
      <c r="F180" s="145"/>
      <c r="G180" s="213"/>
      <c r="H180" s="557">
        <v>149250</v>
      </c>
    </row>
    <row r="181" spans="1:8" ht="15" customHeight="1">
      <c r="A181" s="3">
        <v>41158</v>
      </c>
      <c r="B181" s="130">
        <v>11660</v>
      </c>
      <c r="C181" s="321">
        <v>19560</v>
      </c>
      <c r="D181" s="327">
        <v>19625</v>
      </c>
      <c r="E181" s="19">
        <f t="shared" ref="E181:E186" si="26">+C181-C180</f>
        <v>35</v>
      </c>
      <c r="F181" s="145"/>
      <c r="G181" s="213"/>
      <c r="H181" s="557">
        <v>149250</v>
      </c>
    </row>
    <row r="182" spans="1:8" ht="15" customHeight="1">
      <c r="A182" s="3">
        <v>41159</v>
      </c>
      <c r="B182" s="130">
        <v>11665</v>
      </c>
      <c r="C182" s="321">
        <v>19960</v>
      </c>
      <c r="D182" s="327">
        <v>19955</v>
      </c>
      <c r="E182" s="19">
        <f t="shared" si="26"/>
        <v>400</v>
      </c>
      <c r="F182" s="145"/>
      <c r="G182" s="213"/>
      <c r="H182" s="557">
        <v>148500</v>
      </c>
    </row>
    <row r="183" spans="1:8" ht="15" customHeight="1">
      <c r="A183" s="3">
        <v>41162</v>
      </c>
      <c r="B183" s="130">
        <v>11665</v>
      </c>
      <c r="C183" s="321">
        <v>20275</v>
      </c>
      <c r="D183" s="327">
        <v>20295</v>
      </c>
      <c r="E183" s="19">
        <f t="shared" si="26"/>
        <v>315</v>
      </c>
      <c r="F183" s="145"/>
      <c r="G183" s="213"/>
      <c r="H183" s="557">
        <v>148500</v>
      </c>
    </row>
    <row r="184" spans="1:8" ht="15" customHeight="1">
      <c r="A184" s="3">
        <v>41163</v>
      </c>
      <c r="B184" s="130">
        <v>11665</v>
      </c>
      <c r="C184" s="321">
        <v>20725</v>
      </c>
      <c r="D184" s="327">
        <v>20690</v>
      </c>
      <c r="E184" s="19">
        <f t="shared" si="26"/>
        <v>450</v>
      </c>
      <c r="F184" s="145"/>
      <c r="G184" s="213"/>
      <c r="H184" s="557">
        <v>151000</v>
      </c>
    </row>
    <row r="185" spans="1:8" ht="15" customHeight="1">
      <c r="A185" s="3">
        <v>41164</v>
      </c>
      <c r="B185" s="130">
        <v>11665</v>
      </c>
      <c r="C185" s="321">
        <v>21050</v>
      </c>
      <c r="D185" s="327">
        <v>20925</v>
      </c>
      <c r="E185" s="19">
        <f t="shared" si="26"/>
        <v>325</v>
      </c>
      <c r="F185" s="145"/>
      <c r="G185" s="213"/>
      <c r="H185" s="557">
        <v>152750</v>
      </c>
    </row>
    <row r="186" spans="1:8" ht="15" customHeight="1">
      <c r="A186" s="3">
        <v>41165</v>
      </c>
      <c r="B186" s="130">
        <v>11690</v>
      </c>
      <c r="C186" s="321">
        <v>20325</v>
      </c>
      <c r="D186" s="327">
        <v>20305</v>
      </c>
      <c r="E186" s="19">
        <f t="shared" si="26"/>
        <v>-725</v>
      </c>
      <c r="F186" s="145"/>
      <c r="G186" s="213"/>
      <c r="H186" s="557">
        <v>153250</v>
      </c>
    </row>
    <row r="187" spans="1:8" ht="15" customHeight="1">
      <c r="A187" s="3">
        <v>41166</v>
      </c>
      <c r="B187" s="130">
        <v>11875</v>
      </c>
      <c r="C187" s="321">
        <v>21415</v>
      </c>
      <c r="D187" s="327">
        <v>21405</v>
      </c>
      <c r="E187" s="19">
        <f t="shared" ref="E187:E192" si="27">+C187-C186</f>
        <v>1090</v>
      </c>
      <c r="F187" s="145"/>
      <c r="G187" s="213"/>
      <c r="H187" s="557">
        <v>154000</v>
      </c>
    </row>
    <row r="188" spans="1:8" ht="15" customHeight="1">
      <c r="A188" s="3">
        <v>41169</v>
      </c>
      <c r="B188" s="130">
        <v>11955</v>
      </c>
      <c r="C188" s="321">
        <v>21630</v>
      </c>
      <c r="D188" s="327">
        <v>21575</v>
      </c>
      <c r="E188" s="19">
        <f t="shared" si="27"/>
        <v>215</v>
      </c>
      <c r="F188" s="145"/>
      <c r="G188" s="213"/>
      <c r="H188" s="557">
        <v>158500</v>
      </c>
    </row>
    <row r="189" spans="1:8" ht="15" customHeight="1">
      <c r="A189" s="3">
        <v>41170</v>
      </c>
      <c r="B189" s="130">
        <v>11955</v>
      </c>
      <c r="C189" s="321">
        <v>21305</v>
      </c>
      <c r="D189" s="327">
        <v>21400</v>
      </c>
      <c r="E189" s="19">
        <f t="shared" si="27"/>
        <v>-325</v>
      </c>
      <c r="F189" s="145"/>
      <c r="G189" s="213"/>
      <c r="H189" s="557">
        <v>158000</v>
      </c>
    </row>
    <row r="190" spans="1:8" ht="15" customHeight="1">
      <c r="A190" s="3">
        <v>41171</v>
      </c>
      <c r="B190" s="130">
        <v>11955</v>
      </c>
      <c r="C190" s="321">
        <v>21550</v>
      </c>
      <c r="D190" s="327">
        <v>21505</v>
      </c>
      <c r="E190" s="19">
        <f t="shared" si="27"/>
        <v>245</v>
      </c>
      <c r="F190" s="145"/>
      <c r="G190" s="213"/>
      <c r="H190" s="557">
        <v>156750</v>
      </c>
    </row>
    <row r="191" spans="1:8" ht="15" customHeight="1">
      <c r="A191" s="3">
        <v>41172</v>
      </c>
      <c r="B191" s="130">
        <v>11955</v>
      </c>
      <c r="C191" s="321">
        <v>20575</v>
      </c>
      <c r="D191" s="327">
        <v>20550</v>
      </c>
      <c r="E191" s="19">
        <f t="shared" si="27"/>
        <v>-975</v>
      </c>
      <c r="F191" s="145"/>
      <c r="G191" s="213"/>
      <c r="H191" s="557">
        <v>157000</v>
      </c>
    </row>
    <row r="192" spans="1:8" ht="15" customHeight="1">
      <c r="A192" s="3">
        <v>41173</v>
      </c>
      <c r="B192" s="130">
        <v>11990</v>
      </c>
      <c r="C192" s="321">
        <v>21300</v>
      </c>
      <c r="D192" s="327">
        <v>21000</v>
      </c>
      <c r="E192" s="19">
        <f t="shared" si="27"/>
        <v>725</v>
      </c>
      <c r="F192" s="145"/>
      <c r="G192" s="213"/>
      <c r="H192" s="557">
        <v>157000</v>
      </c>
    </row>
    <row r="193" spans="1:10" ht="15" customHeight="1">
      <c r="A193" s="3">
        <v>41176</v>
      </c>
      <c r="B193" s="130">
        <v>11975</v>
      </c>
      <c r="C193" s="321">
        <v>20410</v>
      </c>
      <c r="D193" s="327">
        <v>20345</v>
      </c>
      <c r="E193" s="19">
        <f t="shared" ref="E193:E200" si="28">+C193-C192</f>
        <v>-890</v>
      </c>
      <c r="F193" s="145"/>
      <c r="G193" s="213"/>
      <c r="H193" s="557">
        <v>156500</v>
      </c>
    </row>
    <row r="194" spans="1:10" ht="15" customHeight="1">
      <c r="A194" s="3">
        <v>41177</v>
      </c>
      <c r="B194" s="130">
        <v>12055</v>
      </c>
      <c r="C194" s="321">
        <v>21395</v>
      </c>
      <c r="D194" s="327">
        <v>21250</v>
      </c>
      <c r="E194" s="19">
        <f t="shared" si="28"/>
        <v>985</v>
      </c>
      <c r="F194" s="145"/>
      <c r="G194" s="213"/>
      <c r="H194" s="557">
        <v>156250</v>
      </c>
    </row>
    <row r="195" spans="1:10" ht="15" customHeight="1">
      <c r="A195" s="3">
        <v>41178</v>
      </c>
      <c r="B195" s="130">
        <v>12155</v>
      </c>
      <c r="C195" s="321">
        <v>20995</v>
      </c>
      <c r="D195" s="327">
        <v>20830</v>
      </c>
      <c r="E195" s="19">
        <f t="shared" si="28"/>
        <v>-400</v>
      </c>
      <c r="F195" s="145"/>
      <c r="G195" s="213"/>
      <c r="H195" s="557">
        <v>156500</v>
      </c>
    </row>
    <row r="196" spans="1:10" s="123" customFormat="1" ht="15" customHeight="1">
      <c r="A196" s="3">
        <v>41179</v>
      </c>
      <c r="B196" s="129">
        <v>12155</v>
      </c>
      <c r="C196" s="316">
        <v>20950</v>
      </c>
      <c r="D196" s="323">
        <v>20875</v>
      </c>
      <c r="E196" s="161">
        <f t="shared" si="28"/>
        <v>-45</v>
      </c>
      <c r="F196" s="213"/>
      <c r="G196" s="213"/>
      <c r="H196" s="557">
        <v>156000</v>
      </c>
      <c r="J196" s="134"/>
    </row>
    <row r="197" spans="1:10" s="123" customFormat="1" ht="15" customHeight="1" thickBot="1">
      <c r="A197" s="12">
        <v>41180</v>
      </c>
      <c r="B197" s="142">
        <v>12255</v>
      </c>
      <c r="C197" s="317">
        <v>21655</v>
      </c>
      <c r="D197" s="324">
        <v>21740</v>
      </c>
      <c r="E197" s="233">
        <f t="shared" si="28"/>
        <v>705</v>
      </c>
      <c r="F197" s="260">
        <f>AVERAGE(C178:C197)</f>
        <v>20696.75</v>
      </c>
      <c r="G197" s="261">
        <f>AVERAGE(C4:C197)</f>
        <v>20934.707446808512</v>
      </c>
      <c r="H197" s="555"/>
      <c r="J197" s="134"/>
    </row>
    <row r="198" spans="1:10" s="123" customFormat="1" ht="15" customHeight="1">
      <c r="A198" s="36">
        <v>41183</v>
      </c>
      <c r="B198" s="152">
        <v>12255</v>
      </c>
      <c r="C198" s="319">
        <v>21900</v>
      </c>
      <c r="D198" s="325">
        <v>21800</v>
      </c>
      <c r="E198" s="155">
        <f t="shared" si="28"/>
        <v>245</v>
      </c>
      <c r="F198" s="216"/>
      <c r="G198" s="216"/>
      <c r="H198" s="1092" t="s">
        <v>71</v>
      </c>
      <c r="I198" s="134"/>
    </row>
    <row r="199" spans="1:10" s="123" customFormat="1" ht="15" customHeight="1">
      <c r="A199" s="3">
        <v>41184</v>
      </c>
      <c r="B199" s="129">
        <v>11965</v>
      </c>
      <c r="C199" s="316">
        <v>22110</v>
      </c>
      <c r="D199" s="323">
        <v>22025</v>
      </c>
      <c r="E199" s="161">
        <f t="shared" si="28"/>
        <v>210</v>
      </c>
      <c r="F199" s="213"/>
      <c r="G199" s="213"/>
      <c r="H199" s="1093"/>
      <c r="I199" s="134"/>
    </row>
    <row r="200" spans="1:10" s="123" customFormat="1" ht="15" customHeight="1">
      <c r="A200" s="3">
        <v>41185</v>
      </c>
      <c r="B200" s="129">
        <v>12105</v>
      </c>
      <c r="C200" s="316">
        <v>22100</v>
      </c>
      <c r="D200" s="323">
        <v>22100</v>
      </c>
      <c r="E200" s="161">
        <f t="shared" si="28"/>
        <v>-10</v>
      </c>
      <c r="F200" s="213"/>
      <c r="G200" s="213"/>
      <c r="H200" s="1093"/>
      <c r="I200" s="134"/>
    </row>
    <row r="201" spans="1:10" ht="15" customHeight="1">
      <c r="A201" s="3">
        <v>41186</v>
      </c>
      <c r="B201" s="129">
        <v>12055</v>
      </c>
      <c r="C201" s="316">
        <v>22230</v>
      </c>
      <c r="D201" s="323">
        <v>22225</v>
      </c>
      <c r="E201" s="161">
        <f t="shared" ref="E201:E206" si="29">+C201-C200</f>
        <v>130</v>
      </c>
      <c r="F201" s="213"/>
      <c r="G201" s="213"/>
      <c r="H201" s="1093"/>
    </row>
    <row r="202" spans="1:10" ht="15" customHeight="1">
      <c r="A202" s="3">
        <v>41187</v>
      </c>
      <c r="B202" s="129">
        <v>12175</v>
      </c>
      <c r="C202" s="316">
        <v>22455</v>
      </c>
      <c r="D202" s="323">
        <v>22500</v>
      </c>
      <c r="E202" s="161">
        <f t="shared" si="29"/>
        <v>225</v>
      </c>
      <c r="F202" s="213"/>
      <c r="G202" s="213"/>
      <c r="H202" s="1093"/>
    </row>
    <row r="203" spans="1:10" ht="15" customHeight="1">
      <c r="A203" s="3">
        <v>41190</v>
      </c>
      <c r="B203" s="129">
        <v>12175</v>
      </c>
      <c r="C203" s="316">
        <v>22100</v>
      </c>
      <c r="D203" s="323">
        <v>22050</v>
      </c>
      <c r="E203" s="161">
        <f t="shared" si="29"/>
        <v>-355</v>
      </c>
      <c r="F203" s="213"/>
      <c r="G203" s="213"/>
      <c r="H203" s="557">
        <v>159000</v>
      </c>
    </row>
    <row r="204" spans="1:10" ht="15" customHeight="1">
      <c r="A204" s="3">
        <v>41191</v>
      </c>
      <c r="B204" s="129">
        <v>12175</v>
      </c>
      <c r="C204" s="316">
        <v>22105</v>
      </c>
      <c r="D204" s="323">
        <v>22060</v>
      </c>
      <c r="E204" s="161">
        <f t="shared" si="29"/>
        <v>5</v>
      </c>
      <c r="F204" s="213"/>
      <c r="G204" s="213"/>
      <c r="H204" s="557">
        <v>158000</v>
      </c>
    </row>
    <row r="205" spans="1:10" ht="15" customHeight="1">
      <c r="A205" s="3">
        <v>41192</v>
      </c>
      <c r="B205" s="129">
        <v>12235</v>
      </c>
      <c r="C205" s="316">
        <v>21685</v>
      </c>
      <c r="D205" s="323">
        <v>21725</v>
      </c>
      <c r="E205" s="161">
        <f t="shared" si="29"/>
        <v>-420</v>
      </c>
      <c r="F205" s="213"/>
      <c r="G205" s="213"/>
      <c r="H205" s="557">
        <v>157000</v>
      </c>
    </row>
    <row r="206" spans="1:10" ht="15" customHeight="1">
      <c r="A206" s="3">
        <v>41193</v>
      </c>
      <c r="B206" s="129">
        <v>12240</v>
      </c>
      <c r="C206" s="316">
        <v>22050</v>
      </c>
      <c r="D206" s="323">
        <v>22200</v>
      </c>
      <c r="E206" s="161">
        <f t="shared" si="29"/>
        <v>365</v>
      </c>
      <c r="F206" s="213"/>
      <c r="G206" s="213"/>
      <c r="H206" s="557">
        <v>156500</v>
      </c>
    </row>
    <row r="207" spans="1:10" ht="15" customHeight="1">
      <c r="A207" s="3">
        <v>41194</v>
      </c>
      <c r="B207" s="129">
        <v>11755</v>
      </c>
      <c r="C207" s="316">
        <v>21785</v>
      </c>
      <c r="D207" s="323">
        <v>21800</v>
      </c>
      <c r="E207" s="161">
        <f t="shared" ref="E207:E212" si="30">+C207-C206</f>
        <v>-265</v>
      </c>
      <c r="F207" s="213"/>
      <c r="G207" s="213"/>
      <c r="H207" s="557">
        <v>156500</v>
      </c>
    </row>
    <row r="208" spans="1:10" ht="15" customHeight="1">
      <c r="A208" s="3">
        <v>41197</v>
      </c>
      <c r="B208" s="129">
        <v>11430</v>
      </c>
      <c r="C208" s="316">
        <v>21250</v>
      </c>
      <c r="D208" s="323">
        <v>21125</v>
      </c>
      <c r="E208" s="161">
        <f t="shared" si="30"/>
        <v>-535</v>
      </c>
      <c r="F208" s="213"/>
      <c r="G208" s="213"/>
      <c r="H208" s="557">
        <v>155000</v>
      </c>
    </row>
    <row r="209" spans="1:8" ht="15" customHeight="1">
      <c r="A209" s="3">
        <v>41198</v>
      </c>
      <c r="B209" s="129">
        <v>11255</v>
      </c>
      <c r="C209" s="316">
        <v>21425</v>
      </c>
      <c r="D209" s="323">
        <v>21390</v>
      </c>
      <c r="E209" s="161">
        <f t="shared" si="30"/>
        <v>175</v>
      </c>
      <c r="F209" s="213"/>
      <c r="G209" s="213"/>
      <c r="H209" s="557">
        <v>155000</v>
      </c>
    </row>
    <row r="210" spans="1:8" ht="15" customHeight="1">
      <c r="A210" s="3">
        <v>41199</v>
      </c>
      <c r="B210" s="129">
        <v>11545</v>
      </c>
      <c r="C210" s="316">
        <v>21305</v>
      </c>
      <c r="D210" s="323">
        <v>21235</v>
      </c>
      <c r="E210" s="161">
        <f t="shared" si="30"/>
        <v>-120</v>
      </c>
      <c r="F210" s="213"/>
      <c r="G210" s="213"/>
      <c r="H210" s="557">
        <v>154000</v>
      </c>
    </row>
    <row r="211" spans="1:8" ht="15" customHeight="1">
      <c r="A211" s="3">
        <v>41200</v>
      </c>
      <c r="B211" s="129">
        <v>11580</v>
      </c>
      <c r="C211" s="316">
        <v>21800</v>
      </c>
      <c r="D211" s="323">
        <v>21700</v>
      </c>
      <c r="E211" s="161">
        <f t="shared" si="30"/>
        <v>495</v>
      </c>
      <c r="F211" s="262"/>
      <c r="G211" s="262"/>
      <c r="H211" s="557">
        <v>154000</v>
      </c>
    </row>
    <row r="212" spans="1:8" ht="15" customHeight="1">
      <c r="A212" s="3">
        <v>41201</v>
      </c>
      <c r="B212" s="129">
        <v>11615</v>
      </c>
      <c r="C212" s="316">
        <v>21730</v>
      </c>
      <c r="D212" s="323">
        <v>21700</v>
      </c>
      <c r="E212" s="161">
        <f t="shared" si="30"/>
        <v>-70</v>
      </c>
      <c r="F212" s="262"/>
      <c r="G212" s="262"/>
      <c r="H212" s="557">
        <v>154000</v>
      </c>
    </row>
    <row r="213" spans="1:8" ht="15" customHeight="1">
      <c r="A213" s="3">
        <v>41204</v>
      </c>
      <c r="B213" s="129">
        <v>11755</v>
      </c>
      <c r="C213" s="316">
        <v>20955</v>
      </c>
      <c r="D213" s="323">
        <v>21000</v>
      </c>
      <c r="E213" s="161">
        <f t="shared" ref="E213:E218" si="31">+C213-C212</f>
        <v>-775</v>
      </c>
      <c r="F213" s="262"/>
      <c r="G213" s="262"/>
      <c r="H213" s="557">
        <v>152000</v>
      </c>
    </row>
    <row r="214" spans="1:8" ht="15" customHeight="1">
      <c r="A214" s="3">
        <v>41205</v>
      </c>
      <c r="B214" s="129">
        <v>11755</v>
      </c>
      <c r="C214" s="316">
        <v>20480</v>
      </c>
      <c r="D214" s="323">
        <v>20375</v>
      </c>
      <c r="E214" s="161">
        <f t="shared" si="31"/>
        <v>-475</v>
      </c>
      <c r="F214" s="262"/>
      <c r="G214" s="262"/>
      <c r="H214" s="557">
        <v>150500</v>
      </c>
    </row>
    <row r="215" spans="1:8" ht="15" customHeight="1">
      <c r="A215" s="3">
        <v>41206</v>
      </c>
      <c r="B215" s="129">
        <v>11760</v>
      </c>
      <c r="C215" s="316">
        <v>20375</v>
      </c>
      <c r="D215" s="323">
        <v>20300</v>
      </c>
      <c r="E215" s="161">
        <f t="shared" si="31"/>
        <v>-105</v>
      </c>
      <c r="F215" s="262"/>
      <c r="G215" s="262"/>
      <c r="H215" s="557">
        <v>149500</v>
      </c>
    </row>
    <row r="216" spans="1:8" ht="15" customHeight="1">
      <c r="A216" s="3">
        <v>41207</v>
      </c>
      <c r="B216" s="129">
        <v>11740</v>
      </c>
      <c r="C216" s="316">
        <v>20550</v>
      </c>
      <c r="D216" s="323">
        <v>20600</v>
      </c>
      <c r="E216" s="161">
        <f t="shared" si="31"/>
        <v>175</v>
      </c>
      <c r="F216" s="262"/>
      <c r="G216" s="262"/>
      <c r="H216" s="557">
        <v>149500</v>
      </c>
    </row>
    <row r="217" spans="1:8" ht="15" customHeight="1">
      <c r="A217" s="3">
        <v>41208</v>
      </c>
      <c r="B217" s="129">
        <v>11750</v>
      </c>
      <c r="C217" s="316">
        <v>19925</v>
      </c>
      <c r="D217" s="323">
        <v>19950</v>
      </c>
      <c r="E217" s="161">
        <f t="shared" si="31"/>
        <v>-625</v>
      </c>
      <c r="F217" s="262"/>
      <c r="G217" s="262"/>
      <c r="H217" s="557">
        <v>149000</v>
      </c>
    </row>
    <row r="218" spans="1:8" ht="15" customHeight="1">
      <c r="A218" s="3">
        <v>41211</v>
      </c>
      <c r="B218" s="129">
        <v>11750</v>
      </c>
      <c r="C218" s="316">
        <v>19845</v>
      </c>
      <c r="D218" s="323">
        <v>19900</v>
      </c>
      <c r="E218" s="161">
        <f t="shared" si="31"/>
        <v>-80</v>
      </c>
      <c r="F218" s="262"/>
      <c r="G218" s="262"/>
      <c r="H218" s="557">
        <v>148000</v>
      </c>
    </row>
    <row r="219" spans="1:8" ht="15" customHeight="1">
      <c r="A219" s="3">
        <v>41212</v>
      </c>
      <c r="B219" s="129">
        <v>11850</v>
      </c>
      <c r="C219" s="316">
        <v>20070</v>
      </c>
      <c r="D219" s="323">
        <v>20050</v>
      </c>
      <c r="E219" s="161">
        <f t="shared" ref="E219:E224" si="32">+C219-C218</f>
        <v>225</v>
      </c>
      <c r="F219" s="262"/>
      <c r="G219" s="262"/>
      <c r="H219" s="557">
        <v>147000</v>
      </c>
    </row>
    <row r="220" spans="1:8" ht="15" customHeight="1" thickBot="1">
      <c r="A220" s="12">
        <v>41213</v>
      </c>
      <c r="B220" s="142">
        <v>11860</v>
      </c>
      <c r="C220" s="317">
        <v>20145</v>
      </c>
      <c r="D220" s="324">
        <v>20100</v>
      </c>
      <c r="E220" s="233">
        <f t="shared" si="32"/>
        <v>75</v>
      </c>
      <c r="F220" s="260">
        <f>AVERAGE(C198:C220)</f>
        <v>21320.652173913044</v>
      </c>
      <c r="G220" s="261">
        <f>AVERAGE(C4:C220)</f>
        <v>20976.777251184834</v>
      </c>
      <c r="H220" s="560">
        <v>147250</v>
      </c>
    </row>
    <row r="221" spans="1:8" ht="15" customHeight="1">
      <c r="A221" s="36">
        <v>41214</v>
      </c>
      <c r="B221" s="235">
        <v>11885</v>
      </c>
      <c r="C221" s="320">
        <v>20450</v>
      </c>
      <c r="D221" s="326">
        <v>20445</v>
      </c>
      <c r="E221" s="155">
        <f t="shared" si="32"/>
        <v>305</v>
      </c>
      <c r="F221" s="303"/>
      <c r="G221" s="303"/>
      <c r="H221" s="559">
        <v>147750</v>
      </c>
    </row>
    <row r="222" spans="1:8" ht="15" customHeight="1">
      <c r="A222" s="3">
        <v>41215</v>
      </c>
      <c r="B222" s="130">
        <v>11985</v>
      </c>
      <c r="C222" s="321">
        <v>20300</v>
      </c>
      <c r="D222" s="327">
        <v>20295</v>
      </c>
      <c r="E222" s="161">
        <f t="shared" si="32"/>
        <v>-150</v>
      </c>
      <c r="F222" s="262"/>
      <c r="G222" s="262"/>
      <c r="H222" s="557">
        <v>149500</v>
      </c>
    </row>
    <row r="223" spans="1:8" ht="15" customHeight="1">
      <c r="A223" s="3">
        <v>41218</v>
      </c>
      <c r="B223" s="130">
        <v>12035</v>
      </c>
      <c r="C223" s="321">
        <v>20175</v>
      </c>
      <c r="D223" s="327">
        <v>20175</v>
      </c>
      <c r="E223" s="161">
        <f t="shared" si="32"/>
        <v>-125</v>
      </c>
      <c r="F223" s="262"/>
      <c r="G223" s="262"/>
      <c r="H223" s="557">
        <v>149500</v>
      </c>
    </row>
    <row r="224" spans="1:8" ht="15" customHeight="1">
      <c r="A224" s="3">
        <v>41219</v>
      </c>
      <c r="B224" s="130">
        <v>11705</v>
      </c>
      <c r="C224" s="321">
        <v>20750</v>
      </c>
      <c r="D224" s="327">
        <v>20700</v>
      </c>
      <c r="E224" s="161">
        <f t="shared" si="32"/>
        <v>575</v>
      </c>
      <c r="F224" s="262"/>
      <c r="G224" s="262"/>
      <c r="H224" s="557">
        <v>149000</v>
      </c>
    </row>
    <row r="225" spans="1:10" ht="15" customHeight="1">
      <c r="A225" s="3">
        <v>41220</v>
      </c>
      <c r="B225" s="130">
        <v>11705</v>
      </c>
      <c r="C225" s="321">
        <v>20600</v>
      </c>
      <c r="D225" s="327">
        <v>20745</v>
      </c>
      <c r="E225" s="161">
        <f t="shared" ref="E225:E230" si="33">+C225-C224</f>
        <v>-150</v>
      </c>
      <c r="F225" s="262"/>
      <c r="G225" s="262"/>
      <c r="H225" s="557">
        <v>149500</v>
      </c>
    </row>
    <row r="226" spans="1:10" ht="15" customHeight="1">
      <c r="A226" s="3">
        <v>41221</v>
      </c>
      <c r="B226" s="130">
        <v>11705</v>
      </c>
      <c r="C226" s="321">
        <v>20550</v>
      </c>
      <c r="D226" s="327">
        <v>20450</v>
      </c>
      <c r="E226" s="161">
        <f t="shared" si="33"/>
        <v>-50</v>
      </c>
      <c r="F226" s="262"/>
      <c r="G226" s="262"/>
      <c r="H226" s="557">
        <v>149250</v>
      </c>
    </row>
    <row r="227" spans="1:10" ht="15" customHeight="1">
      <c r="A227" s="3">
        <v>41222</v>
      </c>
      <c r="B227" s="130">
        <v>11680</v>
      </c>
      <c r="C227" s="321">
        <v>20245</v>
      </c>
      <c r="D227" s="327">
        <v>20195</v>
      </c>
      <c r="E227" s="161">
        <f t="shared" si="33"/>
        <v>-305</v>
      </c>
      <c r="F227" s="262"/>
      <c r="G227" s="262"/>
      <c r="H227" s="557">
        <v>148250</v>
      </c>
    </row>
    <row r="228" spans="1:10" ht="15" customHeight="1">
      <c r="A228" s="3">
        <v>41225</v>
      </c>
      <c r="B228" s="130">
        <v>11680</v>
      </c>
      <c r="C228" s="321">
        <v>20475</v>
      </c>
      <c r="D228" s="327">
        <v>20375</v>
      </c>
      <c r="E228" s="161">
        <f t="shared" si="33"/>
        <v>230</v>
      </c>
      <c r="F228" s="262"/>
      <c r="G228" s="262"/>
      <c r="H228" s="557">
        <v>148250</v>
      </c>
    </row>
    <row r="229" spans="1:10" ht="15" customHeight="1">
      <c r="A229" s="3">
        <v>41226</v>
      </c>
      <c r="B229" s="130">
        <v>11485</v>
      </c>
      <c r="C229" s="321">
        <v>20380</v>
      </c>
      <c r="D229" s="327">
        <v>20425</v>
      </c>
      <c r="E229" s="161">
        <f t="shared" si="33"/>
        <v>-95</v>
      </c>
      <c r="F229" s="262"/>
      <c r="G229" s="262"/>
      <c r="H229" s="557">
        <v>148250</v>
      </c>
    </row>
    <row r="230" spans="1:10" ht="15" customHeight="1">
      <c r="A230" s="3">
        <v>41227</v>
      </c>
      <c r="B230" s="130">
        <v>11485</v>
      </c>
      <c r="C230" s="321">
        <v>20600</v>
      </c>
      <c r="D230" s="327">
        <v>20600</v>
      </c>
      <c r="E230" s="161">
        <f t="shared" si="33"/>
        <v>220</v>
      </c>
      <c r="F230" s="262"/>
      <c r="G230" s="262"/>
      <c r="H230" s="557">
        <v>147250</v>
      </c>
    </row>
    <row r="231" spans="1:10" ht="15" customHeight="1">
      <c r="A231" s="3">
        <v>41228</v>
      </c>
      <c r="B231" s="130">
        <v>11485</v>
      </c>
      <c r="C231" s="321">
        <v>20410</v>
      </c>
      <c r="D231" s="327">
        <v>20430</v>
      </c>
      <c r="E231" s="161">
        <f t="shared" ref="E231:E237" si="34">+C231-C230</f>
        <v>-190</v>
      </c>
      <c r="F231" s="262"/>
      <c r="G231" s="262"/>
      <c r="H231" s="557">
        <v>147750</v>
      </c>
    </row>
    <row r="232" spans="1:10" ht="15" customHeight="1">
      <c r="A232" s="3">
        <v>41229</v>
      </c>
      <c r="B232" s="130">
        <v>11475</v>
      </c>
      <c r="C232" s="321">
        <v>20550</v>
      </c>
      <c r="D232" s="327">
        <v>20475</v>
      </c>
      <c r="E232" s="161">
        <f t="shared" si="34"/>
        <v>140</v>
      </c>
      <c r="F232" s="262"/>
      <c r="G232" s="262"/>
      <c r="H232" s="557">
        <v>148250</v>
      </c>
    </row>
    <row r="233" spans="1:10" ht="15" customHeight="1">
      <c r="A233" s="3">
        <v>41232</v>
      </c>
      <c r="B233" s="129">
        <v>11455</v>
      </c>
      <c r="C233" s="316">
        <v>20575</v>
      </c>
      <c r="D233" s="323">
        <v>20500</v>
      </c>
      <c r="E233" s="161">
        <f t="shared" si="34"/>
        <v>25</v>
      </c>
      <c r="F233" s="262"/>
      <c r="G233" s="262"/>
      <c r="H233" s="557">
        <v>148250</v>
      </c>
    </row>
    <row r="234" spans="1:10" s="123" customFormat="1" ht="15" customHeight="1">
      <c r="A234" s="3">
        <v>41233</v>
      </c>
      <c r="B234" s="129">
        <v>11530</v>
      </c>
      <c r="C234" s="316">
        <v>20930</v>
      </c>
      <c r="D234" s="323">
        <v>20850</v>
      </c>
      <c r="E234" s="161">
        <f t="shared" si="34"/>
        <v>355</v>
      </c>
      <c r="F234" s="262"/>
      <c r="G234" s="262"/>
      <c r="H234" s="554">
        <v>148250</v>
      </c>
      <c r="J234" s="134"/>
    </row>
    <row r="235" spans="1:10" s="123" customFormat="1" ht="15" customHeight="1">
      <c r="A235" s="3">
        <v>41234</v>
      </c>
      <c r="B235" s="129">
        <v>11530</v>
      </c>
      <c r="C235" s="316">
        <v>20630</v>
      </c>
      <c r="D235" s="323">
        <v>20625</v>
      </c>
      <c r="E235" s="161">
        <f t="shared" si="34"/>
        <v>-300</v>
      </c>
      <c r="F235" s="262"/>
      <c r="G235" s="262"/>
      <c r="H235" s="554">
        <v>148500</v>
      </c>
    </row>
    <row r="236" spans="1:10" s="123" customFormat="1" ht="15" customHeight="1">
      <c r="A236" s="3">
        <v>41235</v>
      </c>
      <c r="B236" s="129">
        <v>11555</v>
      </c>
      <c r="C236" s="316">
        <v>20575</v>
      </c>
      <c r="D236" s="323">
        <v>20575</v>
      </c>
      <c r="E236" s="161">
        <f t="shared" si="34"/>
        <v>-55</v>
      </c>
      <c r="F236" s="262"/>
      <c r="G236" s="262"/>
      <c r="H236" s="554">
        <v>148250</v>
      </c>
    </row>
    <row r="237" spans="1:10" s="123" customFormat="1" ht="15" customHeight="1">
      <c r="A237" s="3">
        <v>41236</v>
      </c>
      <c r="B237" s="129">
        <v>11740</v>
      </c>
      <c r="C237" s="316">
        <v>20595</v>
      </c>
      <c r="D237" s="323">
        <v>20500</v>
      </c>
      <c r="E237" s="161">
        <f t="shared" si="34"/>
        <v>20</v>
      </c>
      <c r="F237" s="262"/>
      <c r="G237" s="262"/>
      <c r="H237" s="554">
        <v>147750</v>
      </c>
      <c r="J237" s="134"/>
    </row>
    <row r="238" spans="1:10" s="123" customFormat="1" ht="15" customHeight="1">
      <c r="A238" s="3">
        <v>41239</v>
      </c>
      <c r="B238" s="129">
        <v>11740</v>
      </c>
      <c r="C238" s="316">
        <v>20825</v>
      </c>
      <c r="D238" s="323">
        <v>20775</v>
      </c>
      <c r="E238" s="161">
        <f t="shared" ref="E238:E243" si="35">+C238-C237</f>
        <v>230</v>
      </c>
      <c r="F238" s="262"/>
      <c r="G238" s="262"/>
      <c r="H238" s="554">
        <v>147750</v>
      </c>
    </row>
    <row r="239" spans="1:10" s="123" customFormat="1" ht="15" customHeight="1">
      <c r="A239" s="3">
        <v>41240</v>
      </c>
      <c r="B239" s="129">
        <v>12025</v>
      </c>
      <c r="C239" s="316">
        <v>21135</v>
      </c>
      <c r="D239" s="323">
        <v>21130</v>
      </c>
      <c r="E239" s="161">
        <f t="shared" si="35"/>
        <v>310</v>
      </c>
      <c r="F239" s="262"/>
      <c r="G239" s="262"/>
      <c r="H239" s="554">
        <v>148000</v>
      </c>
    </row>
    <row r="240" spans="1:10" s="123" customFormat="1" ht="15" customHeight="1">
      <c r="A240" s="3">
        <v>41241</v>
      </c>
      <c r="B240" s="129">
        <v>11990</v>
      </c>
      <c r="C240" s="316">
        <v>21245</v>
      </c>
      <c r="D240" s="323">
        <v>21200</v>
      </c>
      <c r="E240" s="161">
        <f t="shared" si="35"/>
        <v>110</v>
      </c>
      <c r="F240" s="262"/>
      <c r="G240" s="262"/>
      <c r="H240" s="554">
        <v>148500</v>
      </c>
      <c r="J240" s="134"/>
    </row>
    <row r="241" spans="1:10" s="123" customFormat="1" ht="15" customHeight="1">
      <c r="A241" s="3">
        <v>41242</v>
      </c>
      <c r="B241" s="129">
        <v>12015</v>
      </c>
      <c r="C241" s="316">
        <v>21610</v>
      </c>
      <c r="D241" s="323">
        <v>21800</v>
      </c>
      <c r="E241" s="161">
        <f t="shared" si="35"/>
        <v>365</v>
      </c>
      <c r="F241" s="262"/>
      <c r="G241" s="262"/>
      <c r="H241" s="554">
        <v>149000</v>
      </c>
    </row>
    <row r="242" spans="1:10" s="123" customFormat="1" ht="15" customHeight="1" thickBot="1">
      <c r="A242" s="12">
        <v>41243</v>
      </c>
      <c r="B242" s="142">
        <v>12060</v>
      </c>
      <c r="C242" s="317">
        <v>21800</v>
      </c>
      <c r="D242" s="324">
        <v>21800</v>
      </c>
      <c r="E242" s="233">
        <f t="shared" si="35"/>
        <v>190</v>
      </c>
      <c r="F242" s="260">
        <f>AVERAGE(C221:C242)</f>
        <v>20700.227272727272</v>
      </c>
      <c r="G242" s="261">
        <f>AVERAGE(C4:C242)</f>
        <v>20950.665236051504</v>
      </c>
      <c r="H242" s="555">
        <v>149000</v>
      </c>
      <c r="J242" s="134"/>
    </row>
    <row r="243" spans="1:10" s="123" customFormat="1" ht="15" customHeight="1">
      <c r="A243" s="36">
        <v>41246</v>
      </c>
      <c r="B243" s="152">
        <v>12215</v>
      </c>
      <c r="C243" s="319">
        <v>21860</v>
      </c>
      <c r="D243" s="325">
        <v>21805</v>
      </c>
      <c r="E243" s="155">
        <f t="shared" si="35"/>
        <v>60</v>
      </c>
      <c r="F243" s="303"/>
      <c r="G243" s="303"/>
      <c r="H243" s="556">
        <v>149750</v>
      </c>
      <c r="J243" s="134"/>
    </row>
    <row r="244" spans="1:10" ht="15" customHeight="1">
      <c r="A244" s="3">
        <v>41247</v>
      </c>
      <c r="B244" s="129">
        <v>12365</v>
      </c>
      <c r="C244" s="316">
        <v>21775</v>
      </c>
      <c r="D244" s="323">
        <v>21750</v>
      </c>
      <c r="E244" s="161">
        <f t="shared" ref="E244:E249" si="36">+C244-C243</f>
        <v>-85</v>
      </c>
      <c r="F244" s="262"/>
      <c r="G244" s="262"/>
      <c r="H244" s="557">
        <v>150000</v>
      </c>
    </row>
    <row r="245" spans="1:10" s="123" customFormat="1" ht="15" customHeight="1">
      <c r="A245" s="3">
        <v>41248</v>
      </c>
      <c r="B245" s="129">
        <v>12295</v>
      </c>
      <c r="C245" s="316">
        <v>21870</v>
      </c>
      <c r="D245" s="323">
        <v>21805</v>
      </c>
      <c r="E245" s="161">
        <f t="shared" si="36"/>
        <v>95</v>
      </c>
      <c r="F245" s="262"/>
      <c r="H245" s="554">
        <v>149750</v>
      </c>
    </row>
    <row r="246" spans="1:10" s="123" customFormat="1" ht="15" customHeight="1">
      <c r="A246" s="3">
        <v>41249</v>
      </c>
      <c r="B246" s="129">
        <v>11195</v>
      </c>
      <c r="C246" s="316">
        <v>21905</v>
      </c>
      <c r="D246" s="323">
        <v>21885</v>
      </c>
      <c r="E246" s="161">
        <f t="shared" si="36"/>
        <v>35</v>
      </c>
      <c r="F246" s="262"/>
      <c r="G246" s="262"/>
      <c r="H246" s="554">
        <v>149250</v>
      </c>
      <c r="J246" s="134"/>
    </row>
    <row r="247" spans="1:10" ht="15" customHeight="1">
      <c r="A247" s="3">
        <v>41250</v>
      </c>
      <c r="B247" s="129">
        <v>11340</v>
      </c>
      <c r="C247" s="316">
        <v>21620</v>
      </c>
      <c r="D247" s="323">
        <v>21530</v>
      </c>
      <c r="E247" s="161">
        <f t="shared" si="36"/>
        <v>-285</v>
      </c>
      <c r="F247" s="262"/>
      <c r="G247" s="262"/>
      <c r="H247" s="557">
        <v>149250</v>
      </c>
    </row>
    <row r="248" spans="1:10" ht="15" customHeight="1">
      <c r="A248" s="3">
        <v>41253</v>
      </c>
      <c r="B248" s="129">
        <v>11380</v>
      </c>
      <c r="C248" s="316">
        <v>22375</v>
      </c>
      <c r="D248" s="323">
        <v>22400</v>
      </c>
      <c r="E248" s="161">
        <f t="shared" si="36"/>
        <v>755</v>
      </c>
      <c r="F248" s="262"/>
      <c r="G248" s="262"/>
      <c r="H248" s="557">
        <v>149250</v>
      </c>
    </row>
    <row r="249" spans="1:10" s="123" customFormat="1" ht="15" customHeight="1">
      <c r="A249" s="3">
        <v>41254</v>
      </c>
      <c r="B249" s="129">
        <v>11405</v>
      </c>
      <c r="C249" s="316">
        <v>23025</v>
      </c>
      <c r="D249" s="323">
        <v>23000</v>
      </c>
      <c r="E249" s="161">
        <f t="shared" si="36"/>
        <v>650</v>
      </c>
      <c r="F249" s="262"/>
      <c r="G249" s="262"/>
      <c r="H249" s="554">
        <v>152000</v>
      </c>
    </row>
    <row r="250" spans="1:10" s="123" customFormat="1" ht="14.25" customHeight="1">
      <c r="A250" s="3">
        <v>41255</v>
      </c>
      <c r="B250" s="129">
        <v>11595</v>
      </c>
      <c r="C250" s="316">
        <v>23155</v>
      </c>
      <c r="D250" s="323">
        <v>23150</v>
      </c>
      <c r="E250" s="161">
        <f t="shared" ref="E250:E258" si="37">+C250-C249</f>
        <v>130</v>
      </c>
      <c r="F250" s="262"/>
      <c r="G250" s="262"/>
      <c r="H250" s="554">
        <v>153000</v>
      </c>
      <c r="J250" s="134"/>
    </row>
    <row r="251" spans="1:10" ht="15" customHeight="1">
      <c r="A251" s="3">
        <v>41256</v>
      </c>
      <c r="B251" s="129">
        <v>11645</v>
      </c>
      <c r="C251" s="316">
        <v>22900</v>
      </c>
      <c r="D251" s="323">
        <v>22900</v>
      </c>
      <c r="E251" s="161">
        <f t="shared" si="37"/>
        <v>-255</v>
      </c>
      <c r="F251" s="262"/>
      <c r="H251" s="554">
        <v>152000</v>
      </c>
    </row>
    <row r="252" spans="1:10" ht="15" customHeight="1">
      <c r="A252" s="3">
        <v>41257</v>
      </c>
      <c r="B252" s="129">
        <v>11765</v>
      </c>
      <c r="C252" s="316">
        <v>23205</v>
      </c>
      <c r="D252" s="323">
        <v>23225</v>
      </c>
      <c r="E252" s="161">
        <f t="shared" si="37"/>
        <v>305</v>
      </c>
      <c r="F252" s="262"/>
      <c r="G252" s="262"/>
      <c r="H252" s="554">
        <v>152000</v>
      </c>
    </row>
    <row r="253" spans="1:10" ht="15" customHeight="1">
      <c r="A253" s="3">
        <v>41260</v>
      </c>
      <c r="B253" s="129">
        <v>12015</v>
      </c>
      <c r="C253" s="316">
        <v>23325</v>
      </c>
      <c r="D253" s="323">
        <v>23325</v>
      </c>
      <c r="E253" s="161">
        <f t="shared" si="37"/>
        <v>120</v>
      </c>
      <c r="F253" s="262"/>
      <c r="G253" s="262"/>
      <c r="H253" s="554">
        <v>152000</v>
      </c>
    </row>
    <row r="254" spans="1:10" ht="15" customHeight="1">
      <c r="A254" s="3">
        <v>41261</v>
      </c>
      <c r="B254" s="129">
        <v>12040</v>
      </c>
      <c r="C254" s="316">
        <v>23450</v>
      </c>
      <c r="D254" s="323">
        <v>23495</v>
      </c>
      <c r="E254" s="161">
        <f t="shared" si="37"/>
        <v>125</v>
      </c>
      <c r="F254" s="262"/>
      <c r="G254" s="262"/>
      <c r="H254" s="554">
        <v>152250</v>
      </c>
    </row>
    <row r="255" spans="1:10" ht="15" customHeight="1">
      <c r="A255" s="3">
        <v>41262</v>
      </c>
      <c r="B255" s="129">
        <v>12070</v>
      </c>
      <c r="C255" s="316">
        <v>23660</v>
      </c>
      <c r="D255" s="323">
        <v>23655</v>
      </c>
      <c r="E255" s="161">
        <f t="shared" si="37"/>
        <v>210</v>
      </c>
      <c r="F255" s="262"/>
      <c r="G255" s="262"/>
      <c r="H255" s="554">
        <v>152250</v>
      </c>
    </row>
    <row r="256" spans="1:10" ht="15" customHeight="1">
      <c r="A256" s="3">
        <v>41263</v>
      </c>
      <c r="B256" s="129">
        <v>12245</v>
      </c>
      <c r="C256" s="316">
        <v>23305</v>
      </c>
      <c r="D256" s="323">
        <v>23350</v>
      </c>
      <c r="E256" s="161">
        <f t="shared" si="37"/>
        <v>-355</v>
      </c>
      <c r="F256" s="262"/>
      <c r="G256" s="262"/>
      <c r="H256" s="554">
        <v>152250</v>
      </c>
    </row>
    <row r="257" spans="1:8" ht="15" customHeight="1">
      <c r="A257" s="3">
        <v>41264</v>
      </c>
      <c r="B257" s="129">
        <v>12395</v>
      </c>
      <c r="C257" s="316">
        <v>23350</v>
      </c>
      <c r="D257" s="323">
        <v>23350</v>
      </c>
      <c r="E257" s="161">
        <f t="shared" si="37"/>
        <v>45</v>
      </c>
      <c r="F257" s="262"/>
      <c r="G257" s="262"/>
      <c r="H257" s="554">
        <v>151750</v>
      </c>
    </row>
    <row r="258" spans="1:8" ht="15" customHeight="1">
      <c r="A258" s="3">
        <v>41267</v>
      </c>
      <c r="B258" s="129">
        <v>12565</v>
      </c>
      <c r="C258" s="316">
        <v>23200</v>
      </c>
      <c r="D258" s="323">
        <v>23205</v>
      </c>
      <c r="E258" s="161">
        <f t="shared" si="37"/>
        <v>-150</v>
      </c>
      <c r="F258" s="262"/>
      <c r="G258" s="262"/>
      <c r="H258" s="554">
        <v>151250</v>
      </c>
    </row>
    <row r="259" spans="1:8" ht="15" customHeight="1">
      <c r="A259" s="3">
        <v>41268</v>
      </c>
      <c r="B259" s="1069" t="s">
        <v>70</v>
      </c>
      <c r="C259" s="1069"/>
      <c r="D259" s="1069"/>
      <c r="E259" s="1069"/>
      <c r="F259" s="262"/>
      <c r="G259" s="262"/>
      <c r="H259" s="554">
        <v>151250</v>
      </c>
    </row>
    <row r="260" spans="1:8" ht="15" customHeight="1">
      <c r="A260" s="3">
        <v>41269</v>
      </c>
      <c r="B260" s="1069" t="s">
        <v>70</v>
      </c>
      <c r="C260" s="1069"/>
      <c r="D260" s="1069"/>
      <c r="E260" s="1069"/>
      <c r="F260" s="262"/>
      <c r="G260" s="262"/>
      <c r="H260" s="554">
        <v>151250</v>
      </c>
    </row>
    <row r="261" spans="1:8" ht="15" customHeight="1" thickBot="1">
      <c r="A261" s="3">
        <v>41270</v>
      </c>
      <c r="B261" s="129">
        <v>12565</v>
      </c>
      <c r="C261" s="316">
        <v>23350</v>
      </c>
      <c r="D261" s="323">
        <v>23455</v>
      </c>
      <c r="E261" s="161">
        <f>C261-C258</f>
        <v>150</v>
      </c>
      <c r="F261" s="262"/>
      <c r="G261" s="466">
        <f>AVERAGE(C4:C260)</f>
        <v>21066.204819277107</v>
      </c>
      <c r="H261" s="554">
        <v>151250</v>
      </c>
    </row>
    <row r="262" spans="1:8" ht="15" customHeight="1">
      <c r="A262" s="3">
        <v>41271</v>
      </c>
      <c r="B262" s="129">
        <v>12750</v>
      </c>
      <c r="C262" s="316">
        <v>23210</v>
      </c>
      <c r="D262" s="323">
        <v>23350</v>
      </c>
      <c r="E262" s="161">
        <f>C262-C261</f>
        <v>-140</v>
      </c>
      <c r="F262" s="262"/>
      <c r="G262" s="262"/>
      <c r="H262" s="554">
        <v>151750</v>
      </c>
    </row>
    <row r="263" spans="1:8" ht="15" customHeight="1" thickBot="1">
      <c r="A263" s="12">
        <v>41274</v>
      </c>
      <c r="B263" s="142">
        <v>12825</v>
      </c>
      <c r="C263" s="317">
        <v>23500</v>
      </c>
      <c r="D263" s="324">
        <v>23405</v>
      </c>
      <c r="E263" s="233">
        <f>C263-C262</f>
        <v>290</v>
      </c>
      <c r="F263" s="260">
        <f>AVERAGE(C243:C263)</f>
        <v>22844.21052631579</v>
      </c>
      <c r="G263" s="261">
        <f>AVERAGE(C4:C263)</f>
        <v>21093.432539682541</v>
      </c>
      <c r="H263" s="555">
        <v>152750</v>
      </c>
    </row>
    <row r="264" spans="1:8" ht="15" customHeight="1">
      <c r="A264" s="3">
        <v>41275</v>
      </c>
      <c r="B264" s="1084" t="s">
        <v>70</v>
      </c>
      <c r="C264" s="1084"/>
      <c r="D264" s="1084"/>
      <c r="E264" s="1084"/>
      <c r="H264" s="1103" t="s">
        <v>115</v>
      </c>
    </row>
    <row r="265" spans="1:8" ht="15" customHeight="1">
      <c r="A265" s="3">
        <v>41276</v>
      </c>
      <c r="B265" s="132">
        <v>12800</v>
      </c>
      <c r="C265" s="321">
        <v>24350</v>
      </c>
      <c r="D265" s="327">
        <v>24345</v>
      </c>
      <c r="E265" s="134">
        <f>C265-C263</f>
        <v>850</v>
      </c>
      <c r="H265" s="1104"/>
    </row>
    <row r="266" spans="1:8" ht="15" customHeight="1">
      <c r="A266" s="3">
        <v>41277</v>
      </c>
      <c r="B266" s="132">
        <v>12675</v>
      </c>
      <c r="C266" s="321">
        <v>24150</v>
      </c>
      <c r="D266" s="327">
        <v>24150</v>
      </c>
      <c r="E266" s="134">
        <f t="shared" ref="E266:E286" si="38">C266-C265</f>
        <v>-200</v>
      </c>
      <c r="F266" s="304"/>
      <c r="G266" s="262"/>
      <c r="H266" s="1104"/>
    </row>
    <row r="267" spans="1:8" ht="15" customHeight="1">
      <c r="A267" s="3">
        <v>41278</v>
      </c>
      <c r="B267" s="129">
        <v>12655</v>
      </c>
      <c r="C267" s="321">
        <v>24000</v>
      </c>
      <c r="D267" s="327">
        <v>23950</v>
      </c>
      <c r="E267" s="134">
        <f t="shared" si="38"/>
        <v>-150</v>
      </c>
      <c r="H267" s="563">
        <v>155250</v>
      </c>
    </row>
    <row r="268" spans="1:8" ht="15" customHeight="1">
      <c r="A268" s="3">
        <v>41281</v>
      </c>
      <c r="B268" s="129">
        <v>12655</v>
      </c>
      <c r="C268" s="321">
        <v>23745</v>
      </c>
      <c r="D268" s="327">
        <v>23775</v>
      </c>
      <c r="E268" s="134">
        <f t="shared" si="38"/>
        <v>-255</v>
      </c>
      <c r="H268" s="563">
        <v>157000</v>
      </c>
    </row>
    <row r="269" spans="1:8" ht="15" customHeight="1">
      <c r="A269" s="3">
        <v>41282</v>
      </c>
      <c r="B269" s="129">
        <v>12705</v>
      </c>
      <c r="C269" s="321">
        <v>24010</v>
      </c>
      <c r="D269" s="327">
        <v>24025</v>
      </c>
      <c r="E269" s="134">
        <f t="shared" si="38"/>
        <v>265</v>
      </c>
      <c r="F269" s="304"/>
      <c r="H269" s="563">
        <v>158000</v>
      </c>
    </row>
    <row r="270" spans="1:8" ht="15" customHeight="1">
      <c r="A270" s="3">
        <v>41283</v>
      </c>
      <c r="B270" s="132">
        <v>12705</v>
      </c>
      <c r="C270" s="318">
        <v>24450</v>
      </c>
      <c r="D270" s="315">
        <v>24375</v>
      </c>
      <c r="E270" s="134">
        <f t="shared" si="38"/>
        <v>440</v>
      </c>
      <c r="F270" s="304"/>
      <c r="G270" s="341"/>
      <c r="H270" s="563">
        <v>158500</v>
      </c>
    </row>
    <row r="271" spans="1:8" ht="15" customHeight="1">
      <c r="A271" s="3">
        <v>41284</v>
      </c>
      <c r="B271" s="132">
        <v>12700</v>
      </c>
      <c r="C271" s="318">
        <v>24875</v>
      </c>
      <c r="D271" s="315">
        <v>24850</v>
      </c>
      <c r="E271" s="134">
        <f t="shared" si="38"/>
        <v>425</v>
      </c>
      <c r="H271" s="563">
        <v>159000</v>
      </c>
    </row>
    <row r="272" spans="1:8" ht="15" customHeight="1">
      <c r="A272" s="3">
        <v>41285</v>
      </c>
      <c r="B272" s="132">
        <v>12700</v>
      </c>
      <c r="C272" s="318">
        <v>24700</v>
      </c>
      <c r="D272" s="315">
        <v>24725</v>
      </c>
      <c r="E272" s="134">
        <f t="shared" si="38"/>
        <v>-175</v>
      </c>
      <c r="H272" s="563">
        <v>160000</v>
      </c>
    </row>
    <row r="273" spans="1:8" ht="15" customHeight="1">
      <c r="A273" s="3">
        <v>41288</v>
      </c>
      <c r="B273" s="132">
        <v>12700</v>
      </c>
      <c r="C273" s="318">
        <v>25100</v>
      </c>
      <c r="D273" s="315">
        <v>24950</v>
      </c>
      <c r="E273" s="134">
        <f t="shared" si="38"/>
        <v>400</v>
      </c>
      <c r="F273" s="343"/>
      <c r="G273" s="341"/>
      <c r="H273" s="563">
        <v>161000</v>
      </c>
    </row>
    <row r="274" spans="1:8" ht="15" customHeight="1">
      <c r="A274" s="3">
        <v>41289</v>
      </c>
      <c r="B274" s="132">
        <v>12750</v>
      </c>
      <c r="C274" s="318">
        <v>24785</v>
      </c>
      <c r="D274" s="315">
        <v>24850</v>
      </c>
      <c r="E274" s="134">
        <f t="shared" si="38"/>
        <v>-315</v>
      </c>
      <c r="F274" s="343"/>
      <c r="G274" s="341"/>
      <c r="H274" s="563">
        <v>161000</v>
      </c>
    </row>
    <row r="275" spans="1:8" ht="15" customHeight="1">
      <c r="A275" s="3">
        <v>41290</v>
      </c>
      <c r="B275" s="132">
        <v>12800</v>
      </c>
      <c r="C275" s="318">
        <v>24895</v>
      </c>
      <c r="D275" s="315">
        <v>24760</v>
      </c>
      <c r="E275" s="134">
        <f t="shared" si="38"/>
        <v>110</v>
      </c>
      <c r="H275" s="563">
        <v>16150</v>
      </c>
    </row>
    <row r="276" spans="1:8" ht="15" customHeight="1">
      <c r="A276" s="3">
        <v>41291</v>
      </c>
      <c r="B276" s="132">
        <v>12860</v>
      </c>
      <c r="C276" s="318">
        <v>25200</v>
      </c>
      <c r="D276" s="315">
        <v>25150</v>
      </c>
      <c r="E276" s="134">
        <f t="shared" si="38"/>
        <v>305</v>
      </c>
      <c r="H276" s="563">
        <v>16150</v>
      </c>
    </row>
    <row r="277" spans="1:8" ht="15" customHeight="1">
      <c r="A277" s="3">
        <v>41292</v>
      </c>
      <c r="B277" s="132">
        <v>12870</v>
      </c>
      <c r="C277" s="318">
        <v>25085</v>
      </c>
      <c r="D277" s="315">
        <v>25100</v>
      </c>
      <c r="E277" s="134">
        <f t="shared" si="38"/>
        <v>-115</v>
      </c>
      <c r="H277" s="563">
        <v>161500</v>
      </c>
    </row>
    <row r="278" spans="1:8" ht="15" customHeight="1">
      <c r="A278" s="3">
        <v>41295</v>
      </c>
      <c r="B278" s="132">
        <v>12930</v>
      </c>
      <c r="C278" s="318">
        <v>25025</v>
      </c>
      <c r="D278" s="315">
        <v>25000</v>
      </c>
      <c r="E278" s="134">
        <f t="shared" si="38"/>
        <v>-60</v>
      </c>
      <c r="H278" s="563">
        <v>160500</v>
      </c>
    </row>
    <row r="279" spans="1:8" ht="15" customHeight="1">
      <c r="A279" s="3">
        <v>41296</v>
      </c>
      <c r="B279" s="132">
        <v>13130</v>
      </c>
      <c r="C279" s="318">
        <v>24975</v>
      </c>
      <c r="D279" s="315">
        <v>24975</v>
      </c>
      <c r="E279" s="134">
        <f t="shared" si="38"/>
        <v>-50</v>
      </c>
      <c r="H279" s="563">
        <v>160500</v>
      </c>
    </row>
    <row r="280" spans="1:8" ht="15" customHeight="1">
      <c r="A280" s="3">
        <v>41297</v>
      </c>
      <c r="B280" s="132">
        <v>13130</v>
      </c>
      <c r="C280" s="318">
        <v>24850</v>
      </c>
      <c r="D280" s="315">
        <v>24810</v>
      </c>
      <c r="E280" s="134">
        <f t="shared" si="38"/>
        <v>-125</v>
      </c>
      <c r="H280" s="563">
        <v>159500</v>
      </c>
    </row>
    <row r="281" spans="1:8" ht="15" customHeight="1">
      <c r="A281" s="3">
        <v>41298</v>
      </c>
      <c r="B281" s="132">
        <v>13135</v>
      </c>
      <c r="C281" s="318">
        <v>24450</v>
      </c>
      <c r="D281" s="315">
        <v>24380</v>
      </c>
      <c r="E281" s="134">
        <f t="shared" si="38"/>
        <v>-400</v>
      </c>
      <c r="H281" s="563">
        <v>159000</v>
      </c>
    </row>
    <row r="282" spans="1:8" ht="15" customHeight="1">
      <c r="A282" s="3">
        <v>41299</v>
      </c>
      <c r="B282" s="132">
        <v>13195</v>
      </c>
      <c r="C282" s="318">
        <v>24710</v>
      </c>
      <c r="D282" s="315">
        <v>24805</v>
      </c>
      <c r="E282" s="134">
        <f t="shared" si="38"/>
        <v>260</v>
      </c>
      <c r="H282" s="563">
        <v>158750</v>
      </c>
    </row>
    <row r="283" spans="1:8" ht="15" customHeight="1">
      <c r="A283" s="3">
        <v>41302</v>
      </c>
      <c r="B283" s="132">
        <v>13035</v>
      </c>
      <c r="C283" s="318">
        <v>24500</v>
      </c>
      <c r="D283" s="315">
        <v>24425</v>
      </c>
      <c r="E283" s="134">
        <f t="shared" si="38"/>
        <v>-210</v>
      </c>
      <c r="H283" s="563">
        <v>158750</v>
      </c>
    </row>
    <row r="284" spans="1:8" ht="15" customHeight="1">
      <c r="A284" s="3">
        <v>41303</v>
      </c>
      <c r="B284" s="132">
        <v>13135</v>
      </c>
      <c r="C284" s="318">
        <v>24480</v>
      </c>
      <c r="D284" s="315">
        <v>24480</v>
      </c>
      <c r="E284" s="134">
        <f t="shared" si="38"/>
        <v>-20</v>
      </c>
      <c r="H284" s="563">
        <v>158750</v>
      </c>
    </row>
    <row r="285" spans="1:8" ht="15" customHeight="1">
      <c r="A285" s="3">
        <v>41304</v>
      </c>
      <c r="B285" s="132">
        <v>13135</v>
      </c>
      <c r="C285" s="318">
        <v>25070</v>
      </c>
      <c r="D285" s="315">
        <v>25075</v>
      </c>
      <c r="E285" s="134">
        <f t="shared" si="38"/>
        <v>590</v>
      </c>
      <c r="H285" s="563">
        <v>159000</v>
      </c>
    </row>
    <row r="286" spans="1:8" ht="15" customHeight="1" thickBot="1">
      <c r="A286" s="12">
        <v>41305</v>
      </c>
      <c r="B286" s="142">
        <v>13420</v>
      </c>
      <c r="C286" s="317">
        <v>25100</v>
      </c>
      <c r="D286" s="324">
        <v>25100</v>
      </c>
      <c r="E286" s="233">
        <f t="shared" si="38"/>
        <v>30</v>
      </c>
      <c r="F286" s="355">
        <f>AVERAGE(C265:C286)</f>
        <v>24659.31818181818</v>
      </c>
      <c r="G286" s="356">
        <f>AVERAGE(C265:C286)</f>
        <v>24659.31818181818</v>
      </c>
      <c r="H286" s="564">
        <v>159750</v>
      </c>
    </row>
    <row r="287" spans="1:8" ht="15" customHeight="1">
      <c r="A287" s="36">
        <v>41306</v>
      </c>
      <c r="B287" s="132">
        <v>13625</v>
      </c>
      <c r="C287" s="319">
        <v>24810</v>
      </c>
      <c r="D287" s="325">
        <v>24850</v>
      </c>
      <c r="E287" s="155">
        <f t="shared" ref="E287:E326" si="39">C287-C286</f>
        <v>-290</v>
      </c>
      <c r="H287" s="565">
        <v>160250</v>
      </c>
    </row>
    <row r="288" spans="1:8" ht="15" customHeight="1">
      <c r="A288" s="3">
        <v>41309</v>
      </c>
      <c r="B288" s="132">
        <v>13625</v>
      </c>
      <c r="C288" s="316">
        <v>24945</v>
      </c>
      <c r="D288" s="323">
        <v>24950</v>
      </c>
      <c r="E288" s="161">
        <f t="shared" si="39"/>
        <v>135</v>
      </c>
      <c r="H288" s="565">
        <v>161000</v>
      </c>
    </row>
    <row r="289" spans="1:8" ht="15" customHeight="1">
      <c r="A289" s="3">
        <v>41310</v>
      </c>
      <c r="B289" s="132">
        <v>13315</v>
      </c>
      <c r="C289" s="318">
        <v>24945</v>
      </c>
      <c r="D289" s="315">
        <v>24945</v>
      </c>
      <c r="E289" s="161">
        <f t="shared" si="39"/>
        <v>0</v>
      </c>
      <c r="H289" s="565">
        <v>161500</v>
      </c>
    </row>
    <row r="290" spans="1:8" ht="15" customHeight="1">
      <c r="A290" s="3">
        <v>41311</v>
      </c>
      <c r="B290" s="132">
        <v>13275</v>
      </c>
      <c r="C290" s="318">
        <v>24850</v>
      </c>
      <c r="D290" s="315">
        <v>24895</v>
      </c>
      <c r="E290" s="161">
        <f t="shared" si="39"/>
        <v>-95</v>
      </c>
      <c r="H290" s="565">
        <v>161500</v>
      </c>
    </row>
    <row r="291" spans="1:8" ht="15" customHeight="1">
      <c r="A291" s="3">
        <v>41312</v>
      </c>
      <c r="B291" s="132">
        <v>13315</v>
      </c>
      <c r="C291" s="318">
        <v>24955</v>
      </c>
      <c r="D291" s="315">
        <v>24970</v>
      </c>
      <c r="E291" s="161">
        <f t="shared" si="39"/>
        <v>105</v>
      </c>
      <c r="H291" s="565">
        <v>161500</v>
      </c>
    </row>
    <row r="292" spans="1:8" ht="15" customHeight="1">
      <c r="A292" s="3">
        <v>41313</v>
      </c>
      <c r="B292" s="132">
        <v>13310</v>
      </c>
      <c r="C292" s="318">
        <v>24875</v>
      </c>
      <c r="D292" s="315">
        <v>24860</v>
      </c>
      <c r="E292" s="161">
        <f t="shared" si="39"/>
        <v>-80</v>
      </c>
      <c r="H292" s="565">
        <v>161500</v>
      </c>
    </row>
    <row r="293" spans="1:8" ht="15" customHeight="1">
      <c r="A293" s="3">
        <v>41316</v>
      </c>
      <c r="B293" s="132">
        <v>13365</v>
      </c>
      <c r="C293" s="318">
        <v>25000</v>
      </c>
      <c r="D293" s="315">
        <v>24950</v>
      </c>
      <c r="E293" s="161">
        <f t="shared" si="39"/>
        <v>125</v>
      </c>
      <c r="H293" s="1100" t="s">
        <v>115</v>
      </c>
    </row>
    <row r="294" spans="1:8" ht="15" customHeight="1">
      <c r="A294" s="3">
        <v>41317</v>
      </c>
      <c r="B294" s="132">
        <v>13350</v>
      </c>
      <c r="C294" s="318">
        <v>24925</v>
      </c>
      <c r="D294" s="315">
        <v>24905</v>
      </c>
      <c r="E294" s="161">
        <f t="shared" si="39"/>
        <v>-75</v>
      </c>
      <c r="H294" s="1100"/>
    </row>
    <row r="295" spans="1:8" ht="15" customHeight="1">
      <c r="A295" s="3">
        <v>41318</v>
      </c>
      <c r="B295" s="132">
        <v>13350</v>
      </c>
      <c r="C295" s="318">
        <v>24905</v>
      </c>
      <c r="D295" s="315">
        <v>24925</v>
      </c>
      <c r="E295" s="161">
        <f t="shared" si="39"/>
        <v>-20</v>
      </c>
      <c r="H295" s="1100"/>
    </row>
    <row r="296" spans="1:8" ht="15" customHeight="1">
      <c r="A296" s="3">
        <v>41319</v>
      </c>
      <c r="B296" s="132">
        <v>13350</v>
      </c>
      <c r="C296" s="318">
        <v>24780</v>
      </c>
      <c r="D296" s="315">
        <v>24800</v>
      </c>
      <c r="E296" s="161">
        <f t="shared" si="39"/>
        <v>-125</v>
      </c>
      <c r="H296" s="1100"/>
    </row>
    <row r="297" spans="1:8" ht="15" customHeight="1">
      <c r="A297" s="3">
        <v>41320</v>
      </c>
      <c r="B297" s="132">
        <v>13375</v>
      </c>
      <c r="C297" s="318">
        <v>24925</v>
      </c>
      <c r="D297" s="315">
        <v>24950</v>
      </c>
      <c r="E297" s="161">
        <f t="shared" si="39"/>
        <v>145</v>
      </c>
      <c r="H297" s="1100"/>
    </row>
    <row r="298" spans="1:8" ht="15" customHeight="1">
      <c r="A298" s="3">
        <v>41323</v>
      </c>
      <c r="B298" s="132">
        <v>13450</v>
      </c>
      <c r="C298" s="318">
        <v>24700</v>
      </c>
      <c r="D298" s="315">
        <v>24685</v>
      </c>
      <c r="E298" s="161">
        <f t="shared" si="39"/>
        <v>-225</v>
      </c>
      <c r="H298" s="566">
        <v>161500</v>
      </c>
    </row>
    <row r="299" spans="1:8" ht="15" customHeight="1">
      <c r="A299" s="3">
        <v>41324</v>
      </c>
      <c r="B299" s="132">
        <v>13315</v>
      </c>
      <c r="C299" s="318">
        <v>23925</v>
      </c>
      <c r="D299" s="315">
        <v>23925</v>
      </c>
      <c r="E299" s="161">
        <f t="shared" si="39"/>
        <v>-775</v>
      </c>
      <c r="H299" s="566">
        <v>160500</v>
      </c>
    </row>
    <row r="300" spans="1:8" ht="15" customHeight="1">
      <c r="A300" s="3">
        <v>41325</v>
      </c>
      <c r="B300" s="132">
        <v>13325</v>
      </c>
      <c r="C300" s="318">
        <v>23900</v>
      </c>
      <c r="D300" s="315">
        <v>23925</v>
      </c>
      <c r="E300" s="161">
        <f t="shared" si="39"/>
        <v>-25</v>
      </c>
      <c r="H300" s="566">
        <v>159500</v>
      </c>
    </row>
    <row r="301" spans="1:8" ht="15" customHeight="1">
      <c r="A301" s="3">
        <v>41326</v>
      </c>
      <c r="B301" s="132">
        <v>13515</v>
      </c>
      <c r="C301" s="318">
        <v>23150</v>
      </c>
      <c r="D301" s="315">
        <v>23125</v>
      </c>
      <c r="E301" s="161">
        <f t="shared" si="39"/>
        <v>-750</v>
      </c>
      <c r="H301" s="566">
        <v>158500</v>
      </c>
    </row>
    <row r="302" spans="1:8" ht="15" customHeight="1">
      <c r="A302" s="3">
        <v>41327</v>
      </c>
      <c r="B302" s="132">
        <v>13580</v>
      </c>
      <c r="C302" s="318">
        <v>23295</v>
      </c>
      <c r="D302" s="315">
        <v>23300</v>
      </c>
      <c r="E302" s="161">
        <f t="shared" si="39"/>
        <v>145</v>
      </c>
      <c r="H302" s="566">
        <v>157500</v>
      </c>
    </row>
    <row r="303" spans="1:8" ht="15" customHeight="1">
      <c r="A303" s="3">
        <v>41330</v>
      </c>
      <c r="B303" s="132">
        <v>13650</v>
      </c>
      <c r="C303" s="318">
        <v>23305</v>
      </c>
      <c r="D303" s="315">
        <v>23375</v>
      </c>
      <c r="E303" s="161">
        <f t="shared" si="39"/>
        <v>10</v>
      </c>
      <c r="H303" s="566">
        <v>157250</v>
      </c>
    </row>
    <row r="304" spans="1:8" ht="15" customHeight="1">
      <c r="A304" s="3">
        <v>41331</v>
      </c>
      <c r="B304" s="132">
        <v>13705</v>
      </c>
      <c r="C304" s="318">
        <v>23175</v>
      </c>
      <c r="D304" s="315">
        <v>23175</v>
      </c>
      <c r="E304" s="161">
        <f t="shared" si="39"/>
        <v>-130</v>
      </c>
      <c r="H304" s="566">
        <v>157000</v>
      </c>
    </row>
    <row r="305" spans="1:8" ht="15" customHeight="1">
      <c r="A305" s="3">
        <v>41332</v>
      </c>
      <c r="B305" s="132">
        <v>13705</v>
      </c>
      <c r="C305" s="318">
        <v>23625</v>
      </c>
      <c r="D305" s="315">
        <v>23625</v>
      </c>
      <c r="E305" s="161">
        <f t="shared" si="39"/>
        <v>450</v>
      </c>
      <c r="H305" s="566">
        <v>157000</v>
      </c>
    </row>
    <row r="306" spans="1:8" ht="15" customHeight="1" thickBot="1">
      <c r="A306" s="12">
        <v>41333</v>
      </c>
      <c r="B306" s="142">
        <v>13600</v>
      </c>
      <c r="C306" s="317">
        <v>23535</v>
      </c>
      <c r="D306" s="324">
        <v>23550</v>
      </c>
      <c r="E306" s="233">
        <f t="shared" si="39"/>
        <v>-90</v>
      </c>
      <c r="F306" s="355">
        <f>AVERAGE(C287:C306)</f>
        <v>24326.25</v>
      </c>
      <c r="G306" s="356">
        <f>AVERAGE(C265:C306)</f>
        <v>24500.714285714286</v>
      </c>
      <c r="H306" s="567">
        <v>157000</v>
      </c>
    </row>
    <row r="307" spans="1:8" ht="15" customHeight="1">
      <c r="A307" s="3">
        <v>41334</v>
      </c>
      <c r="B307" s="132">
        <v>13575</v>
      </c>
      <c r="C307" s="318">
        <v>23045</v>
      </c>
      <c r="D307" s="315">
        <v>23100</v>
      </c>
      <c r="E307" s="161">
        <f t="shared" si="39"/>
        <v>-490</v>
      </c>
      <c r="H307" s="566">
        <v>157000</v>
      </c>
    </row>
    <row r="308" spans="1:8" ht="15" customHeight="1">
      <c r="A308" s="3">
        <v>41337</v>
      </c>
      <c r="B308" s="132">
        <v>13575</v>
      </c>
      <c r="C308" s="318">
        <v>23350</v>
      </c>
      <c r="D308" s="315">
        <v>23275</v>
      </c>
      <c r="E308" s="161">
        <f t="shared" si="39"/>
        <v>305</v>
      </c>
      <c r="H308" s="566">
        <v>156500</v>
      </c>
    </row>
    <row r="309" spans="1:8" ht="15" customHeight="1">
      <c r="A309" s="3">
        <v>41338</v>
      </c>
      <c r="B309" s="132">
        <v>13485</v>
      </c>
      <c r="C309" s="318">
        <v>23525</v>
      </c>
      <c r="D309" s="315">
        <v>23530</v>
      </c>
      <c r="E309" s="161">
        <f t="shared" si="39"/>
        <v>175</v>
      </c>
      <c r="H309" s="566">
        <v>156500</v>
      </c>
    </row>
    <row r="310" spans="1:8" ht="15" customHeight="1">
      <c r="A310" s="3">
        <v>41339</v>
      </c>
      <c r="B310" s="132">
        <v>13480</v>
      </c>
      <c r="C310" s="318">
        <v>23470</v>
      </c>
      <c r="D310" s="315">
        <v>23455</v>
      </c>
      <c r="E310" s="161">
        <f t="shared" si="39"/>
        <v>-55</v>
      </c>
      <c r="H310" s="566">
        <v>157000</v>
      </c>
    </row>
    <row r="311" spans="1:8" ht="15" customHeight="1">
      <c r="A311" s="3">
        <v>41340</v>
      </c>
      <c r="B311" s="132">
        <v>13520</v>
      </c>
      <c r="C311" s="318">
        <v>23520</v>
      </c>
      <c r="D311" s="315">
        <v>23525</v>
      </c>
      <c r="E311" s="161">
        <f t="shared" si="39"/>
        <v>50</v>
      </c>
      <c r="H311" s="566">
        <v>157000</v>
      </c>
    </row>
    <row r="312" spans="1:8" ht="15" customHeight="1">
      <c r="A312" s="3">
        <v>41341</v>
      </c>
      <c r="B312" s="132">
        <v>13515</v>
      </c>
      <c r="C312" s="318">
        <v>23750</v>
      </c>
      <c r="D312" s="315">
        <v>23750</v>
      </c>
      <c r="E312" s="161">
        <f t="shared" si="39"/>
        <v>230</v>
      </c>
      <c r="H312" s="566">
        <v>157000</v>
      </c>
    </row>
    <row r="313" spans="1:8" ht="15" customHeight="1">
      <c r="A313" s="3">
        <v>41344</v>
      </c>
      <c r="B313" s="132">
        <v>13595</v>
      </c>
      <c r="C313" s="318">
        <v>23605</v>
      </c>
      <c r="D313" s="315">
        <v>23650</v>
      </c>
      <c r="E313" s="161">
        <f t="shared" si="39"/>
        <v>-145</v>
      </c>
      <c r="H313" s="566">
        <v>156000</v>
      </c>
    </row>
    <row r="314" spans="1:8" ht="15" customHeight="1">
      <c r="A314" s="3">
        <v>41345</v>
      </c>
      <c r="B314" s="132">
        <v>13600</v>
      </c>
      <c r="C314" s="318">
        <v>23825</v>
      </c>
      <c r="D314" s="315">
        <v>23825</v>
      </c>
      <c r="E314" s="161">
        <f t="shared" si="39"/>
        <v>220</v>
      </c>
      <c r="H314" s="566">
        <v>156000</v>
      </c>
    </row>
    <row r="315" spans="1:8" ht="15" customHeight="1">
      <c r="A315" s="3">
        <v>41346</v>
      </c>
      <c r="B315" s="132">
        <v>13640</v>
      </c>
      <c r="C315" s="318">
        <v>23895</v>
      </c>
      <c r="D315" s="315">
        <v>23920</v>
      </c>
      <c r="E315" s="161">
        <f t="shared" si="39"/>
        <v>70</v>
      </c>
      <c r="H315" s="566">
        <v>155250</v>
      </c>
    </row>
    <row r="316" spans="1:8" ht="15" customHeight="1">
      <c r="A316" s="3">
        <v>41347</v>
      </c>
      <c r="B316" s="132">
        <v>13760</v>
      </c>
      <c r="C316" s="318">
        <v>24000</v>
      </c>
      <c r="D316" s="315">
        <v>24000</v>
      </c>
      <c r="E316" s="161">
        <f t="shared" si="39"/>
        <v>105</v>
      </c>
      <c r="H316" s="566">
        <v>154500</v>
      </c>
    </row>
    <row r="317" spans="1:8" ht="15" customHeight="1">
      <c r="A317" s="3">
        <v>41348</v>
      </c>
      <c r="B317" s="132">
        <v>13775</v>
      </c>
      <c r="C317" s="318">
        <v>24005</v>
      </c>
      <c r="D317" s="315">
        <v>24050</v>
      </c>
      <c r="E317" s="161">
        <f t="shared" si="39"/>
        <v>5</v>
      </c>
      <c r="H317" s="566">
        <v>154500</v>
      </c>
    </row>
    <row r="318" spans="1:8" ht="15" customHeight="1">
      <c r="A318" s="3">
        <v>41351</v>
      </c>
      <c r="B318" s="132">
        <v>13770</v>
      </c>
      <c r="C318" s="318">
        <v>23205</v>
      </c>
      <c r="D318" s="315">
        <v>23250</v>
      </c>
      <c r="E318" s="161">
        <f t="shared" si="39"/>
        <v>-800</v>
      </c>
      <c r="H318" s="568">
        <v>154250</v>
      </c>
    </row>
    <row r="319" spans="1:8" ht="15" customHeight="1">
      <c r="A319" s="3">
        <v>41352</v>
      </c>
      <c r="B319" s="132">
        <v>14080</v>
      </c>
      <c r="C319" s="318">
        <v>23300</v>
      </c>
      <c r="D319" s="315">
        <v>23300</v>
      </c>
      <c r="E319" s="161">
        <f t="shared" si="39"/>
        <v>95</v>
      </c>
      <c r="H319" s="568">
        <v>153500</v>
      </c>
    </row>
    <row r="320" spans="1:8" ht="15" customHeight="1">
      <c r="A320" s="3">
        <v>41353</v>
      </c>
      <c r="B320" s="132">
        <v>14145</v>
      </c>
      <c r="C320" s="318">
        <v>23120</v>
      </c>
      <c r="D320" s="315">
        <v>23150</v>
      </c>
      <c r="E320" s="161">
        <f t="shared" si="39"/>
        <v>-180</v>
      </c>
      <c r="H320" s="568">
        <v>151750</v>
      </c>
    </row>
    <row r="321" spans="1:12" ht="15" customHeight="1">
      <c r="A321" s="3">
        <v>41354</v>
      </c>
      <c r="B321" s="132">
        <v>14050</v>
      </c>
      <c r="C321" s="318">
        <v>22695</v>
      </c>
      <c r="D321" s="315">
        <v>22750</v>
      </c>
      <c r="E321" s="161">
        <f t="shared" si="39"/>
        <v>-425</v>
      </c>
      <c r="H321" s="568">
        <v>151750</v>
      </c>
    </row>
    <row r="322" spans="1:12" ht="15" customHeight="1">
      <c r="A322" s="3">
        <v>41355</v>
      </c>
      <c r="B322" s="132">
        <v>14105</v>
      </c>
      <c r="C322" s="318">
        <v>22750</v>
      </c>
      <c r="D322" s="315">
        <v>22710</v>
      </c>
      <c r="E322" s="161">
        <f t="shared" si="39"/>
        <v>55</v>
      </c>
      <c r="H322" s="568">
        <v>151750</v>
      </c>
    </row>
    <row r="323" spans="1:12" ht="15" customHeight="1">
      <c r="A323" s="3">
        <v>41358</v>
      </c>
      <c r="B323" s="132">
        <v>14110</v>
      </c>
      <c r="C323" s="318">
        <v>22995</v>
      </c>
      <c r="D323" s="315">
        <v>23100</v>
      </c>
      <c r="E323" s="161">
        <f t="shared" si="39"/>
        <v>245</v>
      </c>
      <c r="H323" s="569">
        <v>151750</v>
      </c>
      <c r="L323" s="407"/>
    </row>
    <row r="324" spans="1:12" ht="15" customHeight="1">
      <c r="A324" s="3">
        <v>41359</v>
      </c>
      <c r="B324" s="132">
        <v>14105</v>
      </c>
      <c r="C324" s="318">
        <v>22980</v>
      </c>
      <c r="D324" s="315">
        <v>23055</v>
      </c>
      <c r="E324" s="161">
        <f t="shared" si="39"/>
        <v>-15</v>
      </c>
      <c r="F324" s="428"/>
      <c r="G324" s="428"/>
      <c r="H324" s="569">
        <v>151750</v>
      </c>
    </row>
    <row r="325" spans="1:12" ht="15" customHeight="1">
      <c r="A325" s="3">
        <v>41360</v>
      </c>
      <c r="B325" s="132">
        <v>13835</v>
      </c>
      <c r="C325" s="318">
        <v>22555</v>
      </c>
      <c r="D325" s="315">
        <v>22600</v>
      </c>
      <c r="E325" s="161">
        <f t="shared" si="39"/>
        <v>-425</v>
      </c>
      <c r="F325" s="428"/>
      <c r="H325" s="569">
        <v>151750</v>
      </c>
    </row>
    <row r="326" spans="1:12" ht="15" customHeight="1">
      <c r="A326" s="3">
        <v>41361</v>
      </c>
      <c r="B326" s="132">
        <v>14025</v>
      </c>
      <c r="C326" s="318">
        <v>23150</v>
      </c>
      <c r="D326" s="315">
        <v>23190</v>
      </c>
      <c r="E326" s="161">
        <f t="shared" si="39"/>
        <v>595</v>
      </c>
      <c r="F326" s="428"/>
      <c r="G326" s="428"/>
      <c r="H326" s="569">
        <v>151750</v>
      </c>
    </row>
    <row r="327" spans="1:12" ht="15" customHeight="1" thickBot="1">
      <c r="A327" s="12">
        <v>41362</v>
      </c>
      <c r="B327" s="1065" t="s">
        <v>142</v>
      </c>
      <c r="C327" s="1065"/>
      <c r="D327" s="1065"/>
      <c r="E327" s="1065"/>
      <c r="F327" s="355">
        <f>AVERAGE(C307:C326)</f>
        <v>23337</v>
      </c>
      <c r="G327" s="356">
        <f>AVERAGE(C265:C326)</f>
        <v>24125.322580645163</v>
      </c>
      <c r="H327" s="570">
        <v>151750</v>
      </c>
    </row>
    <row r="328" spans="1:12" ht="15" customHeight="1">
      <c r="A328" s="3">
        <v>41365</v>
      </c>
      <c r="B328" s="1069" t="s">
        <v>142</v>
      </c>
      <c r="C328" s="1069"/>
      <c r="D328" s="1069"/>
      <c r="E328" s="1069"/>
      <c r="F328" s="428"/>
      <c r="G328" s="428"/>
      <c r="H328" s="569">
        <v>151750</v>
      </c>
    </row>
    <row r="329" spans="1:12" ht="15" customHeight="1">
      <c r="A329" s="3">
        <v>41366</v>
      </c>
      <c r="B329" s="432">
        <v>14025</v>
      </c>
      <c r="C329" s="318">
        <v>22995</v>
      </c>
      <c r="D329" s="315">
        <v>23000</v>
      </c>
      <c r="E329" s="342">
        <f>C329-C326</f>
        <v>-155</v>
      </c>
      <c r="F329" s="428"/>
      <c r="G329" s="428"/>
      <c r="H329" s="569">
        <v>151000</v>
      </c>
    </row>
    <row r="330" spans="1:12" ht="15" customHeight="1">
      <c r="A330" s="3">
        <v>41367</v>
      </c>
      <c r="B330" s="432">
        <v>14500</v>
      </c>
      <c r="C330" s="434">
        <v>22775</v>
      </c>
      <c r="D330" s="435">
        <v>22800</v>
      </c>
      <c r="E330" s="436">
        <f t="shared" ref="E330:E352" si="40">C330-C329</f>
        <v>-220</v>
      </c>
      <c r="F330" s="437"/>
      <c r="G330" s="437"/>
      <c r="H330" s="728">
        <v>150500</v>
      </c>
    </row>
    <row r="331" spans="1:12" ht="15" customHeight="1">
      <c r="A331" s="3">
        <v>41368</v>
      </c>
      <c r="B331" s="432">
        <v>14485</v>
      </c>
      <c r="C331" s="434">
        <v>22740</v>
      </c>
      <c r="D331" s="435">
        <v>22725</v>
      </c>
      <c r="E331" s="436">
        <f t="shared" si="40"/>
        <v>-35</v>
      </c>
      <c r="F331" s="437"/>
      <c r="G331" s="437"/>
      <c r="H331" s="1100" t="s">
        <v>143</v>
      </c>
    </row>
    <row r="332" spans="1:12" ht="15" customHeight="1">
      <c r="A332" s="3">
        <v>41369</v>
      </c>
      <c r="B332" s="432">
        <v>14400</v>
      </c>
      <c r="C332" s="434">
        <v>22725</v>
      </c>
      <c r="D332" s="435">
        <v>22735</v>
      </c>
      <c r="E332" s="436">
        <f t="shared" si="40"/>
        <v>-15</v>
      </c>
      <c r="F332" s="437"/>
      <c r="G332" s="437"/>
      <c r="H332" s="1100"/>
    </row>
    <row r="333" spans="1:12" ht="15" customHeight="1">
      <c r="A333" s="3">
        <v>41372</v>
      </c>
      <c r="B333" s="432">
        <v>14415</v>
      </c>
      <c r="C333" s="434">
        <v>23000</v>
      </c>
      <c r="D333" s="435">
        <v>23020</v>
      </c>
      <c r="E333" s="436">
        <f t="shared" si="40"/>
        <v>275</v>
      </c>
      <c r="F333" s="437"/>
      <c r="G333" s="437"/>
      <c r="H333" s="728">
        <v>150000</v>
      </c>
    </row>
    <row r="334" spans="1:12" ht="15" customHeight="1">
      <c r="A334" s="3">
        <v>41373</v>
      </c>
      <c r="B334" s="432">
        <v>14450</v>
      </c>
      <c r="C334" s="434">
        <v>22875</v>
      </c>
      <c r="D334" s="435">
        <v>22855</v>
      </c>
      <c r="E334" s="436">
        <f t="shared" si="40"/>
        <v>-125</v>
      </c>
      <c r="F334" s="437"/>
      <c r="G334" s="437"/>
      <c r="H334" s="728">
        <v>149250</v>
      </c>
    </row>
    <row r="335" spans="1:12" ht="15" customHeight="1">
      <c r="A335" s="3">
        <v>41374</v>
      </c>
      <c r="B335" s="432">
        <v>14425</v>
      </c>
      <c r="C335" s="434">
        <v>23000</v>
      </c>
      <c r="D335" s="435">
        <v>23000</v>
      </c>
      <c r="E335" s="436">
        <f t="shared" si="40"/>
        <v>125</v>
      </c>
      <c r="F335" s="437"/>
      <c r="G335" s="437"/>
      <c r="H335" s="728">
        <v>149750</v>
      </c>
    </row>
    <row r="336" spans="1:12" ht="15" customHeight="1">
      <c r="A336" s="3">
        <v>41375</v>
      </c>
      <c r="B336" s="432">
        <v>14465</v>
      </c>
      <c r="C336" s="434">
        <v>22750</v>
      </c>
      <c r="D336" s="435">
        <v>22800</v>
      </c>
      <c r="E336" s="436">
        <f t="shared" si="40"/>
        <v>-250</v>
      </c>
      <c r="F336" s="437"/>
      <c r="H336" s="728">
        <v>149750</v>
      </c>
    </row>
    <row r="337" spans="1:8" ht="15" customHeight="1">
      <c r="A337" s="3">
        <v>41376</v>
      </c>
      <c r="B337" s="432">
        <v>14480</v>
      </c>
      <c r="C337" s="434">
        <v>22780</v>
      </c>
      <c r="D337" s="435">
        <v>22805</v>
      </c>
      <c r="E337" s="436">
        <f t="shared" si="40"/>
        <v>30</v>
      </c>
      <c r="F337" s="437"/>
      <c r="G337" s="437"/>
      <c r="H337" s="728">
        <v>149250</v>
      </c>
    </row>
    <row r="338" spans="1:8" ht="15" customHeight="1">
      <c r="A338" s="3">
        <v>41379</v>
      </c>
      <c r="B338" s="432">
        <v>14405</v>
      </c>
      <c r="C338" s="434">
        <v>21250</v>
      </c>
      <c r="D338" s="435">
        <v>21170</v>
      </c>
      <c r="E338" s="436">
        <f t="shared" si="40"/>
        <v>-1530</v>
      </c>
      <c r="F338" s="437"/>
      <c r="G338" s="437"/>
      <c r="H338" s="728">
        <v>148250</v>
      </c>
    </row>
    <row r="339" spans="1:8" ht="15" customHeight="1">
      <c r="A339" s="3">
        <v>41380</v>
      </c>
      <c r="B339" s="432">
        <v>14670</v>
      </c>
      <c r="C339" s="434">
        <v>21275</v>
      </c>
      <c r="D339" s="435">
        <v>21300</v>
      </c>
      <c r="E339" s="436">
        <f t="shared" si="40"/>
        <v>25</v>
      </c>
      <c r="F339" s="437"/>
      <c r="G339" s="437"/>
      <c r="H339" s="728">
        <v>145250</v>
      </c>
    </row>
    <row r="340" spans="1:8" ht="15" customHeight="1">
      <c r="A340" s="3">
        <v>41381</v>
      </c>
      <c r="B340" s="432">
        <v>14625</v>
      </c>
      <c r="C340" s="434">
        <v>20700</v>
      </c>
      <c r="D340" s="435">
        <v>20750</v>
      </c>
      <c r="E340" s="436">
        <f t="shared" si="40"/>
        <v>-575</v>
      </c>
      <c r="F340" s="437"/>
      <c r="G340" s="437"/>
      <c r="H340" s="728">
        <v>144250</v>
      </c>
    </row>
    <row r="341" spans="1:8" ht="15" customHeight="1">
      <c r="A341" s="3">
        <v>41382</v>
      </c>
      <c r="B341" s="432">
        <v>14625</v>
      </c>
      <c r="C341" s="434">
        <v>20305</v>
      </c>
      <c r="D341" s="435">
        <v>20350</v>
      </c>
      <c r="E341" s="436">
        <f t="shared" si="40"/>
        <v>-395</v>
      </c>
      <c r="F341" s="437"/>
      <c r="G341" s="437"/>
      <c r="H341" s="728">
        <v>143000</v>
      </c>
    </row>
    <row r="342" spans="1:8" ht="15" customHeight="1">
      <c r="A342" s="3">
        <v>41383</v>
      </c>
      <c r="B342" s="432">
        <v>14545</v>
      </c>
      <c r="C342" s="434">
        <v>21000</v>
      </c>
      <c r="D342" s="435">
        <v>21000</v>
      </c>
      <c r="E342" s="436">
        <f t="shared" si="40"/>
        <v>695</v>
      </c>
      <c r="F342" s="437"/>
      <c r="G342" s="437"/>
      <c r="H342" s="728">
        <v>142000</v>
      </c>
    </row>
    <row r="343" spans="1:8" ht="15" customHeight="1">
      <c r="A343" s="3">
        <v>41386</v>
      </c>
      <c r="B343" s="432">
        <v>14485</v>
      </c>
      <c r="C343" s="434">
        <v>20720</v>
      </c>
      <c r="D343" s="435">
        <v>20710</v>
      </c>
      <c r="E343" s="436">
        <f t="shared" si="40"/>
        <v>-280</v>
      </c>
      <c r="F343" s="437"/>
      <c r="G343" s="437"/>
      <c r="H343" s="728">
        <v>142000</v>
      </c>
    </row>
    <row r="344" spans="1:8" ht="15" customHeight="1">
      <c r="A344" s="3">
        <v>41387</v>
      </c>
      <c r="B344" s="432">
        <v>14395</v>
      </c>
      <c r="C344" s="434">
        <v>20650</v>
      </c>
      <c r="D344" s="435">
        <v>20600</v>
      </c>
      <c r="E344" s="436">
        <f t="shared" si="40"/>
        <v>-70</v>
      </c>
      <c r="F344" s="437"/>
      <c r="H344" s="728">
        <v>142250</v>
      </c>
    </row>
    <row r="345" spans="1:8" ht="15" customHeight="1">
      <c r="A345" s="3">
        <v>41388</v>
      </c>
      <c r="B345" s="432">
        <v>14245</v>
      </c>
      <c r="C345" s="434">
        <v>20855</v>
      </c>
      <c r="D345" s="435">
        <v>20825</v>
      </c>
      <c r="E345" s="436">
        <f t="shared" si="40"/>
        <v>205</v>
      </c>
      <c r="F345" s="437"/>
      <c r="H345" s="728">
        <v>142250</v>
      </c>
    </row>
    <row r="346" spans="1:8" ht="15" customHeight="1">
      <c r="A346" s="3">
        <v>41389</v>
      </c>
      <c r="B346" s="432">
        <v>14120</v>
      </c>
      <c r="C346" s="434">
        <v>20830</v>
      </c>
      <c r="D346" s="435">
        <v>20810</v>
      </c>
      <c r="E346" s="436">
        <f t="shared" si="40"/>
        <v>-25</v>
      </c>
      <c r="F346" s="437"/>
      <c r="G346" s="437"/>
      <c r="H346" s="728">
        <v>143750</v>
      </c>
    </row>
    <row r="347" spans="1:8" ht="15" customHeight="1">
      <c r="A347" s="3">
        <v>41390</v>
      </c>
      <c r="B347" s="432">
        <v>14085</v>
      </c>
      <c r="C347" s="434">
        <v>20775</v>
      </c>
      <c r="D347" s="435">
        <v>20850</v>
      </c>
      <c r="E347" s="436">
        <f t="shared" si="40"/>
        <v>-55</v>
      </c>
      <c r="F347" s="437"/>
      <c r="G347" s="437"/>
      <c r="H347" s="728">
        <v>144250</v>
      </c>
    </row>
    <row r="348" spans="1:8" ht="15" customHeight="1">
      <c r="A348" s="3">
        <v>41393</v>
      </c>
      <c r="B348" s="432">
        <v>13935</v>
      </c>
      <c r="C348" s="434">
        <v>20775</v>
      </c>
      <c r="D348" s="435">
        <v>20800</v>
      </c>
      <c r="E348" s="436">
        <f t="shared" si="40"/>
        <v>0</v>
      </c>
      <c r="F348" s="437"/>
      <c r="G348" s="437"/>
      <c r="H348" s="1105" t="s">
        <v>144</v>
      </c>
    </row>
    <row r="349" spans="1:8" ht="15" customHeight="1" thickBot="1">
      <c r="A349" s="12">
        <v>41394</v>
      </c>
      <c r="B349" s="433">
        <v>14055</v>
      </c>
      <c r="C349" s="438">
        <v>20800</v>
      </c>
      <c r="D349" s="439">
        <v>20825</v>
      </c>
      <c r="E349" s="440">
        <f t="shared" si="40"/>
        <v>25</v>
      </c>
      <c r="F349" s="441">
        <f>AVERAGE(C328:C349)</f>
        <v>21694.047619047618</v>
      </c>
      <c r="G349" s="442">
        <f>AVERAGE(C265:C349)</f>
        <v>23510.180722891568</v>
      </c>
      <c r="H349" s="1106"/>
    </row>
    <row r="350" spans="1:8" ht="15" customHeight="1">
      <c r="A350" s="3">
        <v>41395</v>
      </c>
      <c r="B350" s="432">
        <v>14030</v>
      </c>
      <c r="C350" s="434">
        <v>19775</v>
      </c>
      <c r="D350" s="435">
        <v>19775</v>
      </c>
      <c r="E350" s="436">
        <f t="shared" si="40"/>
        <v>-1025</v>
      </c>
      <c r="F350" s="437"/>
      <c r="G350" s="437"/>
      <c r="H350" s="571" t="s">
        <v>71</v>
      </c>
    </row>
    <row r="351" spans="1:8" ht="15" customHeight="1">
      <c r="A351" s="3">
        <v>41396</v>
      </c>
      <c r="B351" s="432">
        <v>14030</v>
      </c>
      <c r="C351" s="434">
        <v>19950</v>
      </c>
      <c r="D351" s="435">
        <v>20000</v>
      </c>
      <c r="E351" s="436">
        <f t="shared" si="40"/>
        <v>175</v>
      </c>
      <c r="F351" s="443"/>
      <c r="G351" s="443"/>
      <c r="H351" s="728">
        <v>144000</v>
      </c>
    </row>
    <row r="352" spans="1:8" ht="15" customHeight="1">
      <c r="A352" s="3">
        <v>41397</v>
      </c>
      <c r="B352" s="432">
        <v>13830</v>
      </c>
      <c r="C352" s="434">
        <v>19975</v>
      </c>
      <c r="D352" s="435">
        <v>19975</v>
      </c>
      <c r="E352" s="436">
        <f t="shared" si="40"/>
        <v>25</v>
      </c>
      <c r="F352" s="444"/>
      <c r="G352" s="444"/>
      <c r="H352" s="728">
        <v>143000</v>
      </c>
    </row>
    <row r="353" spans="1:8" ht="15" customHeight="1">
      <c r="A353" s="3">
        <v>41400</v>
      </c>
      <c r="B353" s="1069" t="s">
        <v>145</v>
      </c>
      <c r="C353" s="1069"/>
      <c r="D353" s="1069"/>
      <c r="E353" s="1069"/>
      <c r="F353" s="444"/>
      <c r="G353" s="444"/>
      <c r="H353" s="569">
        <v>144000</v>
      </c>
    </row>
    <row r="354" spans="1:8" ht="15" customHeight="1">
      <c r="A354" s="3">
        <v>41401</v>
      </c>
      <c r="B354" s="132">
        <v>13915</v>
      </c>
      <c r="C354" s="318">
        <v>20345</v>
      </c>
      <c r="D354" s="315">
        <v>20400</v>
      </c>
      <c r="E354" s="445">
        <f>C354-C352</f>
        <v>370</v>
      </c>
      <c r="H354" s="569">
        <v>145000</v>
      </c>
    </row>
    <row r="355" spans="1:8" ht="15" customHeight="1">
      <c r="A355" s="3">
        <v>41402</v>
      </c>
      <c r="B355" s="132">
        <v>13915</v>
      </c>
      <c r="C355" s="318">
        <v>20385</v>
      </c>
      <c r="D355" s="315">
        <v>20450</v>
      </c>
      <c r="E355" s="445">
        <f t="shared" ref="E355:E367" si="41">C355-C354</f>
        <v>40</v>
      </c>
      <c r="F355" s="428"/>
      <c r="G355" s="428"/>
      <c r="H355" s="569">
        <v>144500</v>
      </c>
    </row>
    <row r="356" spans="1:8" ht="15" customHeight="1">
      <c r="A356" s="3">
        <v>41403</v>
      </c>
      <c r="B356" s="132">
        <v>14010</v>
      </c>
      <c r="C356" s="318">
        <v>20650</v>
      </c>
      <c r="D356" s="315">
        <v>20625</v>
      </c>
      <c r="E356" s="445">
        <f t="shared" si="41"/>
        <v>265</v>
      </c>
      <c r="H356" s="569">
        <v>146000</v>
      </c>
    </row>
    <row r="357" spans="1:8" ht="15" customHeight="1">
      <c r="A357" s="3">
        <v>41404</v>
      </c>
      <c r="B357" s="132">
        <v>14085</v>
      </c>
      <c r="C357" s="318">
        <v>20775</v>
      </c>
      <c r="D357" s="315">
        <v>20825</v>
      </c>
      <c r="E357" s="445">
        <f t="shared" si="41"/>
        <v>125</v>
      </c>
      <c r="H357" s="569">
        <v>145500</v>
      </c>
    </row>
    <row r="358" spans="1:8" ht="15" customHeight="1">
      <c r="A358" s="3">
        <v>41407</v>
      </c>
      <c r="B358" s="132">
        <v>14145</v>
      </c>
      <c r="C358" s="318">
        <v>20830</v>
      </c>
      <c r="D358" s="315">
        <v>21025</v>
      </c>
      <c r="E358" s="445">
        <f t="shared" si="41"/>
        <v>55</v>
      </c>
      <c r="H358" s="569">
        <v>146000</v>
      </c>
    </row>
    <row r="359" spans="1:8" ht="15" customHeight="1">
      <c r="A359" s="3">
        <v>41408</v>
      </c>
      <c r="B359" s="132">
        <v>14170</v>
      </c>
      <c r="C359" s="318">
        <v>20650</v>
      </c>
      <c r="D359" s="315">
        <v>20680</v>
      </c>
      <c r="E359" s="445">
        <f t="shared" si="41"/>
        <v>-180</v>
      </c>
      <c r="H359" s="569">
        <v>146500</v>
      </c>
    </row>
    <row r="360" spans="1:8" ht="15" customHeight="1">
      <c r="A360" s="3">
        <v>41409</v>
      </c>
      <c r="B360" s="132">
        <v>14195</v>
      </c>
      <c r="C360" s="318">
        <v>20600</v>
      </c>
      <c r="D360" s="315">
        <v>20650</v>
      </c>
      <c r="E360" s="445">
        <f t="shared" si="41"/>
        <v>-50</v>
      </c>
      <c r="H360" s="569">
        <v>146500</v>
      </c>
    </row>
    <row r="361" spans="1:8" ht="15" customHeight="1">
      <c r="A361" s="3">
        <v>41410</v>
      </c>
      <c r="B361" s="132">
        <v>14195</v>
      </c>
      <c r="C361" s="318">
        <v>20625</v>
      </c>
      <c r="D361" s="315">
        <v>20700</v>
      </c>
      <c r="E361" s="445">
        <f t="shared" si="41"/>
        <v>25</v>
      </c>
      <c r="F361" s="428"/>
      <c r="G361" s="428"/>
      <c r="H361" s="569">
        <v>146500</v>
      </c>
    </row>
    <row r="362" spans="1:8" ht="15" customHeight="1">
      <c r="A362" s="3">
        <v>41411</v>
      </c>
      <c r="B362" s="132">
        <v>14075</v>
      </c>
      <c r="C362" s="318">
        <v>20900</v>
      </c>
      <c r="D362" s="315">
        <v>20855</v>
      </c>
      <c r="E362" s="445">
        <f t="shared" si="41"/>
        <v>275</v>
      </c>
      <c r="H362" s="569">
        <v>146500</v>
      </c>
    </row>
    <row r="363" spans="1:8" ht="15" customHeight="1">
      <c r="A363" s="3">
        <v>41414</v>
      </c>
      <c r="B363" s="132">
        <v>14050</v>
      </c>
      <c r="C363" s="318">
        <v>21000</v>
      </c>
      <c r="D363" s="315">
        <v>21025</v>
      </c>
      <c r="E363" s="445">
        <f t="shared" si="41"/>
        <v>100</v>
      </c>
      <c r="H363" s="569">
        <v>146500</v>
      </c>
    </row>
    <row r="364" spans="1:8" ht="15" customHeight="1">
      <c r="A364" s="3">
        <v>41415</v>
      </c>
      <c r="B364" s="132">
        <v>13950</v>
      </c>
      <c r="C364" s="318">
        <v>21275</v>
      </c>
      <c r="D364" s="404">
        <v>21275</v>
      </c>
      <c r="E364" s="445">
        <f t="shared" si="41"/>
        <v>275</v>
      </c>
      <c r="H364" s="572">
        <v>146000</v>
      </c>
    </row>
    <row r="365" spans="1:8" ht="15" customHeight="1">
      <c r="A365" s="3">
        <v>41416</v>
      </c>
      <c r="B365" s="132">
        <v>13945</v>
      </c>
      <c r="C365" s="318">
        <v>21500</v>
      </c>
      <c r="D365" s="404">
        <v>21450</v>
      </c>
      <c r="E365" s="445">
        <f t="shared" si="41"/>
        <v>225</v>
      </c>
      <c r="H365" s="572">
        <v>146000</v>
      </c>
    </row>
    <row r="366" spans="1:8" ht="15" customHeight="1">
      <c r="A366" s="3">
        <v>41417</v>
      </c>
      <c r="B366" s="132">
        <v>13895</v>
      </c>
      <c r="C366" s="318">
        <v>21000</v>
      </c>
      <c r="D366" s="404">
        <v>21050</v>
      </c>
      <c r="E366" s="445">
        <f t="shared" si="41"/>
        <v>-500</v>
      </c>
      <c r="H366" s="572">
        <v>146000</v>
      </c>
    </row>
    <row r="367" spans="1:8" ht="15" customHeight="1">
      <c r="A367" s="3">
        <v>41418</v>
      </c>
      <c r="B367" s="132">
        <v>13895</v>
      </c>
      <c r="C367" s="318">
        <v>21125</v>
      </c>
      <c r="D367" s="404">
        <v>21150</v>
      </c>
      <c r="E367" s="445">
        <f t="shared" si="41"/>
        <v>125</v>
      </c>
      <c r="H367" s="572">
        <v>145500</v>
      </c>
    </row>
    <row r="368" spans="1:8" ht="15" customHeight="1">
      <c r="A368" s="3">
        <v>41421</v>
      </c>
      <c r="B368" s="1069" t="s">
        <v>70</v>
      </c>
      <c r="C368" s="1069"/>
      <c r="D368" s="1069"/>
      <c r="E368" s="1069"/>
      <c r="H368" s="572">
        <v>145500</v>
      </c>
    </row>
    <row r="369" spans="1:8" ht="15" customHeight="1">
      <c r="A369" s="3">
        <v>41422</v>
      </c>
      <c r="B369" s="132">
        <v>13895</v>
      </c>
      <c r="C369" s="318">
        <v>21150</v>
      </c>
      <c r="D369" s="404">
        <v>21155</v>
      </c>
      <c r="E369" s="445">
        <f>C369-C367</f>
        <v>25</v>
      </c>
      <c r="H369" s="572">
        <v>145500</v>
      </c>
    </row>
    <row r="370" spans="1:8" ht="15" customHeight="1">
      <c r="A370" s="3">
        <v>41423</v>
      </c>
      <c r="B370" s="132">
        <v>13875</v>
      </c>
      <c r="C370" s="318">
        <v>21005</v>
      </c>
      <c r="D370" s="404">
        <v>21030</v>
      </c>
      <c r="E370" s="445">
        <f t="shared" ref="E370:E401" si="42">C370-C369</f>
        <v>-145</v>
      </c>
      <c r="H370" s="572">
        <v>145000</v>
      </c>
    </row>
    <row r="371" spans="1:8" ht="15" customHeight="1">
      <c r="A371" s="3">
        <v>41424</v>
      </c>
      <c r="B371" s="132">
        <v>13875</v>
      </c>
      <c r="C371" s="318">
        <v>20885</v>
      </c>
      <c r="D371" s="404">
        <v>20975</v>
      </c>
      <c r="E371" s="445">
        <f t="shared" si="42"/>
        <v>-120</v>
      </c>
      <c r="H371" s="572">
        <v>144500</v>
      </c>
    </row>
    <row r="372" spans="1:8" ht="15" customHeight="1" thickBot="1">
      <c r="A372" s="12">
        <v>41425</v>
      </c>
      <c r="B372" s="142">
        <v>13935</v>
      </c>
      <c r="C372" s="317">
        <v>20825</v>
      </c>
      <c r="D372" s="449">
        <v>20900</v>
      </c>
      <c r="E372" s="450">
        <f t="shared" si="42"/>
        <v>-60</v>
      </c>
      <c r="F372" s="441">
        <f>AVERAGE(C350:C372)</f>
        <v>20725</v>
      </c>
      <c r="G372" s="442">
        <f>AVERAGE(C265:C372)</f>
        <v>22947.788461538461</v>
      </c>
      <c r="H372" s="573">
        <v>144000</v>
      </c>
    </row>
    <row r="373" spans="1:8" ht="15" customHeight="1">
      <c r="A373" s="3">
        <v>41428</v>
      </c>
      <c r="B373" s="132">
        <v>13910</v>
      </c>
      <c r="C373" s="318">
        <v>21000</v>
      </c>
      <c r="D373" s="404">
        <v>21050</v>
      </c>
      <c r="E373" s="445">
        <f t="shared" si="42"/>
        <v>175</v>
      </c>
      <c r="H373" s="574">
        <v>144000</v>
      </c>
    </row>
    <row r="374" spans="1:8" ht="15" customHeight="1">
      <c r="A374" s="3">
        <v>41429</v>
      </c>
      <c r="B374" s="132">
        <v>14085</v>
      </c>
      <c r="C374" s="318">
        <v>21025</v>
      </c>
      <c r="D374" s="404">
        <v>21050</v>
      </c>
      <c r="E374" s="445">
        <f t="shared" si="42"/>
        <v>25</v>
      </c>
      <c r="H374" s="572">
        <v>144000</v>
      </c>
    </row>
    <row r="375" spans="1:8" ht="15" customHeight="1">
      <c r="A375" s="3">
        <v>41430</v>
      </c>
      <c r="B375" s="132">
        <v>14085</v>
      </c>
      <c r="C375" s="318">
        <v>21100</v>
      </c>
      <c r="D375" s="404">
        <v>21100</v>
      </c>
      <c r="E375" s="445">
        <f t="shared" si="42"/>
        <v>75</v>
      </c>
      <c r="H375" s="572">
        <v>143500</v>
      </c>
    </row>
    <row r="376" spans="1:8" ht="15" customHeight="1">
      <c r="A376" s="3">
        <v>41431</v>
      </c>
      <c r="B376" s="132">
        <v>14235</v>
      </c>
      <c r="C376" s="318">
        <v>20900</v>
      </c>
      <c r="D376" s="404">
        <v>20925</v>
      </c>
      <c r="E376" s="445">
        <f t="shared" si="42"/>
        <v>-200</v>
      </c>
      <c r="F376" s="444"/>
      <c r="G376" s="444"/>
      <c r="H376" s="572">
        <v>143000</v>
      </c>
    </row>
    <row r="377" spans="1:8" ht="15" customHeight="1">
      <c r="A377" s="3">
        <v>41432</v>
      </c>
      <c r="B377" s="132">
        <v>14435</v>
      </c>
      <c r="C377" s="318">
        <v>20980</v>
      </c>
      <c r="D377" s="404">
        <v>21095</v>
      </c>
      <c r="E377" s="445">
        <f t="shared" si="42"/>
        <v>80</v>
      </c>
      <c r="H377" s="572">
        <v>142500</v>
      </c>
    </row>
    <row r="378" spans="1:8" ht="15" customHeight="1">
      <c r="A378" s="3">
        <v>41435</v>
      </c>
      <c r="B378" s="132">
        <v>14435</v>
      </c>
      <c r="C378" s="318">
        <v>20845</v>
      </c>
      <c r="D378" s="404">
        <v>20850</v>
      </c>
      <c r="E378" s="445">
        <f t="shared" si="42"/>
        <v>-135</v>
      </c>
      <c r="H378" s="1093" t="s">
        <v>71</v>
      </c>
    </row>
    <row r="379" spans="1:8" ht="15" customHeight="1">
      <c r="A379" s="3">
        <v>41436</v>
      </c>
      <c r="B379" s="132">
        <v>14505</v>
      </c>
      <c r="C379" s="318">
        <v>20600</v>
      </c>
      <c r="D379" s="404">
        <v>20600</v>
      </c>
      <c r="E379" s="445">
        <f t="shared" si="42"/>
        <v>-245</v>
      </c>
      <c r="H379" s="1093"/>
    </row>
    <row r="380" spans="1:8" ht="15" customHeight="1">
      <c r="A380" s="3">
        <v>41437</v>
      </c>
      <c r="B380" s="132">
        <v>14495</v>
      </c>
      <c r="C380" s="318">
        <v>20445</v>
      </c>
      <c r="D380" s="404">
        <v>20470</v>
      </c>
      <c r="E380" s="445">
        <f t="shared" si="42"/>
        <v>-155</v>
      </c>
      <c r="H380" s="1093"/>
    </row>
    <row r="381" spans="1:8" ht="15" customHeight="1">
      <c r="A381" s="3">
        <v>41438</v>
      </c>
      <c r="B381" s="132">
        <v>14495</v>
      </c>
      <c r="C381" s="318">
        <v>20255</v>
      </c>
      <c r="D381" s="404">
        <v>20310</v>
      </c>
      <c r="E381" s="445">
        <f t="shared" si="42"/>
        <v>-190</v>
      </c>
      <c r="H381" s="572">
        <v>142000</v>
      </c>
    </row>
    <row r="382" spans="1:8" ht="15" customHeight="1">
      <c r="A382" s="3">
        <v>41439</v>
      </c>
      <c r="B382" s="132">
        <v>14390</v>
      </c>
      <c r="C382" s="318">
        <v>20250</v>
      </c>
      <c r="D382" s="404">
        <v>20300</v>
      </c>
      <c r="E382" s="445">
        <f t="shared" si="42"/>
        <v>-5</v>
      </c>
      <c r="H382" s="572">
        <v>141500</v>
      </c>
    </row>
    <row r="383" spans="1:8" ht="15" customHeight="1">
      <c r="A383" s="3">
        <v>41442</v>
      </c>
      <c r="B383" s="132">
        <v>14205</v>
      </c>
      <c r="C383" s="318">
        <v>20300</v>
      </c>
      <c r="D383" s="404">
        <v>20355</v>
      </c>
      <c r="E383" s="445">
        <f t="shared" si="42"/>
        <v>50</v>
      </c>
      <c r="H383" s="572">
        <v>141500</v>
      </c>
    </row>
    <row r="384" spans="1:8" ht="15" customHeight="1">
      <c r="A384" s="3">
        <v>41443</v>
      </c>
      <c r="B384" s="132">
        <v>14385</v>
      </c>
      <c r="C384" s="318">
        <v>20140</v>
      </c>
      <c r="D384" s="404">
        <v>20200</v>
      </c>
      <c r="E384" s="445">
        <f t="shared" si="42"/>
        <v>-160</v>
      </c>
      <c r="H384" s="572">
        <v>141500</v>
      </c>
    </row>
    <row r="385" spans="1:8" ht="15" customHeight="1">
      <c r="A385" s="3">
        <v>41444</v>
      </c>
      <c r="B385" s="132">
        <v>14300</v>
      </c>
      <c r="C385" s="318">
        <v>20050</v>
      </c>
      <c r="D385" s="404">
        <v>20100</v>
      </c>
      <c r="E385" s="445">
        <f t="shared" si="42"/>
        <v>-90</v>
      </c>
      <c r="F385" s="444"/>
      <c r="H385" s="572">
        <v>140750</v>
      </c>
    </row>
    <row r="386" spans="1:8" ht="15" customHeight="1">
      <c r="A386" s="3">
        <v>41445</v>
      </c>
      <c r="B386" s="132">
        <v>14335</v>
      </c>
      <c r="C386" s="318">
        <v>19445</v>
      </c>
      <c r="D386" s="404">
        <v>19525</v>
      </c>
      <c r="E386" s="445">
        <f t="shared" si="42"/>
        <v>-605</v>
      </c>
      <c r="H386" s="572">
        <v>140250</v>
      </c>
    </row>
    <row r="387" spans="1:8" ht="15" customHeight="1">
      <c r="A387" s="3">
        <v>41446</v>
      </c>
      <c r="B387" s="132">
        <v>14250</v>
      </c>
      <c r="C387" s="318">
        <v>19515</v>
      </c>
      <c r="D387" s="404">
        <v>19595</v>
      </c>
      <c r="E387" s="445">
        <f t="shared" si="42"/>
        <v>70</v>
      </c>
      <c r="H387" s="572">
        <v>139250</v>
      </c>
    </row>
    <row r="388" spans="1:8" ht="15" customHeight="1">
      <c r="A388" s="3">
        <v>41449</v>
      </c>
      <c r="B388" s="132">
        <v>14190</v>
      </c>
      <c r="C388" s="318">
        <v>19545</v>
      </c>
      <c r="D388" s="404">
        <v>19630</v>
      </c>
      <c r="E388" s="445">
        <f t="shared" si="42"/>
        <v>30</v>
      </c>
      <c r="H388" s="572">
        <v>139250</v>
      </c>
    </row>
    <row r="389" spans="1:8" ht="15" customHeight="1">
      <c r="A389" s="3">
        <v>41450</v>
      </c>
      <c r="B389" s="132">
        <v>14140</v>
      </c>
      <c r="C389" s="318">
        <v>19725</v>
      </c>
      <c r="D389" s="404">
        <v>19800</v>
      </c>
      <c r="E389" s="445">
        <f t="shared" si="42"/>
        <v>180</v>
      </c>
      <c r="H389" s="572">
        <v>139000</v>
      </c>
    </row>
    <row r="390" spans="1:8" ht="15" customHeight="1">
      <c r="A390" s="3">
        <v>41451</v>
      </c>
      <c r="B390" s="132">
        <v>14140</v>
      </c>
      <c r="C390" s="318">
        <v>19700</v>
      </c>
      <c r="D390" s="404">
        <v>19750</v>
      </c>
      <c r="E390" s="445">
        <f t="shared" si="42"/>
        <v>-25</v>
      </c>
      <c r="H390" s="572">
        <v>139000</v>
      </c>
    </row>
    <row r="391" spans="1:8" ht="15" customHeight="1">
      <c r="A391" s="3">
        <v>41452</v>
      </c>
      <c r="B391" s="132">
        <v>14170</v>
      </c>
      <c r="C391" s="318">
        <v>19700</v>
      </c>
      <c r="D391" s="404">
        <v>19655</v>
      </c>
      <c r="E391" s="445">
        <f t="shared" si="42"/>
        <v>0</v>
      </c>
      <c r="H391" s="572">
        <v>138500</v>
      </c>
    </row>
    <row r="392" spans="1:8" ht="15" customHeight="1" thickBot="1">
      <c r="A392" s="12">
        <v>41453</v>
      </c>
      <c r="B392" s="142">
        <v>14320</v>
      </c>
      <c r="C392" s="317">
        <v>19800</v>
      </c>
      <c r="D392" s="449">
        <v>19875</v>
      </c>
      <c r="E392" s="450">
        <f t="shared" si="42"/>
        <v>100</v>
      </c>
      <c r="F392" s="441">
        <f>AVERAGE(C373:C392)</f>
        <v>20266</v>
      </c>
      <c r="G392" s="442">
        <f>AVERAGE(C265:C392)</f>
        <v>22515.241935483871</v>
      </c>
      <c r="H392" s="573">
        <v>138500</v>
      </c>
    </row>
    <row r="393" spans="1:8" ht="15" customHeight="1">
      <c r="A393" s="3">
        <v>41456</v>
      </c>
      <c r="B393" s="132">
        <v>14290</v>
      </c>
      <c r="C393" s="318">
        <v>19755</v>
      </c>
      <c r="D393" s="404">
        <v>19850</v>
      </c>
      <c r="E393" s="445">
        <f t="shared" si="42"/>
        <v>-45</v>
      </c>
      <c r="H393" s="572">
        <v>138500</v>
      </c>
    </row>
    <row r="394" spans="1:8" ht="15" customHeight="1">
      <c r="A394" s="3">
        <v>41457</v>
      </c>
      <c r="B394" s="132">
        <v>14240</v>
      </c>
      <c r="C394" s="318">
        <v>20225</v>
      </c>
      <c r="D394" s="404">
        <v>20270</v>
      </c>
      <c r="E394" s="445">
        <f t="shared" si="42"/>
        <v>470</v>
      </c>
      <c r="H394" s="572">
        <v>138750</v>
      </c>
    </row>
    <row r="395" spans="1:8" ht="15" customHeight="1">
      <c r="A395" s="3">
        <v>41458</v>
      </c>
      <c r="B395" s="132">
        <v>14235</v>
      </c>
      <c r="C395" s="318">
        <v>20095</v>
      </c>
      <c r="D395" s="404">
        <v>20100</v>
      </c>
      <c r="E395" s="445">
        <f t="shared" si="42"/>
        <v>-130</v>
      </c>
      <c r="H395" s="572">
        <v>139000</v>
      </c>
    </row>
    <row r="396" spans="1:8" ht="15" customHeight="1">
      <c r="A396" s="3">
        <v>41459</v>
      </c>
      <c r="B396" s="132">
        <v>14480</v>
      </c>
      <c r="C396" s="318">
        <v>20005</v>
      </c>
      <c r="D396" s="404">
        <v>20075</v>
      </c>
      <c r="E396" s="445">
        <f t="shared" si="42"/>
        <v>-90</v>
      </c>
      <c r="H396" s="572">
        <v>139000</v>
      </c>
    </row>
    <row r="397" spans="1:8" ht="15" customHeight="1">
      <c r="A397" s="3">
        <v>41460</v>
      </c>
      <c r="B397" s="132">
        <v>14555</v>
      </c>
      <c r="C397" s="318">
        <v>19700</v>
      </c>
      <c r="D397" s="404">
        <v>19730</v>
      </c>
      <c r="E397" s="445">
        <f t="shared" si="42"/>
        <v>-305</v>
      </c>
      <c r="H397" s="572">
        <v>139250</v>
      </c>
    </row>
    <row r="398" spans="1:8" ht="15" customHeight="1">
      <c r="A398" s="3">
        <v>41463</v>
      </c>
      <c r="B398" s="132">
        <v>14430</v>
      </c>
      <c r="C398" s="318">
        <v>19300</v>
      </c>
      <c r="D398" s="404">
        <v>19345</v>
      </c>
      <c r="E398" s="445">
        <f t="shared" si="42"/>
        <v>-400</v>
      </c>
      <c r="H398" s="572">
        <v>138500</v>
      </c>
    </row>
    <row r="399" spans="1:8" ht="15" customHeight="1">
      <c r="A399" s="3">
        <v>41464</v>
      </c>
      <c r="B399" s="132">
        <v>14410</v>
      </c>
      <c r="C399" s="318">
        <v>19370</v>
      </c>
      <c r="D399" s="404">
        <v>19425</v>
      </c>
      <c r="E399" s="445">
        <f t="shared" si="42"/>
        <v>70</v>
      </c>
      <c r="H399" s="572">
        <v>138000</v>
      </c>
    </row>
    <row r="400" spans="1:8" ht="15" customHeight="1">
      <c r="A400" s="3">
        <v>41465</v>
      </c>
      <c r="B400" s="132">
        <v>14410</v>
      </c>
      <c r="C400" s="318">
        <v>19680</v>
      </c>
      <c r="D400" s="404">
        <v>19700</v>
      </c>
      <c r="E400" s="445">
        <f t="shared" si="42"/>
        <v>310</v>
      </c>
      <c r="H400" s="572">
        <v>138000</v>
      </c>
    </row>
    <row r="401" spans="1:8" ht="15" customHeight="1">
      <c r="A401" s="3">
        <v>41466</v>
      </c>
      <c r="B401" s="132">
        <v>14410</v>
      </c>
      <c r="C401" s="318">
        <v>19700</v>
      </c>
      <c r="D401" s="404">
        <v>19800</v>
      </c>
      <c r="E401" s="445">
        <f t="shared" si="42"/>
        <v>20</v>
      </c>
      <c r="F401" s="444"/>
      <c r="H401" s="572">
        <v>138000</v>
      </c>
    </row>
    <row r="402" spans="1:8" ht="15" customHeight="1">
      <c r="A402" s="3">
        <v>41467</v>
      </c>
      <c r="B402" s="132">
        <v>14410</v>
      </c>
      <c r="C402" s="318">
        <v>19450</v>
      </c>
      <c r="D402" s="404">
        <v>19500</v>
      </c>
      <c r="E402" s="445">
        <f t="shared" ref="E402:E429" si="43">C402-C401</f>
        <v>-250</v>
      </c>
      <c r="F402" s="444"/>
      <c r="H402" s="572">
        <v>138250</v>
      </c>
    </row>
    <row r="403" spans="1:8" ht="15" customHeight="1">
      <c r="A403" s="3">
        <v>41470</v>
      </c>
      <c r="B403" s="132">
        <v>14435</v>
      </c>
      <c r="C403" s="318">
        <v>19305</v>
      </c>
      <c r="D403" s="404">
        <v>19375</v>
      </c>
      <c r="E403" s="445">
        <f t="shared" si="43"/>
        <v>-145</v>
      </c>
      <c r="H403" s="572">
        <v>138000</v>
      </c>
    </row>
    <row r="404" spans="1:8" ht="15" customHeight="1">
      <c r="A404" s="3">
        <v>41471</v>
      </c>
      <c r="B404" s="132">
        <v>14355</v>
      </c>
      <c r="C404" s="318">
        <v>19395</v>
      </c>
      <c r="D404" s="404">
        <v>19450</v>
      </c>
      <c r="E404" s="445">
        <f t="shared" si="43"/>
        <v>90</v>
      </c>
      <c r="H404" s="572">
        <v>138000</v>
      </c>
    </row>
    <row r="405" spans="1:8" ht="15" customHeight="1">
      <c r="A405" s="3">
        <v>41472</v>
      </c>
      <c r="B405" s="132">
        <v>14305</v>
      </c>
      <c r="C405" s="318">
        <v>19460</v>
      </c>
      <c r="D405" s="404">
        <v>19525</v>
      </c>
      <c r="E405" s="445">
        <f t="shared" si="43"/>
        <v>65</v>
      </c>
      <c r="H405" s="572">
        <v>137750</v>
      </c>
    </row>
    <row r="406" spans="1:8" ht="15" customHeight="1">
      <c r="A406" s="3">
        <v>41473</v>
      </c>
      <c r="B406" s="132">
        <v>14245</v>
      </c>
      <c r="C406" s="318">
        <v>19355</v>
      </c>
      <c r="D406" s="404">
        <v>19385</v>
      </c>
      <c r="E406" s="445">
        <f t="shared" si="43"/>
        <v>-105</v>
      </c>
      <c r="H406" s="572">
        <v>137750</v>
      </c>
    </row>
    <row r="407" spans="1:8" ht="15" customHeight="1">
      <c r="A407" s="3">
        <v>41474</v>
      </c>
      <c r="B407" s="132">
        <v>14245</v>
      </c>
      <c r="C407" s="318">
        <v>19600</v>
      </c>
      <c r="D407" s="404">
        <v>19600</v>
      </c>
      <c r="E407" s="445">
        <f t="shared" si="43"/>
        <v>245</v>
      </c>
      <c r="H407" s="572">
        <v>137750</v>
      </c>
    </row>
    <row r="408" spans="1:8" ht="15" customHeight="1">
      <c r="A408" s="3">
        <v>41477</v>
      </c>
      <c r="B408" s="132">
        <v>14265</v>
      </c>
      <c r="C408" s="318">
        <v>19500</v>
      </c>
      <c r="D408" s="404">
        <v>19550</v>
      </c>
      <c r="E408" s="445">
        <f t="shared" si="43"/>
        <v>-100</v>
      </c>
      <c r="H408" s="572">
        <v>137500</v>
      </c>
    </row>
    <row r="409" spans="1:8" ht="15" customHeight="1">
      <c r="A409" s="3">
        <v>41478</v>
      </c>
      <c r="B409" s="132">
        <v>14300</v>
      </c>
      <c r="C409" s="318">
        <v>19400</v>
      </c>
      <c r="D409" s="404">
        <v>19450</v>
      </c>
      <c r="E409" s="445">
        <f t="shared" si="43"/>
        <v>-100</v>
      </c>
      <c r="H409" s="572">
        <v>136750</v>
      </c>
    </row>
    <row r="410" spans="1:8" ht="15" customHeight="1">
      <c r="A410" s="3">
        <v>41479</v>
      </c>
      <c r="B410" s="132">
        <v>14315</v>
      </c>
      <c r="C410" s="318">
        <v>19605</v>
      </c>
      <c r="D410" s="404">
        <v>19655</v>
      </c>
      <c r="E410" s="445">
        <f t="shared" si="43"/>
        <v>205</v>
      </c>
      <c r="H410" s="572">
        <v>136750</v>
      </c>
    </row>
    <row r="411" spans="1:8" ht="15" customHeight="1">
      <c r="A411" s="3">
        <v>41480</v>
      </c>
      <c r="B411" s="132">
        <v>14390</v>
      </c>
      <c r="C411" s="318">
        <v>19275</v>
      </c>
      <c r="D411" s="404">
        <v>19350</v>
      </c>
      <c r="E411" s="445">
        <f t="shared" si="43"/>
        <v>-330</v>
      </c>
      <c r="H411" s="572">
        <v>136750</v>
      </c>
    </row>
    <row r="412" spans="1:8" ht="15" customHeight="1">
      <c r="A412" s="3">
        <v>41481</v>
      </c>
      <c r="B412" s="132">
        <v>14545</v>
      </c>
      <c r="C412" s="318">
        <v>19315</v>
      </c>
      <c r="D412" s="404">
        <v>19300</v>
      </c>
      <c r="E412" s="445">
        <f t="shared" si="43"/>
        <v>40</v>
      </c>
      <c r="H412" s="572">
        <v>136250</v>
      </c>
    </row>
    <row r="413" spans="1:8" ht="15" customHeight="1">
      <c r="A413" s="3">
        <v>41484</v>
      </c>
      <c r="B413" s="132">
        <v>14545</v>
      </c>
      <c r="C413" s="318">
        <v>19395</v>
      </c>
      <c r="D413" s="404">
        <v>19425</v>
      </c>
      <c r="E413" s="445">
        <f t="shared" si="43"/>
        <v>80</v>
      </c>
      <c r="H413" s="572">
        <v>135500</v>
      </c>
    </row>
    <row r="414" spans="1:8" ht="15" customHeight="1">
      <c r="A414" s="3">
        <v>41485</v>
      </c>
      <c r="B414" s="132">
        <v>14000</v>
      </c>
      <c r="C414" s="318">
        <v>19760</v>
      </c>
      <c r="D414" s="404">
        <v>19750</v>
      </c>
      <c r="E414" s="445">
        <f t="shared" si="43"/>
        <v>365</v>
      </c>
      <c r="H414" s="572">
        <v>135500</v>
      </c>
    </row>
    <row r="415" spans="1:8" ht="15" customHeight="1" thickBot="1">
      <c r="A415" s="12">
        <v>41486</v>
      </c>
      <c r="B415" s="142">
        <v>13845</v>
      </c>
      <c r="C415" s="317">
        <v>19895</v>
      </c>
      <c r="D415" s="449">
        <v>19905</v>
      </c>
      <c r="E415" s="450">
        <f t="shared" si="43"/>
        <v>135</v>
      </c>
      <c r="F415" s="441">
        <f>AVERAGE(C393:C415)</f>
        <v>19588.695652173912</v>
      </c>
      <c r="G415" s="442">
        <f>AVERAGE(C265:C415)</f>
        <v>22057.34693877551</v>
      </c>
      <c r="H415" s="573">
        <v>135500</v>
      </c>
    </row>
    <row r="416" spans="1:8" ht="15" customHeight="1">
      <c r="A416" s="3">
        <v>41487</v>
      </c>
      <c r="B416" s="132">
        <v>13845</v>
      </c>
      <c r="C416" s="318">
        <v>20555</v>
      </c>
      <c r="D416" s="404">
        <v>20560</v>
      </c>
      <c r="E416" s="404">
        <f t="shared" si="43"/>
        <v>660</v>
      </c>
      <c r="F416" s="444"/>
      <c r="H416" s="572">
        <v>136500</v>
      </c>
    </row>
    <row r="417" spans="1:8" ht="15" customHeight="1">
      <c r="A417" s="3">
        <v>41488</v>
      </c>
      <c r="B417" s="132">
        <v>13910</v>
      </c>
      <c r="C417" s="318">
        <v>20870</v>
      </c>
      <c r="D417" s="404">
        <v>20850</v>
      </c>
      <c r="E417" s="404">
        <f t="shared" si="43"/>
        <v>315</v>
      </c>
      <c r="H417" s="572">
        <v>138750</v>
      </c>
    </row>
    <row r="418" spans="1:8" ht="15" customHeight="1">
      <c r="A418" s="3">
        <v>41491</v>
      </c>
      <c r="B418" s="132">
        <v>13845</v>
      </c>
      <c r="C418" s="318">
        <v>21130</v>
      </c>
      <c r="D418" s="404">
        <v>21200</v>
      </c>
      <c r="E418" s="404">
        <f t="shared" si="43"/>
        <v>260</v>
      </c>
      <c r="H418" s="572">
        <v>140500</v>
      </c>
    </row>
    <row r="419" spans="1:8" ht="15" customHeight="1">
      <c r="A419" s="3">
        <v>41492</v>
      </c>
      <c r="B419" s="132">
        <v>13775</v>
      </c>
      <c r="C419" s="318">
        <v>21295</v>
      </c>
      <c r="D419" s="404">
        <v>21225</v>
      </c>
      <c r="E419" s="404">
        <f t="shared" si="43"/>
        <v>165</v>
      </c>
      <c r="H419" s="572">
        <v>140500</v>
      </c>
    </row>
    <row r="420" spans="1:8" ht="15" customHeight="1">
      <c r="A420" s="3">
        <v>41493</v>
      </c>
      <c r="B420" s="132">
        <v>13775</v>
      </c>
      <c r="C420" s="318">
        <v>21180</v>
      </c>
      <c r="D420" s="404">
        <v>21150</v>
      </c>
      <c r="E420" s="404">
        <f t="shared" si="43"/>
        <v>-115</v>
      </c>
      <c r="H420" s="572">
        <v>140250</v>
      </c>
    </row>
    <row r="421" spans="1:8" ht="15" customHeight="1">
      <c r="A421" s="3">
        <v>41494</v>
      </c>
      <c r="B421" s="132">
        <v>13750</v>
      </c>
      <c r="C421" s="318">
        <v>21650</v>
      </c>
      <c r="D421" s="404">
        <v>21750</v>
      </c>
      <c r="E421" s="404">
        <f t="shared" si="43"/>
        <v>470</v>
      </c>
      <c r="H421" s="572">
        <v>140250</v>
      </c>
    </row>
    <row r="422" spans="1:8" ht="15" customHeight="1">
      <c r="A422" s="3">
        <v>41495</v>
      </c>
      <c r="B422" s="132">
        <v>13750</v>
      </c>
      <c r="C422" s="318">
        <v>22150</v>
      </c>
      <c r="D422" s="404">
        <v>22125</v>
      </c>
      <c r="E422" s="404">
        <f t="shared" si="43"/>
        <v>500</v>
      </c>
      <c r="H422" s="572">
        <v>142250</v>
      </c>
    </row>
    <row r="423" spans="1:8" ht="15" customHeight="1">
      <c r="A423" s="3">
        <v>41498</v>
      </c>
      <c r="B423" s="132">
        <v>13750</v>
      </c>
      <c r="C423" s="318">
        <v>22105</v>
      </c>
      <c r="D423" s="404">
        <v>22180</v>
      </c>
      <c r="E423" s="404">
        <f t="shared" si="43"/>
        <v>-45</v>
      </c>
      <c r="H423" s="572">
        <v>143250</v>
      </c>
    </row>
    <row r="424" spans="1:8" ht="15" customHeight="1">
      <c r="A424" s="3">
        <v>41499</v>
      </c>
      <c r="B424" s="132">
        <v>14205</v>
      </c>
      <c r="C424" s="318">
        <v>22050</v>
      </c>
      <c r="D424" s="404">
        <v>22150</v>
      </c>
      <c r="E424" s="404">
        <f t="shared" si="43"/>
        <v>-55</v>
      </c>
      <c r="H424" s="572">
        <v>144000</v>
      </c>
    </row>
    <row r="425" spans="1:8" ht="15" customHeight="1">
      <c r="A425" s="3">
        <v>41500</v>
      </c>
      <c r="B425" s="132">
        <v>14055</v>
      </c>
      <c r="C425" s="318">
        <v>21825</v>
      </c>
      <c r="D425" s="404">
        <v>21850</v>
      </c>
      <c r="E425" s="404">
        <f t="shared" si="43"/>
        <v>-225</v>
      </c>
      <c r="H425" s="572">
        <v>144000</v>
      </c>
    </row>
    <row r="426" spans="1:8" ht="15" customHeight="1">
      <c r="A426" s="3">
        <v>41501</v>
      </c>
      <c r="B426" s="132">
        <v>14055</v>
      </c>
      <c r="C426" s="318">
        <v>21525</v>
      </c>
      <c r="D426" s="404">
        <v>21505</v>
      </c>
      <c r="E426" s="404">
        <f t="shared" si="43"/>
        <v>-300</v>
      </c>
      <c r="H426" s="572">
        <v>143750</v>
      </c>
    </row>
    <row r="427" spans="1:8" ht="15" customHeight="1">
      <c r="A427" s="3">
        <v>41502</v>
      </c>
      <c r="B427" s="132">
        <v>14055</v>
      </c>
      <c r="C427" s="318">
        <v>21875</v>
      </c>
      <c r="D427" s="404">
        <v>21900</v>
      </c>
      <c r="E427" s="404">
        <f t="shared" si="43"/>
        <v>350</v>
      </c>
      <c r="H427" s="572">
        <v>143500</v>
      </c>
    </row>
    <row r="428" spans="1:8" ht="15" customHeight="1">
      <c r="A428" s="3">
        <v>41505</v>
      </c>
      <c r="B428" s="132">
        <v>14055</v>
      </c>
      <c r="C428" s="318">
        <v>21850</v>
      </c>
      <c r="D428" s="404">
        <v>21850</v>
      </c>
      <c r="E428" s="404">
        <f t="shared" si="43"/>
        <v>-25</v>
      </c>
      <c r="F428" s="444"/>
      <c r="H428" s="572">
        <v>143500</v>
      </c>
    </row>
    <row r="429" spans="1:8" ht="15" customHeight="1">
      <c r="A429" s="3">
        <v>41506</v>
      </c>
      <c r="B429" s="132">
        <v>13935</v>
      </c>
      <c r="C429" s="318">
        <v>22025</v>
      </c>
      <c r="D429" s="404">
        <v>21925</v>
      </c>
      <c r="E429" s="404">
        <f t="shared" si="43"/>
        <v>175</v>
      </c>
      <c r="F429" s="444"/>
      <c r="H429" s="572">
        <v>143250</v>
      </c>
    </row>
    <row r="430" spans="1:8" ht="15" customHeight="1">
      <c r="A430" s="3">
        <v>41507</v>
      </c>
      <c r="B430" s="132">
        <v>13965</v>
      </c>
      <c r="C430" s="318">
        <v>22025</v>
      </c>
      <c r="D430" s="404">
        <v>21930</v>
      </c>
      <c r="E430" s="404">
        <f>C430-C429</f>
        <v>0</v>
      </c>
      <c r="F430" s="444"/>
      <c r="H430" s="572">
        <v>143250</v>
      </c>
    </row>
    <row r="431" spans="1:8" ht="15" customHeight="1">
      <c r="A431" s="3">
        <v>41508</v>
      </c>
      <c r="B431" s="132">
        <v>13960</v>
      </c>
      <c r="C431" s="318">
        <v>22000</v>
      </c>
      <c r="D431" s="404">
        <v>21930</v>
      </c>
      <c r="E431" s="404">
        <f>C431-C430</f>
        <v>-25</v>
      </c>
      <c r="H431" s="572">
        <v>143250</v>
      </c>
    </row>
    <row r="432" spans="1:8" ht="15" customHeight="1">
      <c r="A432" s="3">
        <v>41509</v>
      </c>
      <c r="B432" s="132">
        <v>15305</v>
      </c>
      <c r="C432" s="318">
        <v>22000</v>
      </c>
      <c r="D432" s="404">
        <v>21925</v>
      </c>
      <c r="E432" s="404">
        <f>C432-C431</f>
        <v>0</v>
      </c>
      <c r="H432" s="572">
        <v>143250</v>
      </c>
    </row>
    <row r="433" spans="1:8" ht="15" customHeight="1">
      <c r="A433" s="3">
        <v>41512</v>
      </c>
      <c r="B433" s="1069" t="s">
        <v>70</v>
      </c>
      <c r="C433" s="1069"/>
      <c r="D433" s="1069"/>
      <c r="E433" s="1069"/>
      <c r="H433" s="572">
        <v>143500</v>
      </c>
    </row>
    <row r="434" spans="1:8" ht="15" customHeight="1">
      <c r="A434" s="3">
        <v>41513</v>
      </c>
      <c r="B434" s="132">
        <v>15295</v>
      </c>
      <c r="C434" s="318">
        <v>21700</v>
      </c>
      <c r="D434" s="404">
        <v>21750</v>
      </c>
      <c r="E434" s="404">
        <f>C434-C432</f>
        <v>-300</v>
      </c>
      <c r="H434" s="572">
        <v>143500</v>
      </c>
    </row>
    <row r="435" spans="1:8" ht="15" customHeight="1">
      <c r="A435" s="3">
        <v>41514</v>
      </c>
      <c r="B435" s="132">
        <v>15240</v>
      </c>
      <c r="C435" s="318">
        <v>21650</v>
      </c>
      <c r="D435" s="404">
        <v>21750</v>
      </c>
      <c r="E435" s="404">
        <f t="shared" ref="E435:E453" si="44">C435-C434</f>
        <v>-50</v>
      </c>
      <c r="H435" s="572">
        <v>143250</v>
      </c>
    </row>
    <row r="436" spans="1:8" ht="15" customHeight="1">
      <c r="A436" s="3">
        <v>41515</v>
      </c>
      <c r="B436" s="132">
        <v>15290</v>
      </c>
      <c r="C436" s="318">
        <v>21515</v>
      </c>
      <c r="D436" s="404">
        <v>21525</v>
      </c>
      <c r="E436" s="404">
        <f t="shared" si="44"/>
        <v>-135</v>
      </c>
      <c r="H436" s="572">
        <v>142900</v>
      </c>
    </row>
    <row r="437" spans="1:8" ht="15" customHeight="1" thickBot="1">
      <c r="A437" s="12">
        <v>41516</v>
      </c>
      <c r="B437" s="142">
        <v>15440</v>
      </c>
      <c r="C437" s="317">
        <v>21230</v>
      </c>
      <c r="D437" s="449">
        <v>21225</v>
      </c>
      <c r="E437" s="449">
        <f t="shared" si="44"/>
        <v>-285</v>
      </c>
      <c r="F437" s="441">
        <f>AVERAGE(C416:C437)</f>
        <v>21628.809523809523</v>
      </c>
      <c r="G437" s="442">
        <f>AVERAGE(C265:C437)</f>
        <v>22003.779761904763</v>
      </c>
      <c r="H437" s="573">
        <v>142750</v>
      </c>
    </row>
    <row r="438" spans="1:8" ht="15" customHeight="1">
      <c r="A438" s="3">
        <v>41519</v>
      </c>
      <c r="B438" s="132">
        <v>14985</v>
      </c>
      <c r="C438" s="318">
        <v>21130</v>
      </c>
      <c r="D438" s="404">
        <v>21150</v>
      </c>
      <c r="E438" s="404">
        <f t="shared" si="44"/>
        <v>-100</v>
      </c>
      <c r="H438" s="574">
        <v>141750</v>
      </c>
    </row>
    <row r="439" spans="1:8" ht="15" customHeight="1">
      <c r="A439" s="3">
        <v>41520</v>
      </c>
      <c r="B439" s="132">
        <v>14840</v>
      </c>
      <c r="C439" s="318">
        <v>21280</v>
      </c>
      <c r="D439" s="404">
        <v>21300</v>
      </c>
      <c r="E439" s="404">
        <f t="shared" si="44"/>
        <v>150</v>
      </c>
      <c r="H439" s="572">
        <v>141750</v>
      </c>
    </row>
    <row r="440" spans="1:8" ht="15" customHeight="1">
      <c r="A440" s="3">
        <v>41521</v>
      </c>
      <c r="B440" s="132">
        <v>14790</v>
      </c>
      <c r="C440" s="318">
        <v>21800</v>
      </c>
      <c r="D440" s="404">
        <v>21650</v>
      </c>
      <c r="E440" s="404">
        <f t="shared" si="44"/>
        <v>520</v>
      </c>
      <c r="H440" s="572">
        <v>141750</v>
      </c>
    </row>
    <row r="441" spans="1:8" ht="15" customHeight="1">
      <c r="A441" s="3">
        <v>41522</v>
      </c>
      <c r="B441" s="132">
        <v>14790</v>
      </c>
      <c r="C441" s="318">
        <v>22355</v>
      </c>
      <c r="D441" s="404">
        <v>22300</v>
      </c>
      <c r="E441" s="404">
        <f t="shared" si="44"/>
        <v>555</v>
      </c>
      <c r="H441" s="572">
        <v>141750</v>
      </c>
    </row>
    <row r="442" spans="1:8" ht="15" customHeight="1">
      <c r="A442" s="3">
        <v>41523</v>
      </c>
      <c r="B442" s="132">
        <v>14685</v>
      </c>
      <c r="C442" s="318">
        <v>22625</v>
      </c>
      <c r="D442" s="404">
        <v>22725</v>
      </c>
      <c r="E442" s="404">
        <f t="shared" si="44"/>
        <v>270</v>
      </c>
      <c r="H442" s="572">
        <v>143500</v>
      </c>
    </row>
    <row r="443" spans="1:8" ht="15" customHeight="1">
      <c r="A443" s="3">
        <v>41526</v>
      </c>
      <c r="B443" s="132">
        <v>14545</v>
      </c>
      <c r="C443" s="318">
        <v>23200</v>
      </c>
      <c r="D443" s="404">
        <v>23130</v>
      </c>
      <c r="E443" s="404">
        <f t="shared" si="44"/>
        <v>575</v>
      </c>
      <c r="H443" s="572">
        <v>146000</v>
      </c>
    </row>
    <row r="444" spans="1:8" ht="15" customHeight="1">
      <c r="A444" s="3">
        <v>41527</v>
      </c>
      <c r="B444" s="132">
        <v>14270</v>
      </c>
      <c r="C444" s="318">
        <v>22975</v>
      </c>
      <c r="D444" s="404">
        <v>22975</v>
      </c>
      <c r="E444" s="404">
        <f t="shared" si="44"/>
        <v>-225</v>
      </c>
      <c r="H444" s="572">
        <v>149250</v>
      </c>
    </row>
    <row r="445" spans="1:8" ht="15" customHeight="1">
      <c r="A445" s="3">
        <v>41528</v>
      </c>
      <c r="B445" s="132">
        <v>14270</v>
      </c>
      <c r="C445" s="318">
        <v>22830</v>
      </c>
      <c r="D445" s="404">
        <v>22880</v>
      </c>
      <c r="E445" s="404">
        <f t="shared" si="44"/>
        <v>-145</v>
      </c>
      <c r="F445" s="444"/>
      <c r="H445" s="572">
        <v>149250</v>
      </c>
    </row>
    <row r="446" spans="1:8" ht="15" customHeight="1">
      <c r="A446" s="3">
        <v>41529</v>
      </c>
      <c r="B446" s="132">
        <v>14440</v>
      </c>
      <c r="C446" s="318">
        <v>22450</v>
      </c>
      <c r="D446" s="404">
        <v>22450</v>
      </c>
      <c r="E446" s="404">
        <f t="shared" si="44"/>
        <v>-380</v>
      </c>
      <c r="F446" s="444"/>
      <c r="H446" s="572">
        <v>149000</v>
      </c>
    </row>
    <row r="447" spans="1:8" ht="15" customHeight="1">
      <c r="A447" s="3">
        <v>41530</v>
      </c>
      <c r="B447" s="132">
        <v>14190</v>
      </c>
      <c r="C447" s="318">
        <v>22630</v>
      </c>
      <c r="D447" s="404">
        <v>22575</v>
      </c>
      <c r="E447" s="404">
        <f t="shared" si="44"/>
        <v>180</v>
      </c>
      <c r="H447" s="572">
        <v>148250</v>
      </c>
    </row>
    <row r="448" spans="1:8" ht="15" customHeight="1">
      <c r="A448" s="3">
        <v>41533</v>
      </c>
      <c r="B448" s="132">
        <v>14280</v>
      </c>
      <c r="C448" s="318">
        <v>22900</v>
      </c>
      <c r="D448" s="404">
        <v>22895</v>
      </c>
      <c r="E448" s="404">
        <f t="shared" si="44"/>
        <v>270</v>
      </c>
      <c r="H448" s="572">
        <v>147500</v>
      </c>
    </row>
    <row r="449" spans="1:8" ht="15" customHeight="1">
      <c r="A449" s="3">
        <v>41534</v>
      </c>
      <c r="B449" s="132">
        <v>13970</v>
      </c>
      <c r="C449" s="318">
        <v>22925</v>
      </c>
      <c r="D449" s="404">
        <v>22975</v>
      </c>
      <c r="E449" s="404">
        <f t="shared" si="44"/>
        <v>25</v>
      </c>
      <c r="H449" s="572">
        <v>147500</v>
      </c>
    </row>
    <row r="450" spans="1:8" ht="15" customHeight="1">
      <c r="A450" s="3">
        <v>41535</v>
      </c>
      <c r="B450" s="132">
        <v>13920</v>
      </c>
      <c r="C450" s="318">
        <v>22935</v>
      </c>
      <c r="D450" s="404">
        <v>22975</v>
      </c>
      <c r="E450" s="404">
        <f t="shared" si="44"/>
        <v>10</v>
      </c>
      <c r="H450" s="572">
        <v>148000</v>
      </c>
    </row>
    <row r="451" spans="1:8" ht="15" customHeight="1">
      <c r="A451" s="3">
        <v>41536</v>
      </c>
      <c r="B451" s="132">
        <v>13820</v>
      </c>
      <c r="C451" s="318">
        <v>23335</v>
      </c>
      <c r="D451" s="404">
        <v>23350</v>
      </c>
      <c r="E451" s="404">
        <f t="shared" si="44"/>
        <v>400</v>
      </c>
      <c r="H451" s="1107" t="s">
        <v>148</v>
      </c>
    </row>
    <row r="452" spans="1:8" ht="15" customHeight="1">
      <c r="A452" s="3">
        <v>41537</v>
      </c>
      <c r="B452" s="132">
        <v>13740</v>
      </c>
      <c r="C452" s="318">
        <v>23345</v>
      </c>
      <c r="D452" s="404">
        <v>23225</v>
      </c>
      <c r="E452" s="404">
        <f t="shared" si="44"/>
        <v>10</v>
      </c>
      <c r="F452" s="421"/>
      <c r="H452" s="1107"/>
    </row>
    <row r="453" spans="1:8" ht="15" customHeight="1">
      <c r="A453" s="3">
        <v>41540</v>
      </c>
      <c r="B453" s="132">
        <v>13715</v>
      </c>
      <c r="C453" s="318">
        <v>22900</v>
      </c>
      <c r="D453" s="404">
        <v>23000</v>
      </c>
      <c r="E453" s="465">
        <f t="shared" si="44"/>
        <v>-445</v>
      </c>
      <c r="H453" s="575">
        <v>148000</v>
      </c>
    </row>
    <row r="454" spans="1:8" ht="15" customHeight="1">
      <c r="A454" s="3">
        <v>41541</v>
      </c>
      <c r="B454" s="132">
        <v>13765</v>
      </c>
      <c r="C454" s="318">
        <v>22925</v>
      </c>
      <c r="D454" s="404">
        <v>22925</v>
      </c>
      <c r="E454" s="404">
        <f t="shared" ref="E454:E473" si="45">C454-C453</f>
        <v>25</v>
      </c>
      <c r="H454" s="575">
        <v>147750</v>
      </c>
    </row>
    <row r="455" spans="1:8" ht="15" customHeight="1">
      <c r="A455" s="3">
        <v>41542</v>
      </c>
      <c r="B455" s="132">
        <v>13625</v>
      </c>
      <c r="C455" s="318">
        <v>23000</v>
      </c>
      <c r="D455" s="404">
        <v>23050</v>
      </c>
      <c r="E455" s="404">
        <f t="shared" si="45"/>
        <v>75</v>
      </c>
      <c r="H455" s="575">
        <v>147750</v>
      </c>
    </row>
    <row r="456" spans="1:8" ht="15" customHeight="1">
      <c r="A456" s="3">
        <v>41543</v>
      </c>
      <c r="B456" s="132">
        <v>13625</v>
      </c>
      <c r="C456" s="318">
        <v>23300</v>
      </c>
      <c r="D456" s="404">
        <v>23355</v>
      </c>
      <c r="E456" s="404">
        <f t="shared" si="45"/>
        <v>300</v>
      </c>
      <c r="H456" s="575">
        <v>148000</v>
      </c>
    </row>
    <row r="457" spans="1:8" ht="15" customHeight="1">
      <c r="A457" s="3">
        <v>41544</v>
      </c>
      <c r="B457" s="132">
        <v>13490</v>
      </c>
      <c r="C457" s="318">
        <v>23450</v>
      </c>
      <c r="D457" s="404">
        <v>23425</v>
      </c>
      <c r="E457" s="404">
        <f t="shared" si="45"/>
        <v>150</v>
      </c>
      <c r="H457" s="575">
        <v>149000</v>
      </c>
    </row>
    <row r="458" spans="1:8" ht="15" customHeight="1" thickBot="1">
      <c r="A458" s="12">
        <v>41547</v>
      </c>
      <c r="B458" s="142">
        <v>13415</v>
      </c>
      <c r="C458" s="317">
        <v>23395</v>
      </c>
      <c r="D458" s="449">
        <v>23400</v>
      </c>
      <c r="E458" s="449">
        <f t="shared" si="45"/>
        <v>-55</v>
      </c>
      <c r="F458" s="441">
        <f>AVERAGE(C438:C458)</f>
        <v>22746.904761904763</v>
      </c>
      <c r="G458" s="442">
        <f>AVERAGE(C265:C458)</f>
        <v>22086.349206349205</v>
      </c>
      <c r="H458" s="576">
        <v>150000</v>
      </c>
    </row>
    <row r="459" spans="1:8" ht="15" customHeight="1">
      <c r="A459" s="3">
        <v>41548</v>
      </c>
      <c r="B459" s="132">
        <v>13240</v>
      </c>
      <c r="C459" s="318">
        <v>23200</v>
      </c>
      <c r="D459" s="404">
        <v>23240</v>
      </c>
      <c r="E459" s="404">
        <f t="shared" si="45"/>
        <v>-195</v>
      </c>
      <c r="H459" s="1092" t="s">
        <v>71</v>
      </c>
    </row>
    <row r="460" spans="1:8" ht="15" customHeight="1">
      <c r="A460" s="3">
        <v>41549</v>
      </c>
      <c r="B460" s="132">
        <v>13195</v>
      </c>
      <c r="C460" s="318">
        <v>22710</v>
      </c>
      <c r="D460" s="404">
        <v>22750</v>
      </c>
      <c r="E460" s="404">
        <f t="shared" si="45"/>
        <v>-490</v>
      </c>
      <c r="G460" s="850"/>
      <c r="H460" s="1093"/>
    </row>
    <row r="461" spans="1:8" ht="15" customHeight="1">
      <c r="A461" s="3">
        <v>41550</v>
      </c>
      <c r="B461" s="132">
        <v>13170</v>
      </c>
      <c r="C461" s="318">
        <v>22850</v>
      </c>
      <c r="D461" s="404">
        <v>22870</v>
      </c>
      <c r="E461" s="404">
        <f t="shared" si="45"/>
        <v>140</v>
      </c>
      <c r="H461" s="1093"/>
    </row>
    <row r="462" spans="1:8" ht="15" customHeight="1">
      <c r="A462" s="3">
        <v>41551</v>
      </c>
      <c r="B462" s="132">
        <v>13195</v>
      </c>
      <c r="C462" s="318">
        <v>22975</v>
      </c>
      <c r="D462" s="404">
        <v>23025</v>
      </c>
      <c r="E462" s="404">
        <f t="shared" si="45"/>
        <v>125</v>
      </c>
      <c r="H462" s="1093"/>
    </row>
    <row r="463" spans="1:8" ht="15" customHeight="1">
      <c r="A463" s="3">
        <v>41554</v>
      </c>
      <c r="B463" s="132">
        <v>13195</v>
      </c>
      <c r="C463" s="318">
        <v>23675</v>
      </c>
      <c r="D463" s="404">
        <v>23700</v>
      </c>
      <c r="E463" s="404">
        <f t="shared" si="45"/>
        <v>700</v>
      </c>
      <c r="H463" s="1093"/>
    </row>
    <row r="464" spans="1:8" ht="15" customHeight="1">
      <c r="A464" s="3">
        <v>41555</v>
      </c>
      <c r="B464" s="132">
        <v>12835</v>
      </c>
      <c r="C464" s="318">
        <v>23500</v>
      </c>
      <c r="D464" s="404">
        <v>23550</v>
      </c>
      <c r="E464" s="404">
        <f t="shared" si="45"/>
        <v>-175</v>
      </c>
      <c r="H464" s="575">
        <v>152000</v>
      </c>
    </row>
    <row r="465" spans="1:8" ht="15" customHeight="1">
      <c r="A465" s="3">
        <v>41556</v>
      </c>
      <c r="B465" s="132">
        <v>13045</v>
      </c>
      <c r="C465" s="318">
        <v>23720</v>
      </c>
      <c r="D465" s="404">
        <v>23800</v>
      </c>
      <c r="E465" s="404">
        <f t="shared" si="45"/>
        <v>220</v>
      </c>
      <c r="H465" s="575">
        <v>152750</v>
      </c>
    </row>
    <row r="466" spans="1:8" ht="15" customHeight="1">
      <c r="A466" s="3">
        <v>41557</v>
      </c>
      <c r="B466" s="132">
        <v>12835</v>
      </c>
      <c r="C466" s="318">
        <v>23395</v>
      </c>
      <c r="D466" s="404">
        <v>23375</v>
      </c>
      <c r="E466" s="404">
        <f t="shared" si="45"/>
        <v>-325</v>
      </c>
      <c r="H466" s="575">
        <v>152500</v>
      </c>
    </row>
    <row r="467" spans="1:8" ht="15" customHeight="1">
      <c r="A467" s="3">
        <v>41558</v>
      </c>
      <c r="B467" s="132">
        <v>12830</v>
      </c>
      <c r="C467" s="318">
        <v>23325</v>
      </c>
      <c r="D467" s="404">
        <v>23310</v>
      </c>
      <c r="E467" s="404">
        <f t="shared" si="45"/>
        <v>-70</v>
      </c>
      <c r="H467" s="575">
        <v>152500</v>
      </c>
    </row>
    <row r="468" spans="1:8" ht="15" customHeight="1">
      <c r="A468" s="3">
        <v>41561</v>
      </c>
      <c r="B468" s="132">
        <v>12780</v>
      </c>
      <c r="C468" s="318">
        <v>23380</v>
      </c>
      <c r="D468" s="404">
        <v>23475</v>
      </c>
      <c r="E468" s="404">
        <f t="shared" si="45"/>
        <v>55</v>
      </c>
      <c r="H468" s="575">
        <v>152000</v>
      </c>
    </row>
    <row r="469" spans="1:8" ht="15" customHeight="1">
      <c r="A469" s="3">
        <v>41562</v>
      </c>
      <c r="B469" s="132">
        <v>12780</v>
      </c>
      <c r="C469" s="318">
        <v>23100</v>
      </c>
      <c r="D469" s="404">
        <v>23100</v>
      </c>
      <c r="E469" s="404">
        <f t="shared" si="45"/>
        <v>-280</v>
      </c>
      <c r="H469" s="575">
        <v>151500</v>
      </c>
    </row>
    <row r="470" spans="1:8" ht="15" customHeight="1">
      <c r="A470" s="3">
        <v>41563</v>
      </c>
      <c r="B470" s="132">
        <v>12780</v>
      </c>
      <c r="C470" s="318">
        <v>22950</v>
      </c>
      <c r="D470" s="404">
        <v>22950</v>
      </c>
      <c r="E470" s="404">
        <f t="shared" si="45"/>
        <v>-150</v>
      </c>
      <c r="H470" s="575">
        <v>151250</v>
      </c>
    </row>
    <row r="471" spans="1:8" ht="15" customHeight="1">
      <c r="A471" s="3">
        <v>41564</v>
      </c>
      <c r="B471" s="132">
        <v>12885</v>
      </c>
      <c r="C471" s="318">
        <v>22905</v>
      </c>
      <c r="D471" s="404">
        <v>22900</v>
      </c>
      <c r="E471" s="404">
        <f t="shared" si="45"/>
        <v>-45</v>
      </c>
      <c r="H471" s="575">
        <v>150500</v>
      </c>
    </row>
    <row r="472" spans="1:8" ht="15" customHeight="1">
      <c r="A472" s="3">
        <v>41565</v>
      </c>
      <c r="B472" s="132">
        <v>12935</v>
      </c>
      <c r="C472" s="318">
        <v>22760</v>
      </c>
      <c r="D472" s="404">
        <v>22850</v>
      </c>
      <c r="E472" s="404">
        <f t="shared" si="45"/>
        <v>-145</v>
      </c>
      <c r="H472" s="575">
        <v>149250</v>
      </c>
    </row>
    <row r="473" spans="1:8" ht="15" customHeight="1">
      <c r="A473" s="3">
        <v>41568</v>
      </c>
      <c r="B473" s="132">
        <v>13010</v>
      </c>
      <c r="C473" s="318">
        <v>22905</v>
      </c>
      <c r="D473" s="404">
        <v>22950</v>
      </c>
      <c r="E473" s="404">
        <f t="shared" si="45"/>
        <v>145</v>
      </c>
      <c r="H473" s="575">
        <v>148250</v>
      </c>
    </row>
    <row r="474" spans="1:8" ht="15" customHeight="1">
      <c r="A474" s="3">
        <v>41569</v>
      </c>
      <c r="B474" s="132">
        <v>13060</v>
      </c>
      <c r="C474" s="318">
        <v>23395</v>
      </c>
      <c r="D474" s="404">
        <v>23425</v>
      </c>
      <c r="E474" s="404">
        <f t="shared" ref="E474:E488" si="46">C474-C473</f>
        <v>490</v>
      </c>
      <c r="H474" s="575">
        <v>148250</v>
      </c>
    </row>
    <row r="475" spans="1:8" ht="15" customHeight="1">
      <c r="A475" s="3">
        <v>41570</v>
      </c>
      <c r="B475" s="132">
        <v>13060</v>
      </c>
      <c r="C475" s="318">
        <v>22905</v>
      </c>
      <c r="D475" s="404">
        <v>22975</v>
      </c>
      <c r="E475" s="404">
        <f t="shared" si="46"/>
        <v>-490</v>
      </c>
      <c r="H475" s="575">
        <v>148500</v>
      </c>
    </row>
    <row r="476" spans="1:8" ht="15" customHeight="1">
      <c r="A476" s="3">
        <v>41571</v>
      </c>
      <c r="B476" s="132">
        <v>13110</v>
      </c>
      <c r="C476" s="318">
        <v>22845</v>
      </c>
      <c r="D476" s="404">
        <v>22855</v>
      </c>
      <c r="E476" s="404">
        <f t="shared" si="46"/>
        <v>-60</v>
      </c>
      <c r="H476" s="575">
        <v>148500</v>
      </c>
    </row>
    <row r="477" spans="1:8" ht="15" customHeight="1">
      <c r="A477" s="3">
        <v>41572</v>
      </c>
      <c r="B477" s="132">
        <v>13110</v>
      </c>
      <c r="C477" s="318">
        <v>22825</v>
      </c>
      <c r="D477" s="404">
        <v>22830</v>
      </c>
      <c r="E477" s="404">
        <f t="shared" si="46"/>
        <v>-20</v>
      </c>
      <c r="H477" s="575">
        <v>148500</v>
      </c>
    </row>
    <row r="478" spans="1:8" ht="15" customHeight="1">
      <c r="A478" s="3">
        <v>41575</v>
      </c>
      <c r="B478" s="132">
        <v>12940</v>
      </c>
      <c r="C478" s="318">
        <v>23210</v>
      </c>
      <c r="D478" s="404">
        <v>23325</v>
      </c>
      <c r="E478" s="404">
        <f t="shared" si="46"/>
        <v>385</v>
      </c>
      <c r="H478" s="575">
        <v>148500</v>
      </c>
    </row>
    <row r="479" spans="1:8" ht="15" customHeight="1">
      <c r="A479" s="3">
        <v>41576</v>
      </c>
      <c r="B479" s="132">
        <v>12900</v>
      </c>
      <c r="C479" s="318">
        <v>23225</v>
      </c>
      <c r="D479" s="404">
        <v>23180</v>
      </c>
      <c r="E479" s="404">
        <f t="shared" si="46"/>
        <v>15</v>
      </c>
      <c r="H479" s="575">
        <v>148500</v>
      </c>
    </row>
    <row r="480" spans="1:8" ht="15" customHeight="1">
      <c r="A480" s="3">
        <v>41577</v>
      </c>
      <c r="B480" s="132">
        <v>12895</v>
      </c>
      <c r="C480" s="318">
        <v>23200</v>
      </c>
      <c r="D480" s="404">
        <v>23275</v>
      </c>
      <c r="E480" s="404">
        <f t="shared" si="46"/>
        <v>-25</v>
      </c>
      <c r="H480" s="575">
        <v>148000</v>
      </c>
    </row>
    <row r="481" spans="1:8" ht="15" customHeight="1" thickBot="1">
      <c r="A481" s="12">
        <v>41578</v>
      </c>
      <c r="B481" s="142">
        <v>12890</v>
      </c>
      <c r="C481" s="317">
        <v>22995</v>
      </c>
      <c r="D481" s="449">
        <v>23000</v>
      </c>
      <c r="E481" s="449">
        <f t="shared" si="46"/>
        <v>-205</v>
      </c>
      <c r="F481" s="441">
        <f>AVERAGE(C459:C481)</f>
        <v>23128.260869565216</v>
      </c>
      <c r="G481" s="442">
        <f>AVERAGE(C265:C481)</f>
        <v>22199.386792452831</v>
      </c>
      <c r="H481" s="576">
        <v>148000</v>
      </c>
    </row>
    <row r="482" spans="1:8" ht="15" customHeight="1">
      <c r="A482" s="3">
        <v>41579</v>
      </c>
      <c r="B482" s="132">
        <v>12830</v>
      </c>
      <c r="C482" s="318">
        <v>22975</v>
      </c>
      <c r="D482" s="404">
        <v>22950</v>
      </c>
      <c r="E482" s="404">
        <f t="shared" si="46"/>
        <v>-20</v>
      </c>
      <c r="H482" s="575">
        <v>146750</v>
      </c>
    </row>
    <row r="483" spans="1:8" ht="15" customHeight="1">
      <c r="A483" s="3">
        <v>41582</v>
      </c>
      <c r="B483" s="132">
        <v>12245</v>
      </c>
      <c r="C483" s="318">
        <v>22800</v>
      </c>
      <c r="D483" s="404">
        <v>22770</v>
      </c>
      <c r="E483" s="404">
        <f t="shared" si="46"/>
        <v>-175</v>
      </c>
      <c r="H483" s="575">
        <v>146500</v>
      </c>
    </row>
    <row r="484" spans="1:8" ht="15" customHeight="1">
      <c r="A484" s="3">
        <v>41583</v>
      </c>
      <c r="B484" s="132">
        <v>12120</v>
      </c>
      <c r="C484" s="318">
        <v>22750</v>
      </c>
      <c r="D484" s="404">
        <v>22750</v>
      </c>
      <c r="E484" s="404">
        <f t="shared" si="46"/>
        <v>-50</v>
      </c>
      <c r="H484" s="575">
        <v>146250</v>
      </c>
    </row>
    <row r="485" spans="1:8" ht="15" customHeight="1">
      <c r="A485" s="3">
        <v>41584</v>
      </c>
      <c r="B485" s="132">
        <v>12120</v>
      </c>
      <c r="C485" s="318">
        <v>23025</v>
      </c>
      <c r="D485" s="404">
        <v>23025</v>
      </c>
      <c r="E485" s="404">
        <f t="shared" si="46"/>
        <v>275</v>
      </c>
      <c r="H485" s="575">
        <v>146000</v>
      </c>
    </row>
    <row r="486" spans="1:8" ht="15" customHeight="1">
      <c r="A486" s="3">
        <v>41585</v>
      </c>
      <c r="B486" s="132">
        <v>12120</v>
      </c>
      <c r="C486" s="318">
        <v>22725</v>
      </c>
      <c r="D486" s="404">
        <v>22670</v>
      </c>
      <c r="E486" s="404">
        <f t="shared" si="46"/>
        <v>-300</v>
      </c>
      <c r="H486" s="575">
        <v>146750</v>
      </c>
    </row>
    <row r="487" spans="1:8" ht="15" customHeight="1">
      <c r="A487" s="3">
        <v>41586</v>
      </c>
      <c r="B487" s="132">
        <v>12120</v>
      </c>
      <c r="C487" s="318">
        <v>22940</v>
      </c>
      <c r="D487" s="404">
        <v>22950</v>
      </c>
      <c r="E487" s="404">
        <f t="shared" si="46"/>
        <v>215</v>
      </c>
      <c r="H487" s="575">
        <v>147000</v>
      </c>
    </row>
    <row r="488" spans="1:8" ht="15" customHeight="1">
      <c r="A488" s="3">
        <v>41589</v>
      </c>
      <c r="B488" s="132">
        <v>12120</v>
      </c>
      <c r="C488" s="318">
        <v>22870</v>
      </c>
      <c r="D488" s="404">
        <v>22870</v>
      </c>
      <c r="E488" s="404">
        <f t="shared" si="46"/>
        <v>-70</v>
      </c>
      <c r="H488" s="575">
        <v>146750</v>
      </c>
    </row>
    <row r="489" spans="1:8" ht="15" customHeight="1">
      <c r="A489" s="3">
        <v>41590</v>
      </c>
      <c r="B489" s="132">
        <v>11760</v>
      </c>
      <c r="C489" s="318">
        <v>22775</v>
      </c>
      <c r="D489" s="404">
        <v>22750</v>
      </c>
      <c r="E489" s="404">
        <f t="shared" ref="E489:E519" si="47">C489-C488</f>
        <v>-95</v>
      </c>
      <c r="H489" s="575">
        <v>146750</v>
      </c>
    </row>
    <row r="490" spans="1:8" ht="15" customHeight="1">
      <c r="A490" s="3">
        <v>41591</v>
      </c>
      <c r="B490" s="132">
        <v>11760</v>
      </c>
      <c r="C490" s="318">
        <v>22775</v>
      </c>
      <c r="D490" s="404">
        <v>22800</v>
      </c>
      <c r="E490" s="404">
        <f t="shared" si="47"/>
        <v>0</v>
      </c>
      <c r="H490" s="575">
        <v>146000</v>
      </c>
    </row>
    <row r="491" spans="1:8" ht="15" customHeight="1">
      <c r="A491" s="3">
        <v>41592</v>
      </c>
      <c r="B491" s="132">
        <v>11760</v>
      </c>
      <c r="C491" s="318">
        <v>22905</v>
      </c>
      <c r="D491" s="404">
        <v>22900</v>
      </c>
      <c r="E491" s="404">
        <f t="shared" si="47"/>
        <v>130</v>
      </c>
      <c r="H491" s="575">
        <v>145750</v>
      </c>
    </row>
    <row r="492" spans="1:8" ht="15" customHeight="1">
      <c r="A492" s="3">
        <v>41593</v>
      </c>
      <c r="B492" s="132">
        <v>11555</v>
      </c>
      <c r="C492" s="318">
        <v>22975</v>
      </c>
      <c r="D492" s="404">
        <v>22950</v>
      </c>
      <c r="E492" s="404">
        <f t="shared" si="47"/>
        <v>70</v>
      </c>
      <c r="H492" s="575">
        <v>145500</v>
      </c>
    </row>
    <row r="493" spans="1:8" ht="15" customHeight="1">
      <c r="A493" s="3">
        <v>41596</v>
      </c>
      <c r="B493" s="132">
        <v>11480</v>
      </c>
      <c r="C493" s="318">
        <v>23000</v>
      </c>
      <c r="D493" s="404">
        <v>22910</v>
      </c>
      <c r="E493" s="404">
        <f t="shared" si="47"/>
        <v>25</v>
      </c>
      <c r="H493" s="575">
        <v>146000</v>
      </c>
    </row>
    <row r="494" spans="1:8" ht="15" customHeight="1">
      <c r="A494" s="3">
        <v>41597</v>
      </c>
      <c r="B494" s="132">
        <v>11445</v>
      </c>
      <c r="C494" s="318">
        <v>22850</v>
      </c>
      <c r="D494" s="404">
        <v>22760</v>
      </c>
      <c r="E494" s="404">
        <f t="shared" si="47"/>
        <v>-150</v>
      </c>
      <c r="H494" s="575">
        <v>145750</v>
      </c>
    </row>
    <row r="495" spans="1:8" ht="15" customHeight="1">
      <c r="A495" s="3">
        <v>41598</v>
      </c>
      <c r="B495" s="132">
        <v>11445</v>
      </c>
      <c r="C495" s="318">
        <v>22920</v>
      </c>
      <c r="D495" s="404">
        <v>22850</v>
      </c>
      <c r="E495" s="404">
        <f t="shared" si="47"/>
        <v>70</v>
      </c>
      <c r="H495" s="575">
        <v>145500</v>
      </c>
    </row>
    <row r="496" spans="1:8" ht="15" customHeight="1">
      <c r="A496" s="3">
        <v>41599</v>
      </c>
      <c r="B496" s="132">
        <v>11385</v>
      </c>
      <c r="C496" s="318">
        <v>22975</v>
      </c>
      <c r="D496" s="404">
        <v>22975</v>
      </c>
      <c r="E496" s="404">
        <f t="shared" si="47"/>
        <v>55</v>
      </c>
      <c r="H496" s="575">
        <v>145500</v>
      </c>
    </row>
    <row r="497" spans="1:8" ht="15" customHeight="1">
      <c r="A497" s="3">
        <v>41600</v>
      </c>
      <c r="B497" s="132">
        <v>11380</v>
      </c>
      <c r="C497" s="318">
        <v>22900</v>
      </c>
      <c r="D497" s="404">
        <v>22875</v>
      </c>
      <c r="E497" s="404">
        <f t="shared" si="47"/>
        <v>-75</v>
      </c>
      <c r="H497" s="575">
        <v>145250</v>
      </c>
    </row>
    <row r="498" spans="1:8" ht="15" customHeight="1">
      <c r="A498" s="3">
        <v>41603</v>
      </c>
      <c r="B498" s="132">
        <v>11090</v>
      </c>
      <c r="C498" s="318">
        <v>22900</v>
      </c>
      <c r="D498" s="404">
        <v>22900</v>
      </c>
      <c r="E498" s="404">
        <f t="shared" si="47"/>
        <v>0</v>
      </c>
      <c r="H498" s="575">
        <v>145250</v>
      </c>
    </row>
    <row r="499" spans="1:8" ht="15" customHeight="1">
      <c r="A499" s="3">
        <v>41604</v>
      </c>
      <c r="B499" s="132">
        <v>10875</v>
      </c>
      <c r="C499" s="318">
        <v>22945</v>
      </c>
      <c r="D499" s="404">
        <v>22930</v>
      </c>
      <c r="E499" s="404">
        <f t="shared" si="47"/>
        <v>45</v>
      </c>
      <c r="H499" s="575">
        <v>144750</v>
      </c>
    </row>
    <row r="500" spans="1:8" ht="15" customHeight="1">
      <c r="A500" s="3">
        <v>41605</v>
      </c>
      <c r="B500" s="132">
        <v>10795</v>
      </c>
      <c r="C500" s="318">
        <v>22855</v>
      </c>
      <c r="D500" s="404">
        <v>22875</v>
      </c>
      <c r="E500" s="404">
        <f t="shared" si="47"/>
        <v>-90</v>
      </c>
      <c r="H500" s="575">
        <v>144250</v>
      </c>
    </row>
    <row r="501" spans="1:8" ht="15" customHeight="1">
      <c r="A501" s="3">
        <v>41606</v>
      </c>
      <c r="B501" s="132">
        <v>10815</v>
      </c>
      <c r="C501" s="318">
        <v>22600</v>
      </c>
      <c r="D501" s="404">
        <v>22600</v>
      </c>
      <c r="E501" s="404">
        <f t="shared" si="47"/>
        <v>-255</v>
      </c>
      <c r="H501" s="575">
        <v>144250</v>
      </c>
    </row>
    <row r="502" spans="1:8" ht="15" customHeight="1" thickBot="1">
      <c r="A502" s="12">
        <v>41607</v>
      </c>
      <c r="B502" s="142">
        <v>10905</v>
      </c>
      <c r="C502" s="317">
        <v>22530</v>
      </c>
      <c r="D502" s="449">
        <v>22600</v>
      </c>
      <c r="E502" s="449">
        <f t="shared" si="47"/>
        <v>-70</v>
      </c>
      <c r="F502" s="441">
        <f>AVERAGE(C482:C502)</f>
        <v>22856.666666666668</v>
      </c>
      <c r="G502" s="442">
        <f>AVERAGE(C265:C502)</f>
        <v>22258.626609442061</v>
      </c>
      <c r="H502" s="576">
        <v>144000</v>
      </c>
    </row>
    <row r="503" spans="1:8" ht="15" customHeight="1">
      <c r="A503" s="3">
        <v>41610</v>
      </c>
      <c r="B503" s="132">
        <v>10880</v>
      </c>
      <c r="C503" s="318">
        <v>22685</v>
      </c>
      <c r="D503" s="404">
        <v>22675</v>
      </c>
      <c r="E503" s="404">
        <f t="shared" si="47"/>
        <v>155</v>
      </c>
      <c r="H503" s="575">
        <v>143500</v>
      </c>
    </row>
    <row r="504" spans="1:8" ht="15" customHeight="1">
      <c r="A504" s="3">
        <v>41611</v>
      </c>
      <c r="B504" s="132">
        <v>10600</v>
      </c>
      <c r="C504" s="318">
        <v>22485</v>
      </c>
      <c r="D504" s="404">
        <v>22525</v>
      </c>
      <c r="E504" s="404">
        <f t="shared" si="47"/>
        <v>-200</v>
      </c>
      <c r="H504" s="575">
        <v>142750</v>
      </c>
    </row>
    <row r="505" spans="1:8" ht="15" customHeight="1">
      <c r="A505" s="3">
        <v>41612</v>
      </c>
      <c r="B505" s="132">
        <v>10575</v>
      </c>
      <c r="C505" s="318">
        <v>22675</v>
      </c>
      <c r="D505" s="404">
        <v>22640</v>
      </c>
      <c r="E505" s="404">
        <f t="shared" si="47"/>
        <v>190</v>
      </c>
      <c r="H505" s="575">
        <v>142500</v>
      </c>
    </row>
    <row r="506" spans="1:8" ht="15" customHeight="1">
      <c r="A506" s="3">
        <v>41613</v>
      </c>
      <c r="B506" s="132">
        <v>10570</v>
      </c>
      <c r="C506" s="318">
        <v>23125</v>
      </c>
      <c r="D506" s="404">
        <v>23100</v>
      </c>
      <c r="E506" s="404">
        <f t="shared" si="47"/>
        <v>450</v>
      </c>
      <c r="H506" s="575">
        <v>141500</v>
      </c>
    </row>
    <row r="507" spans="1:8" ht="15" customHeight="1">
      <c r="A507" s="3">
        <v>41614</v>
      </c>
      <c r="B507" s="132">
        <v>10550</v>
      </c>
      <c r="C507" s="318">
        <v>23025</v>
      </c>
      <c r="D507" s="404">
        <v>22985</v>
      </c>
      <c r="E507" s="404">
        <f t="shared" si="47"/>
        <v>-100</v>
      </c>
      <c r="H507" s="575">
        <v>141500</v>
      </c>
    </row>
    <row r="508" spans="1:8" ht="15" customHeight="1">
      <c r="A508" s="3">
        <v>41617</v>
      </c>
      <c r="B508" s="132">
        <v>10550</v>
      </c>
      <c r="C508" s="318">
        <v>23150</v>
      </c>
      <c r="D508" s="404">
        <v>23175</v>
      </c>
      <c r="E508" s="404">
        <f t="shared" si="47"/>
        <v>125</v>
      </c>
      <c r="H508" s="575">
        <v>142000</v>
      </c>
    </row>
    <row r="509" spans="1:8" ht="15" customHeight="1">
      <c r="A509" s="3">
        <v>41618</v>
      </c>
      <c r="B509" s="132">
        <v>10625</v>
      </c>
      <c r="C509" s="318">
        <v>23280</v>
      </c>
      <c r="D509" s="404">
        <v>23290</v>
      </c>
      <c r="E509" s="404">
        <f t="shared" si="47"/>
        <v>130</v>
      </c>
      <c r="H509" s="575">
        <v>143000</v>
      </c>
    </row>
    <row r="510" spans="1:8" ht="15" customHeight="1">
      <c r="A510" s="3">
        <v>41619</v>
      </c>
      <c r="B510" s="132">
        <v>10365</v>
      </c>
      <c r="C510" s="318">
        <v>22575</v>
      </c>
      <c r="D510" s="404">
        <v>22550</v>
      </c>
      <c r="E510" s="404">
        <f t="shared" si="47"/>
        <v>-705</v>
      </c>
      <c r="H510" s="575">
        <v>14330</v>
      </c>
    </row>
    <row r="511" spans="1:8" ht="15" customHeight="1">
      <c r="A511" s="3">
        <v>41620</v>
      </c>
      <c r="B511" s="132">
        <v>10345</v>
      </c>
      <c r="C511" s="318">
        <v>22700</v>
      </c>
      <c r="D511" s="404">
        <v>22700</v>
      </c>
      <c r="E511" s="404">
        <f t="shared" si="47"/>
        <v>125</v>
      </c>
      <c r="H511" s="575">
        <v>141250</v>
      </c>
    </row>
    <row r="512" spans="1:8" ht="15" customHeight="1">
      <c r="A512" s="3">
        <v>41621</v>
      </c>
      <c r="B512" s="132">
        <v>10370</v>
      </c>
      <c r="C512" s="318">
        <v>22725</v>
      </c>
      <c r="D512" s="404">
        <v>22655</v>
      </c>
      <c r="E512" s="404">
        <f t="shared" si="47"/>
        <v>25</v>
      </c>
      <c r="H512" s="575">
        <v>141250</v>
      </c>
    </row>
    <row r="513" spans="1:8" ht="15" customHeight="1">
      <c r="A513" s="3">
        <v>41624</v>
      </c>
      <c r="B513" s="132">
        <v>10315</v>
      </c>
      <c r="C513" s="318">
        <v>22850</v>
      </c>
      <c r="D513" s="404">
        <v>22850</v>
      </c>
      <c r="E513" s="404">
        <f t="shared" si="47"/>
        <v>125</v>
      </c>
      <c r="H513" s="575">
        <v>141000</v>
      </c>
    </row>
    <row r="514" spans="1:8" ht="15" customHeight="1">
      <c r="A514" s="3">
        <v>41625</v>
      </c>
      <c r="B514" s="132">
        <v>10315</v>
      </c>
      <c r="C514" s="318">
        <v>22800</v>
      </c>
      <c r="D514" s="404">
        <v>22800</v>
      </c>
      <c r="E514" s="404">
        <f t="shared" si="47"/>
        <v>-50</v>
      </c>
      <c r="H514" s="575">
        <v>141250</v>
      </c>
    </row>
    <row r="515" spans="1:8" ht="15" customHeight="1">
      <c r="A515" s="3">
        <v>41626</v>
      </c>
      <c r="B515" s="132">
        <v>10210</v>
      </c>
      <c r="C515" s="318">
        <v>22750</v>
      </c>
      <c r="D515" s="404">
        <v>22725</v>
      </c>
      <c r="E515" s="404">
        <f t="shared" si="47"/>
        <v>-50</v>
      </c>
      <c r="H515" s="575">
        <v>141250</v>
      </c>
    </row>
    <row r="516" spans="1:8" ht="15" customHeight="1">
      <c r="A516" s="3">
        <v>41627</v>
      </c>
      <c r="B516" s="132">
        <v>10210</v>
      </c>
      <c r="C516" s="318">
        <v>22850</v>
      </c>
      <c r="D516" s="404">
        <v>22850</v>
      </c>
      <c r="E516" s="404">
        <f t="shared" si="47"/>
        <v>100</v>
      </c>
      <c r="H516" s="575">
        <v>141250</v>
      </c>
    </row>
    <row r="517" spans="1:8" ht="15" customHeight="1">
      <c r="A517" s="3">
        <v>41628</v>
      </c>
      <c r="B517" s="132">
        <v>10235</v>
      </c>
      <c r="C517" s="318">
        <v>22875</v>
      </c>
      <c r="D517" s="404">
        <v>22900</v>
      </c>
      <c r="E517" s="404">
        <f t="shared" si="47"/>
        <v>25</v>
      </c>
      <c r="H517" s="575">
        <v>141500</v>
      </c>
    </row>
    <row r="518" spans="1:8" ht="15" customHeight="1">
      <c r="A518" s="3">
        <v>41631</v>
      </c>
      <c r="B518" s="132">
        <v>10235</v>
      </c>
      <c r="C518" s="318">
        <v>22855</v>
      </c>
      <c r="D518" s="404">
        <v>22855</v>
      </c>
      <c r="E518" s="404">
        <f t="shared" si="47"/>
        <v>-20</v>
      </c>
      <c r="H518" s="575">
        <v>141500</v>
      </c>
    </row>
    <row r="519" spans="1:8" ht="15" customHeight="1">
      <c r="A519" s="3">
        <v>41632</v>
      </c>
      <c r="B519" s="132">
        <v>10005</v>
      </c>
      <c r="C519" s="318">
        <v>22945</v>
      </c>
      <c r="D519" s="404">
        <v>22920</v>
      </c>
      <c r="E519" s="404">
        <f t="shared" si="47"/>
        <v>90</v>
      </c>
      <c r="H519" s="575">
        <v>141250</v>
      </c>
    </row>
    <row r="520" spans="1:8" ht="15" customHeight="1">
      <c r="A520" s="3">
        <v>41633</v>
      </c>
      <c r="B520" s="1069" t="s">
        <v>70</v>
      </c>
      <c r="C520" s="1069"/>
      <c r="D520" s="1069"/>
      <c r="E520" s="1069"/>
      <c r="H520" s="575">
        <v>142250</v>
      </c>
    </row>
    <row r="521" spans="1:8" ht="15" customHeight="1">
      <c r="A521" s="3">
        <v>41634</v>
      </c>
      <c r="B521" s="1069" t="s">
        <v>70</v>
      </c>
      <c r="C521" s="1069"/>
      <c r="D521" s="1069"/>
      <c r="E521" s="1069"/>
      <c r="H521" s="575">
        <v>142250</v>
      </c>
    </row>
    <row r="522" spans="1:8" ht="15" customHeight="1">
      <c r="A522" s="3">
        <v>41635</v>
      </c>
      <c r="B522" s="132">
        <v>10005</v>
      </c>
      <c r="C522" s="318">
        <v>23000</v>
      </c>
      <c r="D522" s="404">
        <v>23000</v>
      </c>
      <c r="E522" s="404">
        <f t="shared" ref="E522:E583" si="48">C522-C521</f>
        <v>23000</v>
      </c>
      <c r="H522" s="575">
        <v>143000</v>
      </c>
    </row>
    <row r="523" spans="1:8" ht="15" customHeight="1">
      <c r="A523" s="3">
        <v>41638</v>
      </c>
      <c r="B523" s="132">
        <v>9995</v>
      </c>
      <c r="C523" s="318">
        <v>22800</v>
      </c>
      <c r="D523" s="404">
        <v>22775</v>
      </c>
      <c r="E523" s="404">
        <f t="shared" si="48"/>
        <v>-200</v>
      </c>
      <c r="H523" s="575">
        <v>143000</v>
      </c>
    </row>
    <row r="524" spans="1:8" ht="15" customHeight="1" thickBot="1">
      <c r="A524" s="470">
        <v>41639</v>
      </c>
      <c r="B524" s="142">
        <v>9685</v>
      </c>
      <c r="C524" s="317">
        <v>22550</v>
      </c>
      <c r="D524" s="449">
        <v>22550</v>
      </c>
      <c r="E524" s="449">
        <f t="shared" si="48"/>
        <v>-250</v>
      </c>
      <c r="F524" s="441">
        <f>AVERAGE(C503:C524)</f>
        <v>22835</v>
      </c>
      <c r="G524" s="442">
        <f>AVERAGE(C265:C524)</f>
        <v>22304.18972332016</v>
      </c>
      <c r="H524" s="576">
        <v>142500</v>
      </c>
    </row>
    <row r="525" spans="1:8" ht="15" customHeight="1">
      <c r="A525" s="469">
        <v>41641</v>
      </c>
      <c r="B525" s="132">
        <v>9660</v>
      </c>
      <c r="C525" s="318">
        <v>22490</v>
      </c>
      <c r="D525" s="404">
        <v>22475</v>
      </c>
      <c r="E525" s="404">
        <f t="shared" si="48"/>
        <v>-60</v>
      </c>
      <c r="H525" s="575">
        <v>141250</v>
      </c>
    </row>
    <row r="526" spans="1:8" ht="15" customHeight="1">
      <c r="A526" s="472">
        <v>41642</v>
      </c>
      <c r="B526" s="132">
        <v>9705</v>
      </c>
      <c r="C526" s="318">
        <v>21580</v>
      </c>
      <c r="D526" s="404">
        <v>21555</v>
      </c>
      <c r="E526" s="404">
        <f t="shared" si="48"/>
        <v>-910</v>
      </c>
      <c r="H526" s="575">
        <v>141250</v>
      </c>
    </row>
    <row r="527" spans="1:8" ht="15" customHeight="1">
      <c r="A527" s="473">
        <v>41645</v>
      </c>
      <c r="B527" s="132">
        <v>9655</v>
      </c>
      <c r="C527" s="318">
        <v>21500</v>
      </c>
      <c r="D527" s="404">
        <v>21410</v>
      </c>
      <c r="E527" s="404">
        <f t="shared" si="48"/>
        <v>-80</v>
      </c>
      <c r="H527" s="575">
        <v>141000</v>
      </c>
    </row>
    <row r="528" spans="1:8" ht="15" customHeight="1">
      <c r="A528" s="476">
        <v>41646</v>
      </c>
      <c r="B528" s="132">
        <v>9725</v>
      </c>
      <c r="C528" s="318">
        <v>21720</v>
      </c>
      <c r="D528" s="404">
        <v>21725</v>
      </c>
      <c r="E528" s="404">
        <f t="shared" si="48"/>
        <v>220</v>
      </c>
      <c r="G528" s="904">
        <f>AVERAGE(C525:C528)</f>
        <v>21822.5</v>
      </c>
      <c r="H528" s="575">
        <v>140750</v>
      </c>
    </row>
    <row r="529" spans="1:8" ht="15" customHeight="1">
      <c r="A529" s="477">
        <v>41647</v>
      </c>
      <c r="B529" s="132">
        <v>9560</v>
      </c>
      <c r="C529" s="318">
        <v>22075</v>
      </c>
      <c r="D529" s="404">
        <v>22050</v>
      </c>
      <c r="E529" s="404">
        <f t="shared" si="48"/>
        <v>355</v>
      </c>
      <c r="H529" s="575">
        <v>141500</v>
      </c>
    </row>
    <row r="530" spans="1:8" ht="15" customHeight="1">
      <c r="A530" s="480">
        <v>41648</v>
      </c>
      <c r="B530" s="132">
        <v>9610</v>
      </c>
      <c r="C530" s="318">
        <v>21825</v>
      </c>
      <c r="D530" s="404">
        <v>21800</v>
      </c>
      <c r="E530" s="404">
        <f t="shared" si="48"/>
        <v>-250</v>
      </c>
      <c r="H530" s="575">
        <v>142250</v>
      </c>
    </row>
    <row r="531" spans="1:8" ht="15" customHeight="1">
      <c r="A531" s="483">
        <v>41649</v>
      </c>
      <c r="B531" s="132">
        <v>9660</v>
      </c>
      <c r="C531" s="318">
        <v>21850</v>
      </c>
      <c r="D531" s="404">
        <v>21850</v>
      </c>
      <c r="E531" s="404">
        <f t="shared" si="48"/>
        <v>25</v>
      </c>
      <c r="H531" s="575">
        <v>142500</v>
      </c>
    </row>
    <row r="532" spans="1:8" ht="15" customHeight="1">
      <c r="A532" s="485">
        <v>41652</v>
      </c>
      <c r="B532" s="132">
        <v>9620</v>
      </c>
      <c r="C532" s="318">
        <v>21905</v>
      </c>
      <c r="D532" s="404">
        <v>21900</v>
      </c>
      <c r="E532" s="404">
        <f t="shared" si="48"/>
        <v>55</v>
      </c>
      <c r="H532" s="575">
        <v>142750</v>
      </c>
    </row>
    <row r="533" spans="1:8" ht="15" customHeight="1">
      <c r="A533" s="486">
        <v>41653</v>
      </c>
      <c r="B533" s="132">
        <v>9600</v>
      </c>
      <c r="C533" s="318">
        <v>22245</v>
      </c>
      <c r="D533" s="404">
        <v>22225</v>
      </c>
      <c r="E533" s="404">
        <f t="shared" si="48"/>
        <v>340</v>
      </c>
      <c r="H533" s="575">
        <v>143000</v>
      </c>
    </row>
    <row r="534" spans="1:8" ht="15" customHeight="1">
      <c r="A534" s="488">
        <v>41654</v>
      </c>
      <c r="B534" s="132">
        <v>9580</v>
      </c>
      <c r="C534" s="318">
        <v>22100</v>
      </c>
      <c r="D534" s="404">
        <v>22100</v>
      </c>
      <c r="E534" s="404">
        <f t="shared" si="48"/>
        <v>-145</v>
      </c>
      <c r="H534" s="575">
        <v>143000</v>
      </c>
    </row>
    <row r="535" spans="1:8" ht="15" customHeight="1">
      <c r="A535" s="489">
        <v>41655</v>
      </c>
      <c r="B535" s="132">
        <v>9530</v>
      </c>
      <c r="C535" s="318">
        <v>22425</v>
      </c>
      <c r="D535" s="404">
        <v>22395</v>
      </c>
      <c r="E535" s="404">
        <f t="shared" si="48"/>
        <v>325</v>
      </c>
      <c r="H535" s="575">
        <v>143000</v>
      </c>
    </row>
    <row r="536" spans="1:8" ht="15" customHeight="1">
      <c r="A536" s="493">
        <v>41656</v>
      </c>
      <c r="B536" s="132">
        <v>9470</v>
      </c>
      <c r="C536" s="318">
        <v>22400</v>
      </c>
      <c r="D536" s="404">
        <v>22410</v>
      </c>
      <c r="E536" s="404">
        <f t="shared" si="48"/>
        <v>-25</v>
      </c>
      <c r="H536" s="575">
        <v>143000</v>
      </c>
    </row>
    <row r="537" spans="1:8" ht="15" customHeight="1">
      <c r="A537" s="506">
        <v>41659</v>
      </c>
      <c r="B537" s="132">
        <v>9470</v>
      </c>
      <c r="C537" s="318">
        <v>22290</v>
      </c>
      <c r="D537" s="404">
        <v>22300</v>
      </c>
      <c r="E537" s="404">
        <f t="shared" si="48"/>
        <v>-110</v>
      </c>
      <c r="H537" s="575">
        <v>143000</v>
      </c>
    </row>
    <row r="538" spans="1:8" ht="15" customHeight="1">
      <c r="A538" s="509">
        <v>41660</v>
      </c>
      <c r="B538" s="132">
        <v>9510</v>
      </c>
      <c r="C538" s="318">
        <v>22150</v>
      </c>
      <c r="D538" s="404">
        <v>22125</v>
      </c>
      <c r="E538" s="404">
        <f t="shared" si="48"/>
        <v>-140</v>
      </c>
      <c r="H538" s="575">
        <v>142500</v>
      </c>
    </row>
    <row r="539" spans="1:8" ht="15" customHeight="1">
      <c r="A539" s="511">
        <v>41661</v>
      </c>
      <c r="B539" s="132">
        <v>9260</v>
      </c>
      <c r="C539" s="318">
        <v>22240</v>
      </c>
      <c r="D539" s="404">
        <v>22225</v>
      </c>
      <c r="E539" s="404">
        <f t="shared" si="48"/>
        <v>90</v>
      </c>
      <c r="H539" s="575">
        <v>141500</v>
      </c>
    </row>
    <row r="540" spans="1:8" ht="15" customHeight="1">
      <c r="A540" s="514">
        <v>41662</v>
      </c>
      <c r="B540" s="132">
        <v>9170</v>
      </c>
      <c r="C540" s="318">
        <v>22175</v>
      </c>
      <c r="D540" s="404">
        <v>22200</v>
      </c>
      <c r="E540" s="404">
        <f t="shared" si="48"/>
        <v>-65</v>
      </c>
      <c r="H540" s="575">
        <v>141500</v>
      </c>
    </row>
    <row r="541" spans="1:8" ht="15" customHeight="1">
      <c r="A541" s="515">
        <v>41663</v>
      </c>
      <c r="B541" s="132">
        <v>9100</v>
      </c>
      <c r="C541" s="318">
        <v>22125</v>
      </c>
      <c r="D541" s="404">
        <v>22100</v>
      </c>
      <c r="E541" s="404">
        <f t="shared" si="48"/>
        <v>-50</v>
      </c>
      <c r="H541" s="575">
        <v>141500</v>
      </c>
    </row>
    <row r="542" spans="1:8" ht="15" customHeight="1">
      <c r="A542" s="517">
        <v>41666</v>
      </c>
      <c r="B542" s="132">
        <v>9065</v>
      </c>
      <c r="C542" s="318">
        <v>22000</v>
      </c>
      <c r="D542" s="404">
        <v>22000</v>
      </c>
      <c r="E542" s="404">
        <f t="shared" si="48"/>
        <v>-125</v>
      </c>
      <c r="H542" s="575">
        <v>141500</v>
      </c>
    </row>
    <row r="543" spans="1:8" ht="15" customHeight="1">
      <c r="A543" s="519">
        <v>41667</v>
      </c>
      <c r="B543" s="132">
        <v>8905</v>
      </c>
      <c r="C543" s="318">
        <v>22105</v>
      </c>
      <c r="D543" s="404">
        <v>22100</v>
      </c>
      <c r="E543" s="404">
        <f t="shared" si="48"/>
        <v>105</v>
      </c>
      <c r="F543" s="444"/>
      <c r="G543" s="444"/>
      <c r="H543" s="575">
        <v>141500</v>
      </c>
    </row>
    <row r="544" spans="1:8" ht="15" customHeight="1">
      <c r="A544" s="522">
        <v>41668</v>
      </c>
      <c r="B544" s="132">
        <v>8885</v>
      </c>
      <c r="C544" s="318">
        <v>22145</v>
      </c>
      <c r="D544" s="404">
        <v>22150</v>
      </c>
      <c r="E544" s="404">
        <f t="shared" si="48"/>
        <v>40</v>
      </c>
      <c r="F544" s="444"/>
      <c r="G544" s="444"/>
      <c r="H544" s="575">
        <v>141500</v>
      </c>
    </row>
    <row r="545" spans="1:8" ht="15" customHeight="1">
      <c r="A545" s="522">
        <v>41669</v>
      </c>
      <c r="B545" s="132">
        <v>8885</v>
      </c>
      <c r="C545" s="318">
        <v>22305</v>
      </c>
      <c r="D545" s="404">
        <v>22125</v>
      </c>
      <c r="E545" s="404">
        <f t="shared" si="48"/>
        <v>160</v>
      </c>
      <c r="F545" s="444"/>
      <c r="G545" s="444"/>
      <c r="H545" s="575">
        <v>141500</v>
      </c>
    </row>
    <row r="546" spans="1:8" ht="15" customHeight="1" thickBot="1">
      <c r="A546" s="523">
        <v>41670</v>
      </c>
      <c r="B546" s="142">
        <v>8885</v>
      </c>
      <c r="C546" s="317">
        <v>21925</v>
      </c>
      <c r="D546" s="449">
        <v>21900</v>
      </c>
      <c r="E546" s="449">
        <f t="shared" si="48"/>
        <v>-380</v>
      </c>
      <c r="F546" s="441">
        <f>AVERAGE(C525:C546)</f>
        <v>22071.590909090908</v>
      </c>
      <c r="G546" s="442">
        <f>AVERAGE(C525:C546)</f>
        <v>22071.590909090908</v>
      </c>
      <c r="H546" s="577" t="s">
        <v>165</v>
      </c>
    </row>
    <row r="547" spans="1:8" ht="15" customHeight="1">
      <c r="A547" s="526">
        <v>41673</v>
      </c>
      <c r="B547" s="132">
        <v>8890</v>
      </c>
      <c r="C547" s="318">
        <v>22200</v>
      </c>
      <c r="D547" s="404">
        <v>22100</v>
      </c>
      <c r="E547" s="404">
        <f t="shared" si="48"/>
        <v>275</v>
      </c>
      <c r="H547" s="1094" t="s">
        <v>165</v>
      </c>
    </row>
    <row r="548" spans="1:8" ht="15" customHeight="1">
      <c r="A548" s="528">
        <v>41674</v>
      </c>
      <c r="B548" s="132">
        <v>8890</v>
      </c>
      <c r="C548" s="318">
        <v>22330</v>
      </c>
      <c r="D548" s="404">
        <v>22275</v>
      </c>
      <c r="E548" s="404">
        <f t="shared" si="48"/>
        <v>130</v>
      </c>
      <c r="H548" s="1095"/>
    </row>
    <row r="549" spans="1:8" ht="15" customHeight="1">
      <c r="A549" s="531">
        <v>41675</v>
      </c>
      <c r="B549" s="132">
        <v>8890</v>
      </c>
      <c r="C549" s="318">
        <v>22150</v>
      </c>
      <c r="D549" s="404">
        <v>22175</v>
      </c>
      <c r="E549" s="404">
        <f t="shared" si="48"/>
        <v>-180</v>
      </c>
      <c r="H549" s="1095"/>
    </row>
    <row r="550" spans="1:8" ht="15" customHeight="1">
      <c r="A550" s="534">
        <v>41676</v>
      </c>
      <c r="B550" s="132">
        <v>8940</v>
      </c>
      <c r="C550" s="318">
        <v>22060</v>
      </c>
      <c r="D550" s="404">
        <v>22030</v>
      </c>
      <c r="E550" s="404">
        <f t="shared" si="48"/>
        <v>-90</v>
      </c>
      <c r="H550" s="1095"/>
    </row>
    <row r="551" spans="1:8" ht="15" customHeight="1">
      <c r="A551" s="536">
        <v>41677</v>
      </c>
      <c r="B551" s="132">
        <v>8940</v>
      </c>
      <c r="C551" s="318">
        <v>22270</v>
      </c>
      <c r="D551" s="404">
        <v>22250</v>
      </c>
      <c r="E551" s="404">
        <f t="shared" si="48"/>
        <v>210</v>
      </c>
      <c r="H551" s="575">
        <v>141500</v>
      </c>
    </row>
    <row r="552" spans="1:8" ht="15" customHeight="1">
      <c r="A552" s="547">
        <v>41680</v>
      </c>
      <c r="B552" s="132">
        <v>8940</v>
      </c>
      <c r="C552" s="318">
        <v>22235</v>
      </c>
      <c r="D552" s="404">
        <v>22185</v>
      </c>
      <c r="E552" s="404">
        <f t="shared" si="48"/>
        <v>-35</v>
      </c>
      <c r="H552" s="575">
        <v>141000</v>
      </c>
    </row>
    <row r="553" spans="1:8" ht="15" customHeight="1">
      <c r="A553" s="551">
        <v>41681</v>
      </c>
      <c r="B553" s="132">
        <v>8815</v>
      </c>
      <c r="C553" s="318">
        <v>22290</v>
      </c>
      <c r="D553" s="404">
        <v>22260</v>
      </c>
      <c r="E553" s="404">
        <f t="shared" si="48"/>
        <v>55</v>
      </c>
      <c r="H553" s="575">
        <v>140500</v>
      </c>
    </row>
    <row r="554" spans="1:8" ht="15" customHeight="1">
      <c r="A554" s="551">
        <v>41682</v>
      </c>
      <c r="B554" s="132">
        <v>8790</v>
      </c>
      <c r="C554" s="318">
        <v>22425</v>
      </c>
      <c r="D554" s="404">
        <v>22370</v>
      </c>
      <c r="E554" s="404">
        <f t="shared" si="48"/>
        <v>135</v>
      </c>
      <c r="H554" s="575">
        <v>140500</v>
      </c>
    </row>
    <row r="555" spans="1:8" ht="15" customHeight="1">
      <c r="A555" s="582">
        <v>41683</v>
      </c>
      <c r="B555" s="591">
        <v>8840</v>
      </c>
      <c r="C555" s="599">
        <v>22600</v>
      </c>
      <c r="D555" s="601">
        <v>22570</v>
      </c>
      <c r="E555" s="601">
        <f t="shared" si="48"/>
        <v>175</v>
      </c>
      <c r="H555" s="575">
        <v>141000</v>
      </c>
    </row>
    <row r="556" spans="1:8" ht="15" customHeight="1">
      <c r="A556" s="582">
        <v>41684</v>
      </c>
      <c r="B556" s="591">
        <v>8805</v>
      </c>
      <c r="C556" s="599">
        <v>22930</v>
      </c>
      <c r="D556" s="601">
        <v>22925</v>
      </c>
      <c r="E556" s="601">
        <f t="shared" si="48"/>
        <v>330</v>
      </c>
      <c r="H556" s="575">
        <v>141250</v>
      </c>
    </row>
    <row r="557" spans="1:8" ht="15" customHeight="1">
      <c r="A557" s="582">
        <v>41687</v>
      </c>
      <c r="B557" s="591">
        <v>8745</v>
      </c>
      <c r="C557" s="599">
        <v>23230</v>
      </c>
      <c r="D557" s="601">
        <v>23155</v>
      </c>
      <c r="E557" s="601">
        <f t="shared" si="48"/>
        <v>300</v>
      </c>
      <c r="H557" s="575">
        <v>142500</v>
      </c>
    </row>
    <row r="558" spans="1:8" ht="15" customHeight="1">
      <c r="A558" s="610">
        <v>41688</v>
      </c>
      <c r="B558" s="591">
        <v>8725</v>
      </c>
      <c r="C558" s="318">
        <v>23095</v>
      </c>
      <c r="D558" s="404">
        <v>23070</v>
      </c>
      <c r="E558" s="601">
        <f t="shared" si="48"/>
        <v>-135</v>
      </c>
      <c r="H558" s="575">
        <v>143250</v>
      </c>
    </row>
    <row r="559" spans="1:8" ht="15" customHeight="1">
      <c r="A559" s="611">
        <v>41689</v>
      </c>
      <c r="B559" s="591">
        <v>8595</v>
      </c>
      <c r="C559" s="318">
        <v>23230</v>
      </c>
      <c r="D559" s="404">
        <v>23175</v>
      </c>
      <c r="E559" s="601">
        <f t="shared" si="48"/>
        <v>135</v>
      </c>
      <c r="H559" s="575">
        <v>143250</v>
      </c>
    </row>
    <row r="560" spans="1:8" ht="15" customHeight="1">
      <c r="A560" s="614">
        <v>41690</v>
      </c>
      <c r="B560" s="591">
        <v>8430</v>
      </c>
      <c r="C560" s="318">
        <v>23050</v>
      </c>
      <c r="D560" s="404">
        <v>23000</v>
      </c>
      <c r="E560" s="601">
        <f t="shared" si="48"/>
        <v>-180</v>
      </c>
      <c r="H560" s="575">
        <v>142750</v>
      </c>
    </row>
    <row r="561" spans="1:8" ht="15" customHeight="1">
      <c r="A561" s="616">
        <v>41691</v>
      </c>
      <c r="B561" s="591">
        <v>8430</v>
      </c>
      <c r="C561" s="599">
        <v>23130</v>
      </c>
      <c r="D561" s="601">
        <v>23100</v>
      </c>
      <c r="E561" s="601">
        <f t="shared" si="48"/>
        <v>80</v>
      </c>
      <c r="H561" s="575">
        <v>142750</v>
      </c>
    </row>
    <row r="562" spans="1:8" ht="15" customHeight="1">
      <c r="A562" s="617">
        <v>41694</v>
      </c>
      <c r="B562" s="591">
        <v>8375</v>
      </c>
      <c r="C562" s="599">
        <v>23100</v>
      </c>
      <c r="D562" s="601">
        <v>23095</v>
      </c>
      <c r="E562" s="601">
        <f t="shared" si="48"/>
        <v>-30</v>
      </c>
      <c r="H562" s="575">
        <v>142000</v>
      </c>
    </row>
    <row r="563" spans="1:8" ht="15" customHeight="1">
      <c r="A563" s="619">
        <v>41695</v>
      </c>
      <c r="B563" s="132">
        <v>8365</v>
      </c>
      <c r="C563" s="599">
        <v>23150</v>
      </c>
      <c r="D563" s="601">
        <v>23150</v>
      </c>
      <c r="E563" s="601">
        <f t="shared" si="48"/>
        <v>50</v>
      </c>
      <c r="H563" s="575">
        <v>141250</v>
      </c>
    </row>
    <row r="564" spans="1:8" ht="15" customHeight="1">
      <c r="A564" s="621">
        <v>41696</v>
      </c>
      <c r="B564" s="591">
        <v>8365</v>
      </c>
      <c r="C564" s="599">
        <v>23575</v>
      </c>
      <c r="D564" s="601">
        <v>23575</v>
      </c>
      <c r="E564" s="601">
        <f t="shared" si="48"/>
        <v>425</v>
      </c>
      <c r="H564" s="575">
        <v>142000</v>
      </c>
    </row>
    <row r="565" spans="1:8" ht="15" customHeight="1">
      <c r="A565" s="623">
        <v>41697</v>
      </c>
      <c r="B565" s="132">
        <v>8415</v>
      </c>
      <c r="C565" s="599">
        <v>23590</v>
      </c>
      <c r="D565" s="601">
        <v>23515</v>
      </c>
      <c r="E565" s="601">
        <f t="shared" si="48"/>
        <v>15</v>
      </c>
      <c r="H565" s="575">
        <v>143000</v>
      </c>
    </row>
    <row r="566" spans="1:8" ht="15" customHeight="1" thickBot="1">
      <c r="A566" s="624">
        <v>41698</v>
      </c>
      <c r="B566" s="142">
        <v>8065</v>
      </c>
      <c r="C566" s="317">
        <v>23545</v>
      </c>
      <c r="D566" s="449">
        <v>23525</v>
      </c>
      <c r="E566" s="449">
        <f t="shared" si="48"/>
        <v>-45</v>
      </c>
      <c r="F566" s="441">
        <f>AVERAGE(C547:C566)</f>
        <v>22809.25</v>
      </c>
      <c r="G566" s="442">
        <f>AVERAGE(C525:C566)</f>
        <v>22422.857142857141</v>
      </c>
      <c r="H566" s="576">
        <v>143000</v>
      </c>
    </row>
    <row r="567" spans="1:8" ht="15" customHeight="1">
      <c r="A567" s="636">
        <v>41701</v>
      </c>
      <c r="B567" s="591">
        <v>9085</v>
      </c>
      <c r="C567" s="599">
        <v>23130</v>
      </c>
      <c r="D567" s="601">
        <v>23030</v>
      </c>
      <c r="E567" s="601">
        <f t="shared" si="48"/>
        <v>-415</v>
      </c>
      <c r="H567" s="575">
        <v>142750</v>
      </c>
    </row>
    <row r="568" spans="1:8" ht="15" customHeight="1">
      <c r="A568" s="637">
        <v>41702</v>
      </c>
      <c r="B568" s="591">
        <v>9170</v>
      </c>
      <c r="C568" s="599">
        <v>23225</v>
      </c>
      <c r="D568" s="601">
        <v>23200</v>
      </c>
      <c r="E568" s="601">
        <f t="shared" si="48"/>
        <v>95</v>
      </c>
      <c r="H568" s="575">
        <v>142750</v>
      </c>
    </row>
    <row r="569" spans="1:8" ht="15" customHeight="1">
      <c r="A569" s="642">
        <v>41703</v>
      </c>
      <c r="B569" s="591">
        <v>9150</v>
      </c>
      <c r="C569" s="599">
        <v>23350</v>
      </c>
      <c r="D569" s="601">
        <v>23330</v>
      </c>
      <c r="E569" s="601">
        <f t="shared" si="48"/>
        <v>125</v>
      </c>
      <c r="H569" s="575">
        <v>142500</v>
      </c>
    </row>
    <row r="570" spans="1:8" ht="15" customHeight="1">
      <c r="A570" s="643">
        <v>41704</v>
      </c>
      <c r="B570" s="591">
        <v>9125</v>
      </c>
      <c r="C570" s="599">
        <v>23305</v>
      </c>
      <c r="D570" s="601">
        <v>23260</v>
      </c>
      <c r="E570" s="601">
        <f t="shared" si="48"/>
        <v>-45</v>
      </c>
      <c r="H570" s="575">
        <v>142500</v>
      </c>
    </row>
    <row r="571" spans="1:8" ht="15" customHeight="1">
      <c r="A571" s="648">
        <v>41705</v>
      </c>
      <c r="B571" s="591">
        <v>9105</v>
      </c>
      <c r="C571" s="599">
        <v>23135</v>
      </c>
      <c r="D571" s="601">
        <v>23125</v>
      </c>
      <c r="E571" s="601">
        <f t="shared" si="48"/>
        <v>-170</v>
      </c>
      <c r="H571" s="575">
        <v>142500</v>
      </c>
    </row>
    <row r="572" spans="1:8" ht="15" customHeight="1">
      <c r="A572" s="649">
        <v>41708</v>
      </c>
      <c r="B572" s="591">
        <v>9205</v>
      </c>
      <c r="C572" s="599">
        <v>22855</v>
      </c>
      <c r="D572" s="601">
        <v>22830</v>
      </c>
      <c r="E572" s="601">
        <f t="shared" si="48"/>
        <v>-280</v>
      </c>
      <c r="H572" s="575">
        <v>141250</v>
      </c>
    </row>
    <row r="573" spans="1:8" ht="15" customHeight="1">
      <c r="A573" s="652">
        <v>41709</v>
      </c>
      <c r="B573" s="591">
        <v>9140</v>
      </c>
      <c r="C573" s="599">
        <v>23255</v>
      </c>
      <c r="D573" s="601">
        <v>23245</v>
      </c>
      <c r="E573" s="601">
        <f t="shared" si="48"/>
        <v>400</v>
      </c>
      <c r="H573" s="575">
        <v>140250</v>
      </c>
    </row>
    <row r="574" spans="1:8" ht="15" customHeight="1">
      <c r="A574" s="654">
        <v>41710</v>
      </c>
      <c r="B574" s="591">
        <v>9035</v>
      </c>
      <c r="C574" s="599">
        <v>22970</v>
      </c>
      <c r="D574" s="601">
        <v>22950</v>
      </c>
      <c r="E574" s="601">
        <f t="shared" si="48"/>
        <v>-285</v>
      </c>
      <c r="H574" s="575">
        <v>139750</v>
      </c>
    </row>
    <row r="575" spans="1:8" ht="15" customHeight="1">
      <c r="A575" s="656">
        <v>41711</v>
      </c>
      <c r="B575" s="591">
        <v>9050</v>
      </c>
      <c r="C575" s="599">
        <v>22780</v>
      </c>
      <c r="D575" s="601">
        <v>22775</v>
      </c>
      <c r="E575" s="601">
        <f t="shared" si="48"/>
        <v>-190</v>
      </c>
      <c r="H575" s="575">
        <v>139750</v>
      </c>
    </row>
    <row r="576" spans="1:8" ht="15" customHeight="1">
      <c r="A576" s="658">
        <v>41712</v>
      </c>
      <c r="B576" s="591">
        <v>9085</v>
      </c>
      <c r="C576" s="599">
        <v>23095</v>
      </c>
      <c r="D576" s="601">
        <v>23100</v>
      </c>
      <c r="E576" s="601">
        <f t="shared" si="48"/>
        <v>315</v>
      </c>
      <c r="H576" s="575">
        <v>140000</v>
      </c>
    </row>
    <row r="577" spans="1:8" ht="15" customHeight="1">
      <c r="A577" s="660">
        <v>41715</v>
      </c>
      <c r="B577" s="591">
        <v>9105</v>
      </c>
      <c r="C577" s="599">
        <v>22900</v>
      </c>
      <c r="D577" s="601">
        <v>22910</v>
      </c>
      <c r="E577" s="601">
        <f t="shared" si="48"/>
        <v>-195</v>
      </c>
      <c r="H577" s="575">
        <v>140500</v>
      </c>
    </row>
    <row r="578" spans="1:8" ht="15" customHeight="1">
      <c r="A578" s="662">
        <v>41716</v>
      </c>
      <c r="B578" s="591">
        <v>9100</v>
      </c>
      <c r="C578" s="599">
        <v>23125</v>
      </c>
      <c r="D578" s="601">
        <v>23095</v>
      </c>
      <c r="E578" s="601">
        <f t="shared" si="48"/>
        <v>225</v>
      </c>
      <c r="H578" s="575">
        <v>140500</v>
      </c>
    </row>
    <row r="579" spans="1:8" ht="15" customHeight="1">
      <c r="A579" s="665">
        <v>41717</v>
      </c>
      <c r="B579" s="591">
        <v>9195</v>
      </c>
      <c r="C579" s="599">
        <v>23225</v>
      </c>
      <c r="D579" s="601">
        <v>23225</v>
      </c>
      <c r="E579" s="601">
        <f t="shared" si="48"/>
        <v>100</v>
      </c>
      <c r="H579" s="575">
        <v>140500</v>
      </c>
    </row>
    <row r="580" spans="1:8" ht="15" customHeight="1">
      <c r="A580" s="668">
        <v>41718</v>
      </c>
      <c r="B580" s="591">
        <v>9245</v>
      </c>
      <c r="C580" s="599">
        <v>23125</v>
      </c>
      <c r="D580" s="601">
        <v>23125</v>
      </c>
      <c r="E580" s="601">
        <f t="shared" si="48"/>
        <v>-100</v>
      </c>
      <c r="H580" s="575">
        <v>140500</v>
      </c>
    </row>
    <row r="581" spans="1:8" ht="15" customHeight="1">
      <c r="A581" s="670">
        <v>41719</v>
      </c>
      <c r="B581" s="591">
        <v>9430</v>
      </c>
      <c r="C581" s="599">
        <v>23000</v>
      </c>
      <c r="D581" s="601">
        <v>22950</v>
      </c>
      <c r="E581" s="601">
        <f t="shared" si="48"/>
        <v>-125</v>
      </c>
      <c r="H581" s="575">
        <v>140500</v>
      </c>
    </row>
    <row r="582" spans="1:8" ht="15" customHeight="1">
      <c r="A582" s="672">
        <v>41722</v>
      </c>
      <c r="B582" s="591">
        <v>9425</v>
      </c>
      <c r="C582" s="599">
        <v>22960</v>
      </c>
      <c r="D582" s="601">
        <v>22960</v>
      </c>
      <c r="E582" s="601">
        <f t="shared" si="48"/>
        <v>-40</v>
      </c>
      <c r="H582" s="575">
        <v>140500</v>
      </c>
    </row>
    <row r="583" spans="1:8" ht="15" customHeight="1">
      <c r="A583" s="675">
        <v>41723</v>
      </c>
      <c r="B583" s="591">
        <v>9395</v>
      </c>
      <c r="C583" s="599">
        <v>23230</v>
      </c>
      <c r="D583" s="601">
        <v>23200</v>
      </c>
      <c r="E583" s="601">
        <f t="shared" si="48"/>
        <v>270</v>
      </c>
      <c r="H583" s="575">
        <v>140500</v>
      </c>
    </row>
    <row r="584" spans="1:8" ht="15" customHeight="1">
      <c r="A584" s="677">
        <v>41724</v>
      </c>
      <c r="B584" s="591">
        <v>9360</v>
      </c>
      <c r="C584" s="599">
        <v>23275</v>
      </c>
      <c r="D584" s="601">
        <v>23200</v>
      </c>
      <c r="E584" s="601">
        <f t="shared" ref="E584:E600" si="49">C584-C583</f>
        <v>45</v>
      </c>
      <c r="H584" s="575">
        <v>140500</v>
      </c>
    </row>
    <row r="585" spans="1:8" ht="15" customHeight="1">
      <c r="A585" s="680">
        <v>41725</v>
      </c>
      <c r="B585" s="591">
        <v>9545</v>
      </c>
      <c r="C585" s="599">
        <v>23050</v>
      </c>
      <c r="D585" s="601">
        <v>23100</v>
      </c>
      <c r="E585" s="601">
        <f t="shared" si="49"/>
        <v>-225</v>
      </c>
      <c r="H585" s="575">
        <v>140250</v>
      </c>
    </row>
    <row r="586" spans="1:8" ht="15" customHeight="1">
      <c r="A586" s="682">
        <v>41726</v>
      </c>
      <c r="B586" s="591">
        <v>9545</v>
      </c>
      <c r="C586" s="599">
        <v>23050</v>
      </c>
      <c r="D586" s="601">
        <v>22950</v>
      </c>
      <c r="E586" s="601">
        <f t="shared" si="49"/>
        <v>0</v>
      </c>
      <c r="H586" s="575">
        <v>140000</v>
      </c>
    </row>
    <row r="587" spans="1:8" ht="15" customHeight="1" thickBot="1">
      <c r="A587" s="683">
        <v>41729</v>
      </c>
      <c r="B587" s="142">
        <v>9555</v>
      </c>
      <c r="C587" s="317">
        <v>23025</v>
      </c>
      <c r="D587" s="449">
        <v>22975</v>
      </c>
      <c r="E587" s="449">
        <f t="shared" si="49"/>
        <v>-25</v>
      </c>
      <c r="F587" s="441">
        <f>AVERAGE(C567:C587)</f>
        <v>23098.333333333332</v>
      </c>
      <c r="G587" s="442">
        <f>AVERAGE(C525:C587)</f>
        <v>22648.015873015873</v>
      </c>
      <c r="H587" s="576">
        <v>139000</v>
      </c>
    </row>
    <row r="588" spans="1:8" ht="15" customHeight="1">
      <c r="A588" s="686">
        <v>41730</v>
      </c>
      <c r="B588" s="591">
        <v>9555</v>
      </c>
      <c r="C588" s="599">
        <v>22910</v>
      </c>
      <c r="D588" s="601">
        <v>22875</v>
      </c>
      <c r="E588" s="601">
        <f t="shared" si="49"/>
        <v>-115</v>
      </c>
      <c r="H588" s="575">
        <v>138500</v>
      </c>
    </row>
    <row r="589" spans="1:8" ht="15" customHeight="1">
      <c r="A589" s="688">
        <v>41731</v>
      </c>
      <c r="B589" s="591">
        <v>9555</v>
      </c>
      <c r="C589" s="599">
        <v>23125</v>
      </c>
      <c r="D589" s="601">
        <v>23125</v>
      </c>
      <c r="E589" s="601">
        <f t="shared" si="49"/>
        <v>215</v>
      </c>
      <c r="H589" s="575">
        <v>138500</v>
      </c>
    </row>
    <row r="590" spans="1:8" ht="15" customHeight="1">
      <c r="A590" s="690">
        <v>41732</v>
      </c>
      <c r="B590" s="591">
        <v>9645</v>
      </c>
      <c r="C590" s="599">
        <v>23100</v>
      </c>
      <c r="D590" s="601">
        <v>23100</v>
      </c>
      <c r="E590" s="601">
        <f t="shared" si="49"/>
        <v>-25</v>
      </c>
      <c r="H590" s="575">
        <v>138500</v>
      </c>
    </row>
    <row r="591" spans="1:8" ht="15" customHeight="1">
      <c r="A591" s="691">
        <v>41733</v>
      </c>
      <c r="B591" s="591">
        <v>9645</v>
      </c>
      <c r="C591" s="599">
        <v>23185</v>
      </c>
      <c r="D591" s="601">
        <v>23105</v>
      </c>
      <c r="E591" s="601">
        <f t="shared" si="49"/>
        <v>85</v>
      </c>
      <c r="H591" s="575">
        <v>138750</v>
      </c>
    </row>
    <row r="592" spans="1:8" ht="15" customHeight="1" thickBot="1">
      <c r="A592" s="694">
        <v>41736</v>
      </c>
      <c r="B592" s="591">
        <v>9495</v>
      </c>
      <c r="C592" s="599">
        <v>23125</v>
      </c>
      <c r="D592" s="601">
        <v>23025</v>
      </c>
      <c r="E592" s="601">
        <f t="shared" si="49"/>
        <v>-60</v>
      </c>
      <c r="H592" s="731" t="s">
        <v>10</v>
      </c>
    </row>
    <row r="593" spans="1:8" ht="15" customHeight="1">
      <c r="A593" s="695">
        <v>41737</v>
      </c>
      <c r="B593" s="591">
        <v>9420</v>
      </c>
      <c r="C593" s="599">
        <v>23205</v>
      </c>
      <c r="D593" s="601">
        <v>23180</v>
      </c>
      <c r="E593" s="601">
        <f t="shared" si="49"/>
        <v>80</v>
      </c>
      <c r="H593" s="575">
        <v>139000</v>
      </c>
    </row>
    <row r="594" spans="1:8" ht="15" customHeight="1">
      <c r="A594" s="699">
        <v>41738</v>
      </c>
      <c r="B594" s="591">
        <v>9420</v>
      </c>
      <c r="C594" s="599">
        <v>23350</v>
      </c>
      <c r="D594" s="601">
        <v>23300</v>
      </c>
      <c r="E594" s="601">
        <f t="shared" si="49"/>
        <v>145</v>
      </c>
      <c r="H594" s="575">
        <v>139000</v>
      </c>
    </row>
    <row r="595" spans="1:8" ht="15" customHeight="1">
      <c r="A595" s="703">
        <v>41739</v>
      </c>
      <c r="B595" s="591">
        <v>9440</v>
      </c>
      <c r="C595" s="599">
        <v>23375</v>
      </c>
      <c r="D595" s="601">
        <v>23350</v>
      </c>
      <c r="E595" s="601">
        <f t="shared" si="49"/>
        <v>25</v>
      </c>
      <c r="H595" s="575">
        <v>139750</v>
      </c>
    </row>
    <row r="596" spans="1:8" ht="15" customHeight="1">
      <c r="A596" s="704">
        <v>41740</v>
      </c>
      <c r="B596" s="591">
        <v>9430</v>
      </c>
      <c r="C596" s="599">
        <v>23585</v>
      </c>
      <c r="D596" s="601">
        <v>23575</v>
      </c>
      <c r="E596" s="601">
        <f t="shared" si="49"/>
        <v>210</v>
      </c>
      <c r="H596" s="575">
        <v>140500</v>
      </c>
    </row>
    <row r="597" spans="1:8" ht="15" customHeight="1">
      <c r="A597" s="706">
        <v>41743</v>
      </c>
      <c r="B597" s="591">
        <v>9460</v>
      </c>
      <c r="C597" s="599">
        <v>23495</v>
      </c>
      <c r="D597" s="601">
        <v>23350</v>
      </c>
      <c r="E597" s="601">
        <f t="shared" si="49"/>
        <v>-90</v>
      </c>
      <c r="H597" s="575">
        <v>140750</v>
      </c>
    </row>
    <row r="598" spans="1:8" ht="15" customHeight="1">
      <c r="A598" s="709">
        <v>41744</v>
      </c>
      <c r="B598" s="591">
        <v>9475</v>
      </c>
      <c r="C598" s="599">
        <v>23475</v>
      </c>
      <c r="D598" s="601">
        <v>23375</v>
      </c>
      <c r="E598" s="601">
        <f t="shared" si="49"/>
        <v>-20</v>
      </c>
      <c r="H598" s="575">
        <v>140750</v>
      </c>
    </row>
    <row r="599" spans="1:8" ht="15" customHeight="1">
      <c r="A599" s="711">
        <v>41745</v>
      </c>
      <c r="B599" s="591">
        <v>9530</v>
      </c>
      <c r="C599" s="599">
        <v>23500</v>
      </c>
      <c r="D599" s="601">
        <v>23475</v>
      </c>
      <c r="E599" s="601">
        <f t="shared" si="49"/>
        <v>25</v>
      </c>
      <c r="H599" s="575">
        <v>140500</v>
      </c>
    </row>
    <row r="600" spans="1:8" ht="15" customHeight="1">
      <c r="A600" s="713">
        <v>41746</v>
      </c>
      <c r="B600" s="591">
        <v>9515</v>
      </c>
      <c r="C600" s="599">
        <v>23320</v>
      </c>
      <c r="D600" s="601">
        <v>23350</v>
      </c>
      <c r="E600" s="601">
        <f t="shared" si="49"/>
        <v>-180</v>
      </c>
      <c r="H600" s="575">
        <v>140500</v>
      </c>
    </row>
    <row r="601" spans="1:8" ht="15" customHeight="1">
      <c r="A601" s="714">
        <v>41747</v>
      </c>
      <c r="B601" s="591"/>
      <c r="C601" s="1050" t="s">
        <v>175</v>
      </c>
      <c r="D601" s="601"/>
      <c r="E601" s="601"/>
      <c r="H601" s="575">
        <v>140500</v>
      </c>
    </row>
    <row r="602" spans="1:8" ht="15" customHeight="1">
      <c r="A602" s="715">
        <v>41750</v>
      </c>
      <c r="B602" s="591"/>
      <c r="C602" s="1050"/>
      <c r="D602" s="601"/>
      <c r="E602" s="601"/>
      <c r="H602" s="575">
        <v>140500</v>
      </c>
    </row>
    <row r="603" spans="1:8" ht="15" customHeight="1">
      <c r="A603" s="715">
        <v>41751</v>
      </c>
      <c r="B603" s="591">
        <v>9515</v>
      </c>
      <c r="C603" s="599">
        <v>23675</v>
      </c>
      <c r="D603" s="601">
        <v>23550</v>
      </c>
      <c r="E603" s="601">
        <f>C603-C600</f>
        <v>355</v>
      </c>
      <c r="H603" s="575">
        <v>140500</v>
      </c>
    </row>
    <row r="604" spans="1:8" ht="15" customHeight="1">
      <c r="A604" s="715">
        <v>41752</v>
      </c>
      <c r="B604" s="591">
        <v>9415</v>
      </c>
      <c r="C604" s="599">
        <v>23725</v>
      </c>
      <c r="D604" s="601">
        <v>23650</v>
      </c>
      <c r="E604" s="601">
        <f t="shared" ref="E604:E611" si="50">C604-C603</f>
        <v>50</v>
      </c>
      <c r="H604" s="575">
        <v>140500</v>
      </c>
    </row>
    <row r="605" spans="1:8" ht="15" customHeight="1">
      <c r="A605" s="715">
        <v>41753</v>
      </c>
      <c r="B605" s="591">
        <v>9445</v>
      </c>
      <c r="C605" s="599">
        <v>23905</v>
      </c>
      <c r="D605" s="601">
        <v>23770</v>
      </c>
      <c r="E605" s="601">
        <f t="shared" si="50"/>
        <v>180</v>
      </c>
      <c r="H605" s="575">
        <v>140750</v>
      </c>
    </row>
    <row r="606" spans="1:8" ht="15" customHeight="1">
      <c r="A606" s="717">
        <v>41754</v>
      </c>
      <c r="B606" s="591">
        <v>9450</v>
      </c>
      <c r="C606" s="599">
        <v>23815</v>
      </c>
      <c r="D606" s="601">
        <v>23750</v>
      </c>
      <c r="E606" s="601">
        <f t="shared" si="50"/>
        <v>-90</v>
      </c>
      <c r="H606" s="575">
        <v>141750</v>
      </c>
    </row>
    <row r="607" spans="1:8" ht="15" customHeight="1">
      <c r="A607" s="718">
        <v>41757</v>
      </c>
      <c r="B607" s="591">
        <v>8845</v>
      </c>
      <c r="C607" s="599">
        <v>23800</v>
      </c>
      <c r="D607" s="601">
        <v>23700</v>
      </c>
      <c r="E607" s="601">
        <f t="shared" si="50"/>
        <v>-15</v>
      </c>
      <c r="H607" s="575">
        <v>142250</v>
      </c>
    </row>
    <row r="608" spans="1:8" ht="15" customHeight="1">
      <c r="A608" s="721">
        <v>41758</v>
      </c>
      <c r="B608" s="591">
        <v>9380</v>
      </c>
      <c r="C608" s="599">
        <v>23590</v>
      </c>
      <c r="D608" s="601">
        <v>23455</v>
      </c>
      <c r="E608" s="601">
        <f t="shared" si="50"/>
        <v>-210</v>
      </c>
      <c r="H608" s="575">
        <v>142250</v>
      </c>
    </row>
    <row r="609" spans="1:8" ht="15" customHeight="1" thickBot="1">
      <c r="A609" s="724">
        <v>41759</v>
      </c>
      <c r="B609" s="142">
        <v>9355</v>
      </c>
      <c r="C609" s="317">
        <v>23175</v>
      </c>
      <c r="D609" s="449">
        <v>23100</v>
      </c>
      <c r="E609" s="449">
        <f t="shared" si="50"/>
        <v>-415</v>
      </c>
      <c r="F609" s="441">
        <f>AVERAGE(C588:C609)</f>
        <v>23421.75</v>
      </c>
      <c r="G609" s="442">
        <f>AVERAGE(C525:C609)</f>
        <v>22834.457831325301</v>
      </c>
      <c r="H609" s="576">
        <v>141750</v>
      </c>
    </row>
    <row r="610" spans="1:8" ht="15" customHeight="1">
      <c r="A610" s="723">
        <v>41760</v>
      </c>
      <c r="B610" s="591">
        <v>9540</v>
      </c>
      <c r="C610" s="599">
        <v>23050</v>
      </c>
      <c r="D610" s="601">
        <v>23050</v>
      </c>
      <c r="E610" s="601">
        <f t="shared" si="50"/>
        <v>-125</v>
      </c>
      <c r="H610" s="732" t="s">
        <v>146</v>
      </c>
    </row>
    <row r="611" spans="1:8" ht="15" customHeight="1">
      <c r="A611" s="727">
        <v>41761</v>
      </c>
      <c r="B611" s="591">
        <v>9540</v>
      </c>
      <c r="C611" s="599">
        <v>23000</v>
      </c>
      <c r="D611" s="601">
        <v>22900</v>
      </c>
      <c r="E611" s="601">
        <f t="shared" si="50"/>
        <v>-50</v>
      </c>
      <c r="H611" s="732" t="s">
        <v>146</v>
      </c>
    </row>
    <row r="612" spans="1:8" s="581" customFormat="1" ht="15" customHeight="1">
      <c r="A612" s="727">
        <v>41764</v>
      </c>
      <c r="B612" s="591"/>
      <c r="C612" s="599"/>
      <c r="D612" s="26" t="s">
        <v>146</v>
      </c>
      <c r="E612" s="601"/>
      <c r="H612" s="575">
        <v>141000</v>
      </c>
    </row>
    <row r="613" spans="1:8" ht="15" customHeight="1">
      <c r="A613" s="727">
        <v>41765</v>
      </c>
      <c r="B613" s="591">
        <v>9535</v>
      </c>
      <c r="C613" s="599">
        <v>23205</v>
      </c>
      <c r="D613" s="601">
        <v>23175</v>
      </c>
      <c r="E613" s="601">
        <f>C613-C611</f>
        <v>205</v>
      </c>
      <c r="H613" s="575">
        <v>140250</v>
      </c>
    </row>
    <row r="614" spans="1:8" ht="15" customHeight="1">
      <c r="A614" s="730">
        <v>41766</v>
      </c>
      <c r="B614" s="591">
        <v>9705</v>
      </c>
      <c r="C614" s="599">
        <v>23250</v>
      </c>
      <c r="D614" s="601">
        <v>23200</v>
      </c>
      <c r="E614" s="601">
        <f t="shared" ref="E614:E626" si="51">C614-C613</f>
        <v>45</v>
      </c>
      <c r="H614" s="575">
        <v>139750</v>
      </c>
    </row>
    <row r="615" spans="1:8" ht="15" customHeight="1">
      <c r="A615" s="734">
        <v>41767</v>
      </c>
      <c r="B615" s="591">
        <v>9705</v>
      </c>
      <c r="C615" s="599">
        <v>23250</v>
      </c>
      <c r="D615" s="601">
        <v>23200</v>
      </c>
      <c r="E615" s="601">
        <f t="shared" si="51"/>
        <v>0</v>
      </c>
      <c r="H615" s="575">
        <v>139000</v>
      </c>
    </row>
    <row r="616" spans="1:8" ht="15" customHeight="1">
      <c r="A616" s="736">
        <v>41768</v>
      </c>
      <c r="B616" s="591">
        <v>9505</v>
      </c>
      <c r="C616" s="599">
        <v>23300</v>
      </c>
      <c r="D616" s="601">
        <v>23150</v>
      </c>
      <c r="E616" s="601">
        <f t="shared" si="51"/>
        <v>50</v>
      </c>
      <c r="H616" s="575">
        <v>139500</v>
      </c>
    </row>
    <row r="617" spans="1:8" ht="15" customHeight="1">
      <c r="A617" s="738">
        <v>41771</v>
      </c>
      <c r="B617" s="591">
        <v>9640</v>
      </c>
      <c r="C617" s="599">
        <v>23375</v>
      </c>
      <c r="D617" s="601">
        <v>23175</v>
      </c>
      <c r="E617" s="601">
        <f t="shared" si="51"/>
        <v>75</v>
      </c>
      <c r="H617" s="575">
        <v>140500</v>
      </c>
    </row>
    <row r="618" spans="1:8" ht="15" customHeight="1">
      <c r="A618" s="739">
        <v>41772</v>
      </c>
      <c r="B618" s="591">
        <v>9620</v>
      </c>
      <c r="C618" s="599">
        <v>23225</v>
      </c>
      <c r="D618" s="601">
        <v>23150</v>
      </c>
      <c r="E618" s="601">
        <f t="shared" si="51"/>
        <v>-150</v>
      </c>
      <c r="H618" s="575">
        <v>140500</v>
      </c>
    </row>
    <row r="619" spans="1:8" ht="15" customHeight="1">
      <c r="A619" s="752">
        <v>41773</v>
      </c>
      <c r="B619" s="591">
        <v>9620</v>
      </c>
      <c r="C619" s="599">
        <v>23480</v>
      </c>
      <c r="D619" s="601">
        <v>23450</v>
      </c>
      <c r="E619" s="601">
        <f t="shared" si="51"/>
        <v>255</v>
      </c>
      <c r="H619" s="575">
        <v>140750</v>
      </c>
    </row>
    <row r="620" spans="1:8" ht="15" customHeight="1">
      <c r="A620" s="753">
        <v>41774</v>
      </c>
      <c r="B620" s="591">
        <v>9720</v>
      </c>
      <c r="C620" s="599">
        <v>23400</v>
      </c>
      <c r="D620" s="601">
        <v>23300</v>
      </c>
      <c r="E620" s="601">
        <f t="shared" si="51"/>
        <v>-80</v>
      </c>
      <c r="H620" s="575">
        <v>140750</v>
      </c>
    </row>
    <row r="621" spans="1:8" ht="15" customHeight="1">
      <c r="A621" s="756">
        <v>41775</v>
      </c>
      <c r="B621" s="591">
        <v>9665</v>
      </c>
      <c r="C621" s="599">
        <v>23435</v>
      </c>
      <c r="D621" s="601">
        <v>23350</v>
      </c>
      <c r="E621" s="601">
        <f t="shared" si="51"/>
        <v>35</v>
      </c>
      <c r="H621" s="575">
        <v>140750</v>
      </c>
    </row>
    <row r="622" spans="1:8" ht="15" customHeight="1">
      <c r="A622" s="756">
        <v>41778</v>
      </c>
      <c r="B622" s="591">
        <v>9665</v>
      </c>
      <c r="C622" s="599">
        <v>23555</v>
      </c>
      <c r="D622" s="601">
        <v>23475</v>
      </c>
      <c r="E622" s="601">
        <f t="shared" si="51"/>
        <v>120</v>
      </c>
      <c r="H622" s="575">
        <v>140250</v>
      </c>
    </row>
    <row r="623" spans="1:8" ht="15" customHeight="1">
      <c r="A623" s="758">
        <v>41779</v>
      </c>
      <c r="B623" s="591">
        <v>10640</v>
      </c>
      <c r="C623" s="599">
        <v>23350</v>
      </c>
      <c r="D623" s="601">
        <v>23200</v>
      </c>
      <c r="E623" s="601">
        <f t="shared" si="51"/>
        <v>-205</v>
      </c>
      <c r="H623" s="575">
        <v>140250</v>
      </c>
    </row>
    <row r="624" spans="1:8" ht="15" customHeight="1">
      <c r="A624" s="760">
        <v>41780</v>
      </c>
      <c r="B624" s="591">
        <v>10740</v>
      </c>
      <c r="C624" s="599">
        <v>23050</v>
      </c>
      <c r="D624" s="601">
        <v>23000</v>
      </c>
      <c r="E624" s="601">
        <f t="shared" si="51"/>
        <v>-300</v>
      </c>
      <c r="H624" s="575">
        <v>140250</v>
      </c>
    </row>
    <row r="625" spans="1:8" ht="15" customHeight="1">
      <c r="A625" s="762">
        <v>41781</v>
      </c>
      <c r="B625" s="591">
        <v>10760</v>
      </c>
      <c r="C625" s="599">
        <v>23400</v>
      </c>
      <c r="D625" s="601">
        <v>23300</v>
      </c>
      <c r="E625" s="601">
        <f t="shared" si="51"/>
        <v>350</v>
      </c>
      <c r="H625" s="575">
        <v>140250</v>
      </c>
    </row>
    <row r="626" spans="1:8" ht="15" customHeight="1">
      <c r="A626" s="764">
        <v>41782</v>
      </c>
      <c r="B626" s="591">
        <v>10760</v>
      </c>
      <c r="C626" s="599">
        <v>23340</v>
      </c>
      <c r="D626" s="601">
        <v>23300</v>
      </c>
      <c r="E626" s="601">
        <f t="shared" si="51"/>
        <v>-60</v>
      </c>
      <c r="H626" s="575">
        <v>140500</v>
      </c>
    </row>
    <row r="627" spans="1:8" ht="15" customHeight="1">
      <c r="A627" s="765">
        <v>41785</v>
      </c>
      <c r="B627" s="591"/>
      <c r="C627" s="599"/>
      <c r="D627" s="26" t="s">
        <v>146</v>
      </c>
      <c r="E627" s="601"/>
      <c r="H627" s="575">
        <v>140500</v>
      </c>
    </row>
    <row r="628" spans="1:8" ht="15" customHeight="1">
      <c r="A628" s="767">
        <v>41786</v>
      </c>
      <c r="B628" s="591">
        <v>10760</v>
      </c>
      <c r="C628" s="599">
        <v>23375</v>
      </c>
      <c r="D628" s="601">
        <v>23355</v>
      </c>
      <c r="E628" s="601">
        <f>C628-C626</f>
        <v>35</v>
      </c>
      <c r="H628" s="575">
        <v>140250</v>
      </c>
    </row>
    <row r="629" spans="1:8" ht="15" customHeight="1">
      <c r="A629" s="769">
        <v>41787</v>
      </c>
      <c r="B629" s="591">
        <v>10865</v>
      </c>
      <c r="C629" s="599">
        <v>23355</v>
      </c>
      <c r="D629" s="601">
        <v>23425</v>
      </c>
      <c r="E629" s="601">
        <f t="shared" ref="E629:E640" si="52">C629-C628</f>
        <v>-20</v>
      </c>
      <c r="H629" s="575">
        <v>140250</v>
      </c>
    </row>
    <row r="630" spans="1:8" ht="15" customHeight="1">
      <c r="A630" s="771">
        <v>41788</v>
      </c>
      <c r="B630" s="591">
        <v>10915</v>
      </c>
      <c r="C630" s="599">
        <v>23375</v>
      </c>
      <c r="D630" s="601">
        <v>23355</v>
      </c>
      <c r="E630" s="601">
        <f t="shared" si="52"/>
        <v>20</v>
      </c>
      <c r="H630" s="575">
        <v>140250</v>
      </c>
    </row>
    <row r="631" spans="1:8" ht="15" customHeight="1" thickBot="1">
      <c r="A631" s="774">
        <v>41789</v>
      </c>
      <c r="B631" s="142">
        <v>10865</v>
      </c>
      <c r="C631" s="317">
        <v>23505</v>
      </c>
      <c r="D631" s="449">
        <v>23480</v>
      </c>
      <c r="E631" s="449">
        <f t="shared" si="52"/>
        <v>130</v>
      </c>
      <c r="F631" s="441">
        <f>AVERAGE(C610:C631)</f>
        <v>23313.75</v>
      </c>
      <c r="G631" s="442">
        <f>AVERAGE(C525:C631)</f>
        <v>22927.524271844661</v>
      </c>
      <c r="H631" s="576">
        <v>140250</v>
      </c>
    </row>
    <row r="632" spans="1:8" ht="15" customHeight="1">
      <c r="A632" s="776">
        <v>41792</v>
      </c>
      <c r="B632" s="591">
        <v>10850</v>
      </c>
      <c r="C632" s="599">
        <v>23425</v>
      </c>
      <c r="D632" s="601">
        <v>23475</v>
      </c>
      <c r="E632" s="601">
        <f t="shared" si="52"/>
        <v>-80</v>
      </c>
      <c r="H632" s="732" t="s">
        <v>146</v>
      </c>
    </row>
    <row r="633" spans="1:8" ht="15" customHeight="1">
      <c r="A633" s="778">
        <v>41793</v>
      </c>
      <c r="B633" s="591">
        <v>10785</v>
      </c>
      <c r="C633" s="599">
        <v>23325</v>
      </c>
      <c r="D633" s="601">
        <v>23300</v>
      </c>
      <c r="E633" s="601">
        <f t="shared" si="52"/>
        <v>-100</v>
      </c>
      <c r="H633" s="575">
        <v>140500</v>
      </c>
    </row>
    <row r="634" spans="1:8" ht="15" customHeight="1">
      <c r="A634" s="778">
        <v>41794</v>
      </c>
      <c r="B634" s="591">
        <v>10915</v>
      </c>
      <c r="C634" s="599">
        <v>23230</v>
      </c>
      <c r="D634" s="601">
        <v>23250</v>
      </c>
      <c r="E634" s="601">
        <f t="shared" si="52"/>
        <v>-95</v>
      </c>
      <c r="H634" s="575">
        <v>140250</v>
      </c>
    </row>
    <row r="635" spans="1:8" ht="15" customHeight="1">
      <c r="A635" s="781">
        <v>41795</v>
      </c>
      <c r="B635" s="591">
        <v>10885</v>
      </c>
      <c r="C635" s="599">
        <v>23240</v>
      </c>
      <c r="D635" s="601">
        <v>23280</v>
      </c>
      <c r="E635" s="601">
        <f t="shared" si="52"/>
        <v>10</v>
      </c>
      <c r="H635" s="575"/>
    </row>
    <row r="636" spans="1:8" ht="15" customHeight="1">
      <c r="A636" s="781">
        <v>41796</v>
      </c>
      <c r="B636" s="591">
        <v>10950</v>
      </c>
      <c r="C636" s="599">
        <v>23025</v>
      </c>
      <c r="D636" s="601">
        <v>22975</v>
      </c>
      <c r="E636" s="601">
        <f t="shared" si="52"/>
        <v>-215</v>
      </c>
      <c r="H636" s="575">
        <v>140000</v>
      </c>
    </row>
    <row r="637" spans="1:8" ht="15" customHeight="1">
      <c r="A637" s="783">
        <v>41799</v>
      </c>
      <c r="B637" s="591">
        <v>10795</v>
      </c>
      <c r="C637" s="599">
        <v>23135</v>
      </c>
      <c r="D637" s="601">
        <v>23150</v>
      </c>
      <c r="E637" s="601">
        <f t="shared" si="52"/>
        <v>110</v>
      </c>
      <c r="H637" s="575">
        <v>140000</v>
      </c>
    </row>
    <row r="638" spans="1:8" ht="15" customHeight="1">
      <c r="A638" s="785">
        <v>41800</v>
      </c>
      <c r="B638" s="591">
        <v>10770</v>
      </c>
      <c r="C638" s="599">
        <v>23050</v>
      </c>
      <c r="D638" s="601">
        <v>23060</v>
      </c>
      <c r="E638" s="601">
        <f t="shared" si="52"/>
        <v>-85</v>
      </c>
      <c r="H638" s="575">
        <v>139750</v>
      </c>
    </row>
    <row r="639" spans="1:8" ht="15" customHeight="1">
      <c r="A639" s="787">
        <v>41801</v>
      </c>
      <c r="B639" s="591">
        <v>10705</v>
      </c>
      <c r="C639" s="599">
        <v>22830</v>
      </c>
      <c r="D639" s="601">
        <v>22800</v>
      </c>
      <c r="E639" s="601">
        <f t="shared" si="52"/>
        <v>-220</v>
      </c>
      <c r="H639" s="575">
        <v>139250</v>
      </c>
    </row>
    <row r="640" spans="1:8" ht="15" customHeight="1">
      <c r="A640" s="789">
        <v>41802</v>
      </c>
      <c r="B640" s="591">
        <v>10840</v>
      </c>
      <c r="C640" s="599">
        <v>22850</v>
      </c>
      <c r="D640" s="601">
        <v>22800</v>
      </c>
      <c r="E640" s="601">
        <f t="shared" si="52"/>
        <v>20</v>
      </c>
      <c r="H640" s="575">
        <v>139250</v>
      </c>
    </row>
    <row r="641" spans="1:8" ht="15" customHeight="1">
      <c r="A641" s="790">
        <v>41803</v>
      </c>
      <c r="B641" s="591">
        <v>10900</v>
      </c>
      <c r="C641" s="599">
        <v>22610</v>
      </c>
      <c r="D641" s="601">
        <v>22575</v>
      </c>
      <c r="E641" s="601">
        <f t="shared" ref="E641:E648" si="53">C641-C640</f>
        <v>-240</v>
      </c>
      <c r="H641" s="575">
        <v>139250</v>
      </c>
    </row>
    <row r="642" spans="1:8" ht="15" customHeight="1">
      <c r="A642" s="791">
        <v>41806</v>
      </c>
      <c r="B642" s="591">
        <v>10900</v>
      </c>
      <c r="C642" s="599">
        <v>22655</v>
      </c>
      <c r="D642" s="601">
        <v>22650</v>
      </c>
      <c r="E642" s="601">
        <f t="shared" si="53"/>
        <v>45</v>
      </c>
      <c r="H642" s="575">
        <v>139250</v>
      </c>
    </row>
    <row r="643" spans="1:8" ht="15" customHeight="1">
      <c r="A643" s="792">
        <v>41807</v>
      </c>
      <c r="B643" s="591">
        <v>10880</v>
      </c>
      <c r="C643" s="599">
        <v>22600</v>
      </c>
      <c r="D643" s="601">
        <v>22600</v>
      </c>
      <c r="E643" s="601">
        <f t="shared" si="53"/>
        <v>-55</v>
      </c>
      <c r="H643" s="575">
        <v>139250</v>
      </c>
    </row>
    <row r="644" spans="1:8" ht="15" customHeight="1">
      <c r="A644" s="793">
        <v>41808</v>
      </c>
      <c r="B644" s="591">
        <v>10895</v>
      </c>
      <c r="C644" s="599">
        <v>22590</v>
      </c>
      <c r="D644" s="601">
        <v>22580</v>
      </c>
      <c r="E644" s="601">
        <f t="shared" si="53"/>
        <v>-10</v>
      </c>
      <c r="H644" s="575">
        <v>139250</v>
      </c>
    </row>
    <row r="645" spans="1:8" ht="15" customHeight="1">
      <c r="A645" s="794">
        <v>41809</v>
      </c>
      <c r="B645" s="591">
        <v>10860</v>
      </c>
      <c r="C645" s="599">
        <v>22605</v>
      </c>
      <c r="D645" s="601">
        <v>22630</v>
      </c>
      <c r="E645" s="601">
        <f t="shared" si="53"/>
        <v>15</v>
      </c>
      <c r="H645" s="575">
        <v>139250</v>
      </c>
    </row>
    <row r="646" spans="1:8" ht="15" customHeight="1">
      <c r="A646" s="795">
        <v>41810</v>
      </c>
      <c r="B646" s="591">
        <v>10845</v>
      </c>
      <c r="C646" s="599">
        <v>22630</v>
      </c>
      <c r="D646" s="601">
        <v>22605</v>
      </c>
      <c r="E646" s="601">
        <f t="shared" si="53"/>
        <v>25</v>
      </c>
      <c r="H646" s="575">
        <v>139250</v>
      </c>
    </row>
    <row r="647" spans="1:8" ht="15" customHeight="1">
      <c r="A647" s="803">
        <v>41813</v>
      </c>
      <c r="B647" s="591">
        <v>10845</v>
      </c>
      <c r="C647" s="599">
        <v>22670</v>
      </c>
      <c r="D647" s="601">
        <v>22675</v>
      </c>
      <c r="E647" s="601">
        <f t="shared" si="53"/>
        <v>40</v>
      </c>
      <c r="H647" s="575">
        <v>139250</v>
      </c>
    </row>
    <row r="648" spans="1:8" ht="15" customHeight="1">
      <c r="A648" s="804">
        <v>41814</v>
      </c>
      <c r="B648" s="591">
        <v>10845</v>
      </c>
      <c r="C648" s="599">
        <v>22550</v>
      </c>
      <c r="D648" s="601">
        <v>22540</v>
      </c>
      <c r="E648" s="601">
        <f t="shared" si="53"/>
        <v>-120</v>
      </c>
      <c r="H648" s="575">
        <v>139250</v>
      </c>
    </row>
    <row r="649" spans="1:8" ht="15" customHeight="1">
      <c r="A649" s="805">
        <v>41815</v>
      </c>
      <c r="B649" s="591">
        <v>11100</v>
      </c>
      <c r="C649" s="599">
        <v>22600</v>
      </c>
      <c r="D649" s="601">
        <v>22600</v>
      </c>
      <c r="E649" s="601">
        <f t="shared" ref="E649:E660" si="54">C649-C648</f>
        <v>50</v>
      </c>
      <c r="H649" s="575">
        <v>139250</v>
      </c>
    </row>
    <row r="650" spans="1:8" ht="15" customHeight="1">
      <c r="A650" s="806">
        <v>41816</v>
      </c>
      <c r="B650" s="591">
        <v>11185</v>
      </c>
      <c r="C650" s="599">
        <v>22425</v>
      </c>
      <c r="D650" s="601">
        <v>22425</v>
      </c>
      <c r="E650" s="601">
        <f t="shared" si="54"/>
        <v>-175</v>
      </c>
      <c r="H650" s="575">
        <v>139250</v>
      </c>
    </row>
    <row r="651" spans="1:8" ht="15" customHeight="1">
      <c r="A651" s="807">
        <v>41817</v>
      </c>
      <c r="B651" s="591">
        <v>11285</v>
      </c>
      <c r="C651" s="599">
        <v>22350</v>
      </c>
      <c r="D651" s="601">
        <v>22375</v>
      </c>
      <c r="E651" s="601">
        <f t="shared" si="54"/>
        <v>-75</v>
      </c>
      <c r="H651" s="575">
        <v>139250</v>
      </c>
    </row>
    <row r="652" spans="1:8" ht="15" customHeight="1" thickBot="1">
      <c r="A652" s="809">
        <v>41820</v>
      </c>
      <c r="B652" s="142">
        <v>11385</v>
      </c>
      <c r="C652" s="317">
        <v>21855</v>
      </c>
      <c r="D652" s="449">
        <v>21900</v>
      </c>
      <c r="E652" s="449">
        <f t="shared" si="54"/>
        <v>-495</v>
      </c>
      <c r="F652" s="441">
        <f>AVERAGE(C632:C652)</f>
        <v>22773.809523809523</v>
      </c>
      <c r="G652" s="442">
        <f>AVERAGE(C525:C652)</f>
        <v>22901.491935483871</v>
      </c>
      <c r="H652" s="576">
        <v>139000</v>
      </c>
    </row>
    <row r="653" spans="1:8" ht="15" customHeight="1">
      <c r="A653" s="838">
        <v>41821</v>
      </c>
      <c r="B653" s="152">
        <v>11485</v>
      </c>
      <c r="C653" s="319">
        <v>22580</v>
      </c>
      <c r="D653" s="839">
        <v>22600</v>
      </c>
      <c r="E653" s="839">
        <f t="shared" si="54"/>
        <v>725</v>
      </c>
      <c r="F653" s="840"/>
      <c r="G653" s="840"/>
      <c r="H653" s="841">
        <v>139000</v>
      </c>
    </row>
    <row r="654" spans="1:8" ht="15" customHeight="1">
      <c r="A654" s="842">
        <v>41822</v>
      </c>
      <c r="B654" s="129">
        <v>11560</v>
      </c>
      <c r="C654" s="316">
        <v>22755</v>
      </c>
      <c r="D654" s="465">
        <v>22765</v>
      </c>
      <c r="E654" s="465">
        <f t="shared" si="54"/>
        <v>175</v>
      </c>
      <c r="F654" s="495"/>
      <c r="G654" s="495"/>
      <c r="H654" s="575">
        <v>139000</v>
      </c>
    </row>
    <row r="655" spans="1:8" ht="15" customHeight="1">
      <c r="A655" s="842">
        <v>41823</v>
      </c>
      <c r="B655" s="129">
        <v>11715</v>
      </c>
      <c r="C655" s="316">
        <v>22850</v>
      </c>
      <c r="D655" s="465">
        <v>22875</v>
      </c>
      <c r="E655" s="465">
        <f t="shared" si="54"/>
        <v>95</v>
      </c>
      <c r="F655" s="495"/>
      <c r="G655" s="495"/>
      <c r="H655" s="575">
        <v>139750</v>
      </c>
    </row>
    <row r="656" spans="1:8" ht="15" customHeight="1">
      <c r="A656" s="842">
        <v>41824</v>
      </c>
      <c r="B656" s="129">
        <v>11715</v>
      </c>
      <c r="C656" s="316">
        <v>22780</v>
      </c>
      <c r="D656" s="465">
        <v>22825</v>
      </c>
      <c r="E656" s="465">
        <f t="shared" si="54"/>
        <v>-70</v>
      </c>
      <c r="F656" s="495"/>
      <c r="G656" s="495"/>
      <c r="H656" s="575">
        <v>140000</v>
      </c>
    </row>
    <row r="657" spans="1:8" ht="15" customHeight="1">
      <c r="A657" s="842">
        <v>41827</v>
      </c>
      <c r="B657" s="129">
        <v>11825</v>
      </c>
      <c r="C657" s="316">
        <v>22710</v>
      </c>
      <c r="D657" s="465">
        <v>22710</v>
      </c>
      <c r="E657" s="465">
        <f t="shared" si="54"/>
        <v>-70</v>
      </c>
      <c r="F657" s="495"/>
      <c r="G657" s="495"/>
      <c r="H657" s="575">
        <v>140250</v>
      </c>
    </row>
    <row r="658" spans="1:8" ht="15" customHeight="1">
      <c r="A658" s="842">
        <v>41828</v>
      </c>
      <c r="B658" s="129">
        <v>11850</v>
      </c>
      <c r="C658" s="316">
        <v>22625</v>
      </c>
      <c r="D658" s="465">
        <v>22625</v>
      </c>
      <c r="E658" s="465">
        <f t="shared" si="54"/>
        <v>-85</v>
      </c>
      <c r="F658" s="495"/>
      <c r="G658" s="495"/>
      <c r="H658" s="575">
        <v>140250</v>
      </c>
    </row>
    <row r="659" spans="1:8" ht="15" customHeight="1">
      <c r="A659" s="842">
        <v>41829</v>
      </c>
      <c r="B659" s="129">
        <v>11710</v>
      </c>
      <c r="C659" s="316">
        <v>22205</v>
      </c>
      <c r="D659" s="465">
        <v>22230</v>
      </c>
      <c r="E659" s="465">
        <f t="shared" si="54"/>
        <v>-420</v>
      </c>
      <c r="F659" s="495"/>
      <c r="G659" s="495"/>
      <c r="H659" s="575">
        <v>140250</v>
      </c>
    </row>
    <row r="660" spans="1:8" ht="15" customHeight="1">
      <c r="A660" s="842">
        <v>41830</v>
      </c>
      <c r="B660" s="129">
        <v>11545</v>
      </c>
      <c r="C660" s="316">
        <v>22100</v>
      </c>
      <c r="D660" s="465">
        <v>22100</v>
      </c>
      <c r="E660" s="465">
        <f t="shared" si="54"/>
        <v>-105</v>
      </c>
      <c r="F660" s="495"/>
      <c r="G660" s="495"/>
      <c r="H660" s="575">
        <v>140000</v>
      </c>
    </row>
    <row r="661" spans="1:8" ht="15" customHeight="1">
      <c r="A661" s="842">
        <v>41831</v>
      </c>
      <c r="B661" s="129">
        <v>11575</v>
      </c>
      <c r="C661" s="316">
        <v>22010</v>
      </c>
      <c r="D661" s="465">
        <v>21975</v>
      </c>
      <c r="E661" s="465">
        <f t="shared" ref="E661:E675" si="55">C661-C660</f>
        <v>-90</v>
      </c>
      <c r="F661" s="495"/>
      <c r="G661" s="495"/>
      <c r="H661" s="575">
        <v>139750</v>
      </c>
    </row>
    <row r="662" spans="1:8" ht="15" customHeight="1">
      <c r="A662" s="842">
        <v>41834</v>
      </c>
      <c r="B662" s="129">
        <v>11535</v>
      </c>
      <c r="C662" s="316">
        <v>22170</v>
      </c>
      <c r="D662" s="465">
        <v>22200</v>
      </c>
      <c r="E662" s="465">
        <f t="shared" si="55"/>
        <v>160</v>
      </c>
      <c r="F662" s="495"/>
      <c r="G662" s="495"/>
      <c r="H662" s="575">
        <v>139250</v>
      </c>
    </row>
    <row r="663" spans="1:8" ht="15" customHeight="1">
      <c r="A663" s="842">
        <v>41835</v>
      </c>
      <c r="B663" s="129">
        <v>11535</v>
      </c>
      <c r="C663" s="316">
        <v>22090</v>
      </c>
      <c r="D663" s="465">
        <v>22150</v>
      </c>
      <c r="E663" s="465">
        <f t="shared" si="55"/>
        <v>-80</v>
      </c>
      <c r="F663" s="495"/>
      <c r="G663" s="495"/>
      <c r="H663" s="575">
        <v>139250</v>
      </c>
    </row>
    <row r="664" spans="1:8" ht="15" customHeight="1">
      <c r="A664" s="842">
        <v>41836</v>
      </c>
      <c r="B664" s="129">
        <v>11810</v>
      </c>
      <c r="C664" s="316">
        <v>22110</v>
      </c>
      <c r="D664" s="465">
        <v>22175</v>
      </c>
      <c r="E664" s="465">
        <f t="shared" si="55"/>
        <v>20</v>
      </c>
      <c r="F664" s="495"/>
      <c r="G664" s="495"/>
      <c r="H664" s="575">
        <v>139250</v>
      </c>
    </row>
    <row r="665" spans="1:8" ht="15" customHeight="1">
      <c r="A665" s="842">
        <v>41837</v>
      </c>
      <c r="B665" s="129">
        <v>11775</v>
      </c>
      <c r="C665" s="316">
        <v>22075</v>
      </c>
      <c r="D665" s="465">
        <v>22100</v>
      </c>
      <c r="E665" s="465">
        <f t="shared" si="55"/>
        <v>-35</v>
      </c>
      <c r="F665" s="495"/>
      <c r="G665" s="495"/>
      <c r="H665" s="575">
        <v>139250</v>
      </c>
    </row>
    <row r="666" spans="1:8" ht="15" customHeight="1">
      <c r="A666" s="842">
        <v>41838</v>
      </c>
      <c r="B666" s="129">
        <v>11885</v>
      </c>
      <c r="C666" s="316">
        <v>22080</v>
      </c>
      <c r="D666" s="465">
        <v>22080</v>
      </c>
      <c r="E666" s="465">
        <f t="shared" si="55"/>
        <v>5</v>
      </c>
      <c r="F666" s="495"/>
      <c r="G666" s="495"/>
      <c r="H666" s="575">
        <v>139000</v>
      </c>
    </row>
    <row r="667" spans="1:8" ht="15" customHeight="1">
      <c r="A667" s="842">
        <v>41841</v>
      </c>
      <c r="B667" s="129">
        <v>11895</v>
      </c>
      <c r="C667" s="316">
        <v>22155</v>
      </c>
      <c r="D667" s="465">
        <v>22150</v>
      </c>
      <c r="E667" s="465">
        <f t="shared" si="55"/>
        <v>75</v>
      </c>
      <c r="F667" s="495"/>
      <c r="G667" s="495"/>
      <c r="H667" s="575">
        <v>139000</v>
      </c>
    </row>
    <row r="668" spans="1:8" ht="15" customHeight="1">
      <c r="A668" s="842">
        <v>41842</v>
      </c>
      <c r="B668" s="129">
        <v>11920</v>
      </c>
      <c r="C668" s="316">
        <v>22105</v>
      </c>
      <c r="D668" s="465">
        <v>22160</v>
      </c>
      <c r="E668" s="465">
        <f t="shared" si="55"/>
        <v>-50</v>
      </c>
      <c r="F668" s="495"/>
      <c r="G668" s="495"/>
      <c r="H668" s="575">
        <v>139000</v>
      </c>
    </row>
    <row r="669" spans="1:8" ht="15" customHeight="1">
      <c r="A669" s="842">
        <v>41843</v>
      </c>
      <c r="B669" s="129">
        <v>11910</v>
      </c>
      <c r="C669" s="316">
        <v>22125</v>
      </c>
      <c r="D669" s="465">
        <v>22200</v>
      </c>
      <c r="E669" s="465">
        <f t="shared" si="55"/>
        <v>20</v>
      </c>
      <c r="F669" s="495"/>
      <c r="G669" s="495"/>
      <c r="H669" s="575">
        <v>139250</v>
      </c>
    </row>
    <row r="670" spans="1:8" ht="15" customHeight="1">
      <c r="A670" s="842">
        <v>41844</v>
      </c>
      <c r="B670" s="129">
        <v>11845</v>
      </c>
      <c r="C670" s="316">
        <v>22225</v>
      </c>
      <c r="D670" s="465">
        <v>22325</v>
      </c>
      <c r="E670" s="465">
        <f t="shared" si="55"/>
        <v>100</v>
      </c>
      <c r="F670" s="495"/>
      <c r="G670" s="495"/>
      <c r="H670" s="575">
        <v>139750</v>
      </c>
    </row>
    <row r="671" spans="1:8" ht="15" customHeight="1">
      <c r="A671" s="842">
        <v>41845</v>
      </c>
      <c r="B671" s="129">
        <v>11775</v>
      </c>
      <c r="C671" s="316">
        <v>22405</v>
      </c>
      <c r="D671" s="465">
        <v>22475</v>
      </c>
      <c r="E671" s="465">
        <f t="shared" si="55"/>
        <v>180</v>
      </c>
      <c r="F671" s="495"/>
      <c r="G671" s="495"/>
      <c r="H671" s="575">
        <v>140000</v>
      </c>
    </row>
    <row r="672" spans="1:8" ht="15.75" customHeight="1">
      <c r="A672" s="842">
        <v>41848</v>
      </c>
      <c r="B672" s="129">
        <v>11775</v>
      </c>
      <c r="C672" s="316">
        <v>22550</v>
      </c>
      <c r="D672" s="465">
        <v>22550</v>
      </c>
      <c r="E672" s="465">
        <f t="shared" si="55"/>
        <v>145</v>
      </c>
      <c r="F672" s="495"/>
      <c r="G672" s="495"/>
      <c r="H672" s="575">
        <v>140500</v>
      </c>
    </row>
    <row r="673" spans="1:8" ht="15" customHeight="1">
      <c r="A673" s="842">
        <v>41849</v>
      </c>
      <c r="B673" s="129">
        <v>11780</v>
      </c>
      <c r="C673" s="316">
        <v>22600</v>
      </c>
      <c r="D673" s="465">
        <v>22750</v>
      </c>
      <c r="E673" s="465">
        <f t="shared" si="55"/>
        <v>50</v>
      </c>
      <c r="F673" s="495"/>
      <c r="G673" s="495"/>
      <c r="H673" s="575">
        <v>141000</v>
      </c>
    </row>
    <row r="674" spans="1:8" ht="15" customHeight="1">
      <c r="A674" s="842">
        <v>41850</v>
      </c>
      <c r="B674" s="129">
        <v>11780</v>
      </c>
      <c r="C674" s="316">
        <v>22550</v>
      </c>
      <c r="D674" s="465">
        <v>22600</v>
      </c>
      <c r="E674" s="465">
        <f t="shared" si="55"/>
        <v>-50</v>
      </c>
      <c r="F674" s="495"/>
      <c r="G674" s="495"/>
      <c r="H674" s="575">
        <v>141750</v>
      </c>
    </row>
    <row r="675" spans="1:8" ht="15" customHeight="1" thickBot="1">
      <c r="A675" s="843">
        <v>41851</v>
      </c>
      <c r="B675" s="142">
        <v>11780</v>
      </c>
      <c r="C675" s="317">
        <v>22950</v>
      </c>
      <c r="D675" s="449">
        <v>22950</v>
      </c>
      <c r="E675" s="449">
        <f t="shared" si="55"/>
        <v>400</v>
      </c>
      <c r="F675" s="441">
        <f>AVERAGE(C653:C675)</f>
        <v>22382.82608695652</v>
      </c>
      <c r="G675" s="844">
        <f>AVERAGE(C525:C675)</f>
        <v>22820.340136054423</v>
      </c>
      <c r="H675" s="576">
        <v>141750</v>
      </c>
    </row>
    <row r="676" spans="1:8" ht="15" customHeight="1">
      <c r="A676" s="838">
        <v>41852</v>
      </c>
      <c r="B676" s="152">
        <v>11780</v>
      </c>
      <c r="C676" s="319">
        <v>22480</v>
      </c>
      <c r="D676" s="839">
        <v>22470</v>
      </c>
      <c r="E676" s="839">
        <f t="shared" ref="E676:E682" si="56">C676-C675</f>
        <v>-470</v>
      </c>
      <c r="G676" s="853"/>
      <c r="H676" s="849">
        <v>141750</v>
      </c>
    </row>
    <row r="677" spans="1:8" ht="15" customHeight="1">
      <c r="A677" s="851">
        <v>41855</v>
      </c>
      <c r="B677" s="129">
        <v>11780</v>
      </c>
      <c r="C677" s="316">
        <v>22375</v>
      </c>
      <c r="D677" s="465">
        <v>22430</v>
      </c>
      <c r="E677" s="465">
        <f t="shared" si="56"/>
        <v>-105</v>
      </c>
      <c r="G677" s="850"/>
      <c r="H677" s="849">
        <v>141250</v>
      </c>
    </row>
    <row r="678" spans="1:8" ht="15" customHeight="1">
      <c r="A678" s="852">
        <v>41856</v>
      </c>
      <c r="B678" s="129">
        <v>11760</v>
      </c>
      <c r="C678" s="316">
        <v>22380</v>
      </c>
      <c r="D678" s="465">
        <v>22355</v>
      </c>
      <c r="E678" s="465">
        <f t="shared" si="56"/>
        <v>5</v>
      </c>
      <c r="G678" s="850"/>
      <c r="H678" s="849">
        <v>141000</v>
      </c>
    </row>
    <row r="679" spans="1:8" ht="15" customHeight="1">
      <c r="A679" s="854">
        <v>41857</v>
      </c>
      <c r="B679" s="129">
        <v>12490</v>
      </c>
      <c r="C679" s="316">
        <v>22375</v>
      </c>
      <c r="D679" s="465">
        <v>22450</v>
      </c>
      <c r="E679" s="465">
        <f t="shared" si="56"/>
        <v>-5</v>
      </c>
      <c r="G679" s="850"/>
      <c r="H679" s="849">
        <v>141000</v>
      </c>
    </row>
    <row r="680" spans="1:8" ht="15" customHeight="1">
      <c r="A680" s="855">
        <v>41858</v>
      </c>
      <c r="B680" s="129">
        <v>12710</v>
      </c>
      <c r="C680" s="316">
        <v>22325</v>
      </c>
      <c r="D680" s="465">
        <v>22300</v>
      </c>
      <c r="E680" s="465">
        <f t="shared" si="56"/>
        <v>-50</v>
      </c>
      <c r="G680" s="850"/>
      <c r="H680" s="849">
        <v>140500</v>
      </c>
    </row>
    <row r="681" spans="1:8" ht="15" customHeight="1">
      <c r="A681" s="856">
        <v>41859</v>
      </c>
      <c r="B681" s="129">
        <v>12785</v>
      </c>
      <c r="C681" s="316">
        <v>22300</v>
      </c>
      <c r="D681" s="465">
        <v>22375</v>
      </c>
      <c r="E681" s="465">
        <f t="shared" si="56"/>
        <v>-25</v>
      </c>
      <c r="G681" s="850"/>
      <c r="H681" s="849">
        <v>140500</v>
      </c>
    </row>
    <row r="682" spans="1:8" ht="15" customHeight="1">
      <c r="A682" s="858">
        <v>41862</v>
      </c>
      <c r="B682" s="129">
        <v>12780</v>
      </c>
      <c r="C682" s="316">
        <v>22320</v>
      </c>
      <c r="D682" s="465">
        <v>22375</v>
      </c>
      <c r="E682" s="465">
        <f t="shared" si="56"/>
        <v>20</v>
      </c>
      <c r="G682" s="850"/>
      <c r="H682" s="849">
        <v>140500</v>
      </c>
    </row>
    <row r="683" spans="1:8" ht="15" customHeight="1">
      <c r="A683" s="859">
        <v>41863</v>
      </c>
      <c r="B683" s="129">
        <v>12775</v>
      </c>
      <c r="C683" s="316">
        <v>22475</v>
      </c>
      <c r="D683" s="465">
        <v>22525</v>
      </c>
      <c r="E683" s="465">
        <f t="shared" ref="E683:E689" si="57">C683-C682</f>
        <v>155</v>
      </c>
      <c r="G683" s="850"/>
      <c r="H683" s="849">
        <v>140500</v>
      </c>
    </row>
    <row r="684" spans="1:8" ht="15" customHeight="1">
      <c r="A684" s="860">
        <v>41864</v>
      </c>
      <c r="B684" s="129">
        <v>12755</v>
      </c>
      <c r="C684" s="316">
        <v>22480</v>
      </c>
      <c r="D684" s="465">
        <v>22525</v>
      </c>
      <c r="E684" s="465">
        <f t="shared" si="57"/>
        <v>5</v>
      </c>
      <c r="G684" s="850"/>
      <c r="H684" s="849">
        <v>140500</v>
      </c>
    </row>
    <row r="685" spans="1:8" ht="15" customHeight="1">
      <c r="A685" s="861">
        <v>41865</v>
      </c>
      <c r="B685" s="129">
        <v>12775</v>
      </c>
      <c r="C685" s="316">
        <v>22400</v>
      </c>
      <c r="D685" s="465">
        <v>22450</v>
      </c>
      <c r="E685" s="465">
        <f t="shared" si="57"/>
        <v>-80</v>
      </c>
      <c r="F685" s="495"/>
      <c r="G685" s="850"/>
      <c r="H685" s="849">
        <v>141000</v>
      </c>
    </row>
    <row r="686" spans="1:8" ht="15" customHeight="1">
      <c r="A686" s="861">
        <v>41866</v>
      </c>
      <c r="B686" s="591">
        <v>12790</v>
      </c>
      <c r="C686" s="599">
        <v>22400</v>
      </c>
      <c r="D686" s="601">
        <v>22425</v>
      </c>
      <c r="E686" s="465">
        <f t="shared" si="57"/>
        <v>0</v>
      </c>
      <c r="G686" s="850"/>
      <c r="H686" s="849">
        <v>141250</v>
      </c>
    </row>
    <row r="687" spans="1:8" ht="15" customHeight="1">
      <c r="A687" s="862">
        <v>41869</v>
      </c>
      <c r="B687" s="591">
        <v>12790</v>
      </c>
      <c r="C687" s="599">
        <v>22425</v>
      </c>
      <c r="D687" s="601">
        <v>22420</v>
      </c>
      <c r="E687" s="465">
        <f t="shared" si="57"/>
        <v>25</v>
      </c>
      <c r="G687" s="850"/>
      <c r="H687" s="849">
        <v>141250</v>
      </c>
    </row>
    <row r="688" spans="1:8" ht="15" customHeight="1">
      <c r="A688" s="863">
        <v>41870</v>
      </c>
      <c r="B688" s="591">
        <v>12910</v>
      </c>
      <c r="C688" s="599">
        <v>22400</v>
      </c>
      <c r="D688" s="601">
        <v>22380</v>
      </c>
      <c r="E688" s="465">
        <f t="shared" si="57"/>
        <v>-25</v>
      </c>
      <c r="G688" s="850"/>
      <c r="H688" s="849">
        <v>141250</v>
      </c>
    </row>
    <row r="689" spans="1:8" ht="15" customHeight="1">
      <c r="A689" s="864">
        <v>41871</v>
      </c>
      <c r="B689" s="591">
        <v>13485</v>
      </c>
      <c r="C689" s="599">
        <v>22390</v>
      </c>
      <c r="D689" s="601">
        <v>22430</v>
      </c>
      <c r="E689" s="465">
        <f t="shared" si="57"/>
        <v>-10</v>
      </c>
      <c r="G689" s="850"/>
      <c r="H689" s="849">
        <v>141250</v>
      </c>
    </row>
    <row r="690" spans="1:8" ht="15" customHeight="1">
      <c r="A690" s="865">
        <v>41872</v>
      </c>
      <c r="B690" s="591">
        <v>13485</v>
      </c>
      <c r="C690" s="599">
        <v>22275</v>
      </c>
      <c r="D690" s="601">
        <v>22350</v>
      </c>
      <c r="E690" s="465">
        <f>C690-C689</f>
        <v>-115</v>
      </c>
      <c r="G690" s="850"/>
      <c r="H690" s="849">
        <v>141250</v>
      </c>
    </row>
    <row r="691" spans="1:8" ht="15" customHeight="1">
      <c r="A691" s="866">
        <v>41873</v>
      </c>
      <c r="B691" s="591">
        <v>13235</v>
      </c>
      <c r="C691" s="599">
        <v>22425</v>
      </c>
      <c r="D691" s="601">
        <v>22425</v>
      </c>
      <c r="E691" s="465">
        <f>C691-C690</f>
        <v>150</v>
      </c>
      <c r="G691" s="850"/>
      <c r="H691" s="849">
        <v>141250</v>
      </c>
    </row>
    <row r="692" spans="1:8" ht="15" customHeight="1">
      <c r="A692" s="867">
        <v>41876</v>
      </c>
      <c r="B692" s="591"/>
      <c r="C692" s="1108" t="s">
        <v>183</v>
      </c>
      <c r="D692" s="1108"/>
      <c r="E692" s="601"/>
      <c r="F692" s="444"/>
      <c r="G692" s="871"/>
      <c r="H692" s="849">
        <v>141000</v>
      </c>
    </row>
    <row r="693" spans="1:8" ht="15" customHeight="1">
      <c r="A693" s="868">
        <v>41877</v>
      </c>
      <c r="B693" s="591">
        <v>13235</v>
      </c>
      <c r="C693" s="599">
        <v>22090</v>
      </c>
      <c r="D693" s="601">
        <v>22175</v>
      </c>
      <c r="E693" s="601">
        <f>C693-C691</f>
        <v>-335</v>
      </c>
      <c r="G693" s="850"/>
      <c r="H693" s="849">
        <v>141000</v>
      </c>
    </row>
    <row r="694" spans="1:8" ht="15" customHeight="1">
      <c r="A694" s="870">
        <v>41878</v>
      </c>
      <c r="B694" s="591">
        <v>12985</v>
      </c>
      <c r="C694" s="599">
        <v>21915</v>
      </c>
      <c r="D694" s="601">
        <v>22000</v>
      </c>
      <c r="E694" s="601">
        <f t="shared" ref="E694:E701" si="58">C694-C693</f>
        <v>-175</v>
      </c>
      <c r="G694" s="850"/>
      <c r="H694" s="849">
        <v>140750</v>
      </c>
    </row>
    <row r="695" spans="1:8" ht="15" customHeight="1">
      <c r="A695" s="873">
        <v>41879</v>
      </c>
      <c r="B695" s="591">
        <v>12680</v>
      </c>
      <c r="C695" s="599">
        <v>21800</v>
      </c>
      <c r="D695" s="601">
        <v>21805</v>
      </c>
      <c r="E695" s="601">
        <f t="shared" si="58"/>
        <v>-115</v>
      </c>
      <c r="G695" s="850"/>
      <c r="H695" s="849">
        <v>140750</v>
      </c>
    </row>
    <row r="696" spans="1:8" ht="15" customHeight="1" thickBot="1">
      <c r="A696" s="877">
        <v>41880</v>
      </c>
      <c r="B696" s="142">
        <v>12295</v>
      </c>
      <c r="C696" s="317">
        <v>21850</v>
      </c>
      <c r="D696" s="449">
        <v>21880</v>
      </c>
      <c r="E696" s="449">
        <f t="shared" si="58"/>
        <v>50</v>
      </c>
      <c r="F696" s="441">
        <f>AVERAGE(C676:C696)</f>
        <v>22294</v>
      </c>
      <c r="G696" s="844">
        <f>AVERAGE(C525:C696)</f>
        <v>22757.305389221558</v>
      </c>
      <c r="H696" s="878">
        <v>140250</v>
      </c>
    </row>
    <row r="697" spans="1:8" ht="15" customHeight="1">
      <c r="A697" s="876">
        <v>41883</v>
      </c>
      <c r="B697" s="591">
        <v>12445</v>
      </c>
      <c r="C697" s="599">
        <v>21700</v>
      </c>
      <c r="D697" s="601">
        <v>21700</v>
      </c>
      <c r="E697" s="601">
        <f t="shared" si="58"/>
        <v>-150</v>
      </c>
      <c r="G697" s="853"/>
      <c r="H697" s="849">
        <v>140250</v>
      </c>
    </row>
    <row r="698" spans="1:8" ht="15" customHeight="1">
      <c r="A698" s="879">
        <v>41884</v>
      </c>
      <c r="B698" s="591">
        <v>12445</v>
      </c>
      <c r="C698" s="599">
        <v>21550</v>
      </c>
      <c r="D698" s="601">
        <v>21560</v>
      </c>
      <c r="E698" s="601">
        <f t="shared" si="58"/>
        <v>-150</v>
      </c>
      <c r="G698" s="850"/>
      <c r="H698" s="849">
        <v>140250</v>
      </c>
    </row>
    <row r="699" spans="1:8" ht="15" customHeight="1">
      <c r="A699" s="880">
        <v>41885</v>
      </c>
      <c r="B699" s="591">
        <v>12435</v>
      </c>
      <c r="C699" s="599">
        <v>21395</v>
      </c>
      <c r="D699" s="601">
        <v>21395</v>
      </c>
      <c r="E699" s="601">
        <f t="shared" si="58"/>
        <v>-155</v>
      </c>
      <c r="G699" s="850"/>
      <c r="H699" s="575">
        <v>139750</v>
      </c>
    </row>
    <row r="700" spans="1:8" ht="15" customHeight="1">
      <c r="A700" s="881">
        <v>41886</v>
      </c>
      <c r="B700" s="591">
        <v>12435</v>
      </c>
      <c r="C700" s="599">
        <v>21505</v>
      </c>
      <c r="D700" s="601">
        <v>21525</v>
      </c>
      <c r="E700" s="601">
        <f t="shared" si="58"/>
        <v>110</v>
      </c>
      <c r="G700" s="850"/>
      <c r="H700" s="575">
        <v>139750</v>
      </c>
    </row>
    <row r="701" spans="1:8" ht="15" customHeight="1">
      <c r="A701" s="882">
        <v>41887</v>
      </c>
      <c r="B701" s="591">
        <v>12435</v>
      </c>
      <c r="C701" s="599">
        <v>21500</v>
      </c>
      <c r="D701" s="601">
        <v>21450</v>
      </c>
      <c r="E701" s="601">
        <f t="shared" si="58"/>
        <v>-5</v>
      </c>
      <c r="G701" s="850"/>
      <c r="H701" s="575">
        <v>139750</v>
      </c>
    </row>
    <row r="702" spans="1:8" ht="15" customHeight="1">
      <c r="A702" s="882">
        <v>41890</v>
      </c>
      <c r="B702" s="591">
        <v>12435</v>
      </c>
      <c r="C702" s="599">
        <v>21300</v>
      </c>
      <c r="D702" s="601">
        <v>21305</v>
      </c>
      <c r="E702" s="601">
        <f t="shared" ref="E702:E712" si="59">C702-C701</f>
        <v>-200</v>
      </c>
      <c r="G702" s="850"/>
      <c r="H702" s="887" t="s">
        <v>184</v>
      </c>
    </row>
    <row r="703" spans="1:8" ht="15" customHeight="1">
      <c r="A703" s="882">
        <v>41891</v>
      </c>
      <c r="B703" s="591">
        <v>12350</v>
      </c>
      <c r="C703" s="599">
        <v>21100</v>
      </c>
      <c r="D703" s="601">
        <v>21130</v>
      </c>
      <c r="E703" s="601">
        <f t="shared" si="59"/>
        <v>-200</v>
      </c>
      <c r="G703" s="850"/>
      <c r="H703" s="575">
        <v>139750</v>
      </c>
    </row>
    <row r="704" spans="1:8" ht="15" customHeight="1">
      <c r="A704" s="882">
        <v>41892</v>
      </c>
      <c r="B704" s="591">
        <v>11295</v>
      </c>
      <c r="C704" s="599">
        <v>21000</v>
      </c>
      <c r="D704" s="601">
        <v>21050</v>
      </c>
      <c r="E704" s="601">
        <f t="shared" si="59"/>
        <v>-100</v>
      </c>
      <c r="H704" s="575">
        <v>139750</v>
      </c>
    </row>
    <row r="705" spans="1:8" ht="15" customHeight="1">
      <c r="A705" s="883">
        <v>41893</v>
      </c>
      <c r="B705" s="591">
        <v>10210</v>
      </c>
      <c r="C705" s="599">
        <v>21175</v>
      </c>
      <c r="D705" s="601">
        <v>21200</v>
      </c>
      <c r="E705" s="601">
        <f t="shared" si="59"/>
        <v>175</v>
      </c>
      <c r="H705" s="575">
        <v>139250</v>
      </c>
    </row>
    <row r="706" spans="1:8" ht="15" customHeight="1">
      <c r="A706" s="888">
        <v>41894</v>
      </c>
      <c r="B706" s="591">
        <v>9830</v>
      </c>
      <c r="C706" s="599">
        <v>21180</v>
      </c>
      <c r="D706" s="601">
        <v>21220</v>
      </c>
      <c r="E706" s="601">
        <f t="shared" si="59"/>
        <v>5</v>
      </c>
      <c r="H706" s="575">
        <v>139250</v>
      </c>
    </row>
    <row r="707" spans="1:8" ht="15" customHeight="1">
      <c r="A707" s="889">
        <v>41897</v>
      </c>
      <c r="B707" s="591">
        <v>9915</v>
      </c>
      <c r="C707" s="599">
        <v>21150</v>
      </c>
      <c r="D707" s="601">
        <v>21150</v>
      </c>
      <c r="E707" s="601">
        <f t="shared" si="59"/>
        <v>-30</v>
      </c>
      <c r="H707" s="575">
        <v>139250</v>
      </c>
    </row>
    <row r="708" spans="1:8" ht="15" customHeight="1">
      <c r="A708" s="890">
        <v>41898</v>
      </c>
      <c r="B708" s="591">
        <v>9890</v>
      </c>
      <c r="C708" s="599">
        <v>21050</v>
      </c>
      <c r="D708" s="601">
        <v>21010</v>
      </c>
      <c r="E708" s="601">
        <f t="shared" si="59"/>
        <v>-100</v>
      </c>
      <c r="H708" s="575">
        <v>139500</v>
      </c>
    </row>
    <row r="709" spans="1:8" ht="15" customHeight="1">
      <c r="A709" s="891">
        <v>41899</v>
      </c>
      <c r="B709" s="591">
        <v>9890</v>
      </c>
      <c r="C709" s="599">
        <v>21055</v>
      </c>
      <c r="D709" s="601">
        <v>21100</v>
      </c>
      <c r="E709" s="601">
        <f t="shared" si="59"/>
        <v>5</v>
      </c>
      <c r="H709" s="575">
        <v>139500</v>
      </c>
    </row>
    <row r="710" spans="1:8" ht="15" customHeight="1">
      <c r="A710" s="892">
        <v>41900</v>
      </c>
      <c r="B710" s="591">
        <v>9885</v>
      </c>
      <c r="C710" s="599">
        <v>21205</v>
      </c>
      <c r="D710" s="601">
        <v>21250</v>
      </c>
      <c r="E710" s="601">
        <f t="shared" si="59"/>
        <v>150</v>
      </c>
      <c r="H710" s="575">
        <v>139500</v>
      </c>
    </row>
    <row r="711" spans="1:8" ht="15" customHeight="1">
      <c r="A711" s="893">
        <v>41901</v>
      </c>
      <c r="B711" s="591">
        <v>9845</v>
      </c>
      <c r="C711" s="599">
        <v>21200</v>
      </c>
      <c r="D711" s="601">
        <v>21225</v>
      </c>
      <c r="E711" s="601">
        <f t="shared" si="59"/>
        <v>-5</v>
      </c>
      <c r="H711" s="575">
        <v>139500</v>
      </c>
    </row>
    <row r="712" spans="1:8" ht="15" customHeight="1">
      <c r="A712" s="894">
        <v>41904</v>
      </c>
      <c r="B712" s="591">
        <v>9845</v>
      </c>
      <c r="C712" s="599">
        <v>21200</v>
      </c>
      <c r="D712" s="601">
        <v>21175</v>
      </c>
      <c r="E712" s="601">
        <f t="shared" si="59"/>
        <v>0</v>
      </c>
      <c r="H712" s="575">
        <v>140250</v>
      </c>
    </row>
    <row r="713" spans="1:8" ht="15" customHeight="1">
      <c r="A713" s="895">
        <v>41905</v>
      </c>
      <c r="B713" s="591">
        <v>9605</v>
      </c>
      <c r="C713" s="599">
        <v>21160</v>
      </c>
      <c r="D713" s="601">
        <v>21200</v>
      </c>
      <c r="E713" s="601">
        <f t="shared" ref="E713:E730" si="60">C713-C712</f>
        <v>-40</v>
      </c>
      <c r="H713" s="575">
        <v>140250</v>
      </c>
    </row>
    <row r="714" spans="1:8" ht="15" customHeight="1">
      <c r="A714" s="896">
        <v>41906</v>
      </c>
      <c r="B714" s="591">
        <v>9590</v>
      </c>
      <c r="C714" s="599">
        <v>21300</v>
      </c>
      <c r="D714" s="601">
        <v>21275</v>
      </c>
      <c r="E714" s="601">
        <f t="shared" si="60"/>
        <v>140</v>
      </c>
      <c r="H714" s="575">
        <v>140000</v>
      </c>
    </row>
    <row r="715" spans="1:8" ht="15" customHeight="1">
      <c r="A715" s="897">
        <v>41907</v>
      </c>
      <c r="B715" s="591">
        <v>9580</v>
      </c>
      <c r="C715" s="599">
        <v>20700</v>
      </c>
      <c r="D715" s="601">
        <v>20755</v>
      </c>
      <c r="E715" s="601">
        <f t="shared" si="60"/>
        <v>-600</v>
      </c>
      <c r="H715" s="575">
        <v>140000</v>
      </c>
    </row>
    <row r="716" spans="1:8" ht="15" customHeight="1">
      <c r="A716" s="898">
        <v>41908</v>
      </c>
      <c r="B716" s="591">
        <v>9370</v>
      </c>
      <c r="C716" s="599">
        <v>20450</v>
      </c>
      <c r="D716" s="601">
        <v>20550</v>
      </c>
      <c r="E716" s="601">
        <f t="shared" si="60"/>
        <v>-250</v>
      </c>
      <c r="H716" s="575">
        <v>139500</v>
      </c>
    </row>
    <row r="717" spans="1:8" ht="15" customHeight="1">
      <c r="A717" s="899">
        <v>41911</v>
      </c>
      <c r="B717" s="591">
        <v>9370</v>
      </c>
      <c r="C717" s="599">
        <v>20535</v>
      </c>
      <c r="D717" s="601">
        <v>20600</v>
      </c>
      <c r="E717" s="601">
        <f t="shared" si="60"/>
        <v>85</v>
      </c>
      <c r="H717" s="575">
        <v>139500</v>
      </c>
    </row>
    <row r="718" spans="1:8" ht="15" customHeight="1" thickBot="1">
      <c r="A718" s="901">
        <v>41912</v>
      </c>
      <c r="B718" s="142">
        <v>8595</v>
      </c>
      <c r="C718" s="317">
        <v>20330</v>
      </c>
      <c r="D718" s="449">
        <v>20350</v>
      </c>
      <c r="E718" s="449">
        <f t="shared" si="60"/>
        <v>-205</v>
      </c>
      <c r="F718" s="441">
        <f>AVERAGE(C697:C718)</f>
        <v>21124.545454545456</v>
      </c>
      <c r="G718" s="844">
        <f>AVERAGE(C525:C718)</f>
        <v>22567.248677248677</v>
      </c>
      <c r="H718" s="576">
        <v>139500</v>
      </c>
    </row>
    <row r="719" spans="1:8" ht="15" customHeight="1">
      <c r="A719" s="902">
        <v>41913</v>
      </c>
      <c r="B719" s="591">
        <v>8380</v>
      </c>
      <c r="C719" s="599">
        <v>20200</v>
      </c>
      <c r="D719" s="601">
        <v>20250</v>
      </c>
      <c r="E719" s="465">
        <f t="shared" si="60"/>
        <v>-130</v>
      </c>
      <c r="H719" s="1101" t="s">
        <v>184</v>
      </c>
    </row>
    <row r="720" spans="1:8" ht="15" customHeight="1">
      <c r="A720" s="903">
        <v>41914</v>
      </c>
      <c r="B720" s="591">
        <v>8535</v>
      </c>
      <c r="C720" s="599">
        <v>20425</v>
      </c>
      <c r="D720" s="601">
        <v>20475</v>
      </c>
      <c r="E720" s="465">
        <f t="shared" si="60"/>
        <v>225</v>
      </c>
      <c r="F720" s="495"/>
      <c r="G720" s="850"/>
      <c r="H720" s="1102"/>
    </row>
    <row r="721" spans="1:9" ht="15" customHeight="1">
      <c r="A721" s="903">
        <v>41915</v>
      </c>
      <c r="B721" s="591">
        <v>9270</v>
      </c>
      <c r="C721" s="599">
        <v>20395</v>
      </c>
      <c r="D721" s="601">
        <v>20450</v>
      </c>
      <c r="E721" s="465">
        <f t="shared" si="60"/>
        <v>-30</v>
      </c>
      <c r="H721" s="1102"/>
      <c r="I721" s="905"/>
    </row>
    <row r="722" spans="1:9" ht="15" customHeight="1">
      <c r="A722" s="906">
        <v>41918</v>
      </c>
      <c r="B722" s="591">
        <v>9270</v>
      </c>
      <c r="C722" s="599">
        <v>20465</v>
      </c>
      <c r="D722" s="601">
        <v>20475</v>
      </c>
      <c r="E722" s="465">
        <f t="shared" si="60"/>
        <v>70</v>
      </c>
      <c r="H722" s="1102"/>
    </row>
    <row r="723" spans="1:9" ht="15" customHeight="1">
      <c r="A723" s="907">
        <v>41919</v>
      </c>
      <c r="B723" s="591">
        <v>9270</v>
      </c>
      <c r="C723" s="599">
        <v>20275</v>
      </c>
      <c r="D723" s="601">
        <v>20300</v>
      </c>
      <c r="E723" s="465">
        <f t="shared" si="60"/>
        <v>-190</v>
      </c>
      <c r="H723" s="1102"/>
    </row>
    <row r="724" spans="1:9" ht="15" customHeight="1">
      <c r="A724" s="909">
        <v>41920</v>
      </c>
      <c r="B724" s="591">
        <v>9130</v>
      </c>
      <c r="C724" s="599">
        <v>20220</v>
      </c>
      <c r="D724" s="601">
        <v>20300</v>
      </c>
      <c r="E724" s="465">
        <f t="shared" si="60"/>
        <v>-55</v>
      </c>
      <c r="H724" s="1102"/>
    </row>
    <row r="725" spans="1:9" ht="15" customHeight="1">
      <c r="A725" s="909">
        <v>41921</v>
      </c>
      <c r="B725" s="591">
        <v>9225</v>
      </c>
      <c r="C725" s="599">
        <v>20225</v>
      </c>
      <c r="D725" s="601">
        <v>20180</v>
      </c>
      <c r="E725" s="465">
        <f t="shared" si="60"/>
        <v>5</v>
      </c>
      <c r="H725" s="575">
        <v>139000</v>
      </c>
    </row>
    <row r="726" spans="1:9" ht="15" customHeight="1">
      <c r="A726" s="910">
        <v>41922</v>
      </c>
      <c r="B726" s="591">
        <v>9205</v>
      </c>
      <c r="C726" s="599">
        <v>20100</v>
      </c>
      <c r="D726" s="601">
        <v>20080</v>
      </c>
      <c r="E726" s="465">
        <f t="shared" si="60"/>
        <v>-125</v>
      </c>
      <c r="H726" s="575">
        <v>138750</v>
      </c>
    </row>
    <row r="727" spans="1:9" ht="15" customHeight="1">
      <c r="A727" s="912">
        <v>41925</v>
      </c>
      <c r="B727" s="591">
        <v>9115</v>
      </c>
      <c r="C727" s="599">
        <v>20170</v>
      </c>
      <c r="D727" s="601">
        <v>20200</v>
      </c>
      <c r="E727" s="465">
        <f t="shared" si="60"/>
        <v>70</v>
      </c>
      <c r="H727" s="575">
        <v>138750</v>
      </c>
    </row>
    <row r="728" spans="1:9" ht="15" customHeight="1">
      <c r="A728" s="913">
        <v>41926</v>
      </c>
      <c r="B728" s="591">
        <v>9060</v>
      </c>
      <c r="C728" s="599">
        <v>20155</v>
      </c>
      <c r="D728" s="601">
        <v>20220</v>
      </c>
      <c r="E728" s="465">
        <f t="shared" si="60"/>
        <v>-15</v>
      </c>
      <c r="H728" s="575">
        <v>138750</v>
      </c>
    </row>
    <row r="729" spans="1:9" ht="15" customHeight="1">
      <c r="A729" s="914">
        <v>41927</v>
      </c>
      <c r="B729" s="591">
        <v>9155</v>
      </c>
      <c r="C729" s="599">
        <v>19725</v>
      </c>
      <c r="D729" s="601">
        <v>19705</v>
      </c>
      <c r="E729" s="465">
        <f t="shared" si="60"/>
        <v>-430</v>
      </c>
      <c r="H729" s="575">
        <v>138000</v>
      </c>
    </row>
    <row r="730" spans="1:9" ht="15" customHeight="1">
      <c r="A730" s="915">
        <v>41928</v>
      </c>
      <c r="B730" s="591">
        <v>9155</v>
      </c>
      <c r="C730" s="599">
        <v>19300</v>
      </c>
      <c r="D730" s="601">
        <v>19350</v>
      </c>
      <c r="E730" s="465">
        <f t="shared" si="60"/>
        <v>-425</v>
      </c>
      <c r="H730" s="575">
        <v>138000</v>
      </c>
    </row>
    <row r="731" spans="1:9" ht="15" customHeight="1">
      <c r="A731" s="916">
        <v>41929</v>
      </c>
      <c r="B731" s="591">
        <v>9180</v>
      </c>
      <c r="C731" s="599">
        <v>19305</v>
      </c>
      <c r="D731" s="601">
        <v>19355</v>
      </c>
      <c r="E731" s="465">
        <f t="shared" ref="E731:E740" si="61">C731-C730</f>
        <v>5</v>
      </c>
      <c r="H731" s="575">
        <v>137250</v>
      </c>
    </row>
    <row r="732" spans="1:9" ht="15" customHeight="1">
      <c r="A732" s="917">
        <v>41932</v>
      </c>
      <c r="B732" s="591">
        <v>9155</v>
      </c>
      <c r="C732" s="599">
        <v>19400</v>
      </c>
      <c r="D732" s="601">
        <v>19450</v>
      </c>
      <c r="E732" s="465">
        <f t="shared" si="61"/>
        <v>95</v>
      </c>
      <c r="H732" s="575">
        <v>137000</v>
      </c>
    </row>
    <row r="733" spans="1:9" ht="15" customHeight="1">
      <c r="A733" s="918">
        <v>41933</v>
      </c>
      <c r="B733" s="591">
        <v>9155</v>
      </c>
      <c r="C733" s="599">
        <v>19500</v>
      </c>
      <c r="D733" s="601">
        <v>19500</v>
      </c>
      <c r="E733" s="465">
        <f t="shared" si="61"/>
        <v>100</v>
      </c>
      <c r="H733" s="575">
        <v>137000</v>
      </c>
    </row>
    <row r="734" spans="1:9" ht="15" customHeight="1">
      <c r="A734" s="919">
        <v>41934</v>
      </c>
      <c r="B734" s="591">
        <v>9155</v>
      </c>
      <c r="C734" s="599">
        <v>19600</v>
      </c>
      <c r="D734" s="601">
        <v>19550</v>
      </c>
      <c r="E734" s="465">
        <f t="shared" si="61"/>
        <v>100</v>
      </c>
      <c r="H734" s="575">
        <v>137000</v>
      </c>
    </row>
    <row r="735" spans="1:9" ht="15" customHeight="1">
      <c r="A735" s="920">
        <v>41935</v>
      </c>
      <c r="B735" s="591">
        <v>9155</v>
      </c>
      <c r="C735" s="599">
        <v>19530</v>
      </c>
      <c r="D735" s="601">
        <v>19580</v>
      </c>
      <c r="E735" s="465">
        <f t="shared" si="61"/>
        <v>-70</v>
      </c>
      <c r="H735" s="575">
        <v>137000</v>
      </c>
    </row>
    <row r="736" spans="1:9" ht="15" customHeight="1">
      <c r="A736" s="921">
        <v>41936</v>
      </c>
      <c r="B736" s="591">
        <v>9105</v>
      </c>
      <c r="C736" s="599">
        <v>19415</v>
      </c>
      <c r="D736" s="601">
        <v>19450</v>
      </c>
      <c r="E736" s="465">
        <f t="shared" si="61"/>
        <v>-115</v>
      </c>
      <c r="H736" s="575">
        <v>137000</v>
      </c>
    </row>
    <row r="737" spans="1:8" ht="15" customHeight="1">
      <c r="A737" s="922">
        <v>41939</v>
      </c>
      <c r="B737" s="591">
        <v>9105</v>
      </c>
      <c r="C737" s="599">
        <v>19545</v>
      </c>
      <c r="D737" s="601">
        <v>19600</v>
      </c>
      <c r="E737" s="465">
        <f t="shared" si="61"/>
        <v>130</v>
      </c>
      <c r="H737" s="575">
        <v>136500</v>
      </c>
    </row>
    <row r="738" spans="1:8" ht="15" customHeight="1">
      <c r="A738" s="923">
        <v>41940</v>
      </c>
      <c r="B738" s="591">
        <v>9140</v>
      </c>
      <c r="C738" s="599">
        <v>19755</v>
      </c>
      <c r="D738" s="601">
        <v>19760</v>
      </c>
      <c r="E738" s="465">
        <f t="shared" si="61"/>
        <v>210</v>
      </c>
      <c r="H738" s="575">
        <v>136250</v>
      </c>
    </row>
    <row r="739" spans="1:8" ht="15" customHeight="1">
      <c r="A739" s="924">
        <v>41941</v>
      </c>
      <c r="B739" s="591">
        <v>9115</v>
      </c>
      <c r="C739" s="599">
        <v>20150</v>
      </c>
      <c r="D739" s="601">
        <v>20170</v>
      </c>
      <c r="E739" s="465">
        <f t="shared" si="61"/>
        <v>395</v>
      </c>
      <c r="H739" s="575">
        <v>136250</v>
      </c>
    </row>
    <row r="740" spans="1:8" ht="15" customHeight="1">
      <c r="A740" s="925">
        <v>41942</v>
      </c>
      <c r="B740" s="591">
        <v>9260</v>
      </c>
      <c r="C740" s="599">
        <v>19930</v>
      </c>
      <c r="D740" s="601">
        <v>20000</v>
      </c>
      <c r="E740" s="465">
        <f t="shared" si="61"/>
        <v>-220</v>
      </c>
      <c r="H740" s="575">
        <v>136750</v>
      </c>
    </row>
    <row r="741" spans="1:8" ht="15" customHeight="1" thickBot="1">
      <c r="A741" s="927">
        <v>41943</v>
      </c>
      <c r="B741" s="142">
        <v>9235</v>
      </c>
      <c r="C741" s="317">
        <v>20125</v>
      </c>
      <c r="D741" s="449">
        <v>20105</v>
      </c>
      <c r="E741" s="449">
        <f t="shared" ref="E741:E752" si="62">C741-C740</f>
        <v>195</v>
      </c>
      <c r="F741" s="441">
        <f>AVERAGE(C719:C741)</f>
        <v>19909.130434782608</v>
      </c>
      <c r="G741" s="844">
        <f>AVERAGE(C525:C741)</f>
        <v>22278.867924528302</v>
      </c>
      <c r="H741" s="576">
        <v>136750</v>
      </c>
    </row>
    <row r="742" spans="1:8" ht="15" customHeight="1">
      <c r="A742" s="928">
        <v>41946</v>
      </c>
      <c r="B742" s="591">
        <v>10385</v>
      </c>
      <c r="C742" s="599">
        <v>19850</v>
      </c>
      <c r="D742" s="601">
        <v>19850</v>
      </c>
      <c r="E742" s="465">
        <f t="shared" si="62"/>
        <v>-275</v>
      </c>
      <c r="G742" s="853"/>
      <c r="H742" s="849">
        <v>136500</v>
      </c>
    </row>
    <row r="743" spans="1:8" ht="15" customHeight="1">
      <c r="A743" s="929">
        <v>41947</v>
      </c>
      <c r="B743" s="591">
        <v>10315</v>
      </c>
      <c r="C743" s="599">
        <v>19605</v>
      </c>
      <c r="D743" s="601">
        <v>19605</v>
      </c>
      <c r="E743" s="465">
        <f t="shared" si="62"/>
        <v>-245</v>
      </c>
      <c r="G743" s="850"/>
      <c r="H743" s="849">
        <v>136500</v>
      </c>
    </row>
    <row r="744" spans="1:8" ht="15" customHeight="1">
      <c r="A744" s="930">
        <v>41948</v>
      </c>
      <c r="B744" s="591">
        <v>10270</v>
      </c>
      <c r="C744" s="599">
        <v>19540</v>
      </c>
      <c r="D744" s="601">
        <v>19560</v>
      </c>
      <c r="E744" s="465">
        <f t="shared" si="62"/>
        <v>-65</v>
      </c>
      <c r="G744" s="850"/>
      <c r="H744" s="849">
        <v>136000</v>
      </c>
    </row>
    <row r="745" spans="1:8" ht="15" customHeight="1">
      <c r="A745" s="931">
        <v>41949</v>
      </c>
      <c r="B745" s="591">
        <v>10270</v>
      </c>
      <c r="C745" s="599">
        <v>19850</v>
      </c>
      <c r="D745" s="601">
        <v>19830</v>
      </c>
      <c r="E745" s="465">
        <f t="shared" si="62"/>
        <v>310</v>
      </c>
      <c r="G745" s="850"/>
      <c r="H745" s="849">
        <v>136000</v>
      </c>
    </row>
    <row r="746" spans="1:8" ht="15" customHeight="1">
      <c r="A746" s="932">
        <v>41950</v>
      </c>
      <c r="B746" s="591">
        <v>10245</v>
      </c>
      <c r="C746" s="599">
        <v>20025</v>
      </c>
      <c r="D746" s="601">
        <v>20005</v>
      </c>
      <c r="E746" s="465">
        <f t="shared" si="62"/>
        <v>175</v>
      </c>
      <c r="G746" s="850"/>
      <c r="H746" s="849">
        <v>136000</v>
      </c>
    </row>
    <row r="747" spans="1:8" ht="15" customHeight="1">
      <c r="A747" s="933">
        <v>41953</v>
      </c>
      <c r="B747" s="591">
        <v>10145</v>
      </c>
      <c r="C747" s="599">
        <v>20050</v>
      </c>
      <c r="D747" s="601">
        <v>20040</v>
      </c>
      <c r="E747" s="465">
        <f t="shared" si="62"/>
        <v>25</v>
      </c>
      <c r="G747" s="850"/>
      <c r="H747" s="849">
        <v>136000</v>
      </c>
    </row>
    <row r="748" spans="1:8" ht="15" customHeight="1">
      <c r="A748" s="934">
        <v>41954</v>
      </c>
      <c r="B748" s="591">
        <v>9995</v>
      </c>
      <c r="C748" s="599">
        <v>19925</v>
      </c>
      <c r="D748" s="601">
        <v>19975</v>
      </c>
      <c r="E748" s="465">
        <f t="shared" si="62"/>
        <v>-125</v>
      </c>
      <c r="G748" s="850"/>
      <c r="H748" s="849">
        <v>136000</v>
      </c>
    </row>
    <row r="749" spans="1:8" ht="15" customHeight="1">
      <c r="A749" s="935">
        <v>41955</v>
      </c>
      <c r="B749" s="591">
        <v>9905</v>
      </c>
      <c r="C749" s="599">
        <v>20150</v>
      </c>
      <c r="D749" s="601">
        <v>20125</v>
      </c>
      <c r="E749" s="465">
        <f t="shared" si="62"/>
        <v>225</v>
      </c>
      <c r="G749" s="850"/>
      <c r="H749" s="849">
        <v>136000</v>
      </c>
    </row>
    <row r="750" spans="1:8" ht="15" customHeight="1">
      <c r="A750" s="936">
        <v>41956</v>
      </c>
      <c r="B750" s="591">
        <v>10115</v>
      </c>
      <c r="C750" s="599">
        <v>20030</v>
      </c>
      <c r="D750" s="601">
        <v>20130</v>
      </c>
      <c r="E750" s="465">
        <f t="shared" si="62"/>
        <v>-120</v>
      </c>
      <c r="G750" s="850"/>
      <c r="H750" s="849">
        <v>136000</v>
      </c>
    </row>
    <row r="751" spans="1:8" ht="15" customHeight="1">
      <c r="A751" s="937">
        <v>41957</v>
      </c>
      <c r="B751" s="591">
        <v>10275</v>
      </c>
      <c r="C751" s="599">
        <v>19825</v>
      </c>
      <c r="D751" s="601">
        <v>19820</v>
      </c>
      <c r="E751" s="465">
        <f t="shared" si="62"/>
        <v>-205</v>
      </c>
      <c r="G751" s="850"/>
      <c r="H751" s="849">
        <v>135750</v>
      </c>
    </row>
    <row r="752" spans="1:8" ht="15" customHeight="1">
      <c r="A752" s="938">
        <v>41960</v>
      </c>
      <c r="B752" s="591">
        <v>10595</v>
      </c>
      <c r="C752" s="599">
        <v>19610</v>
      </c>
      <c r="D752" s="601">
        <v>19730</v>
      </c>
      <c r="E752" s="465">
        <f t="shared" si="62"/>
        <v>-215</v>
      </c>
      <c r="G752" s="850"/>
      <c r="H752" s="849">
        <v>135750</v>
      </c>
    </row>
    <row r="753" spans="1:9" ht="15" customHeight="1">
      <c r="A753" s="939">
        <v>41961</v>
      </c>
      <c r="B753" s="591">
        <v>11175</v>
      </c>
      <c r="C753" s="599">
        <v>19575</v>
      </c>
      <c r="D753" s="601">
        <v>19575</v>
      </c>
      <c r="E753" s="465">
        <f t="shared" ref="E753:E758" si="63">C753-C752</f>
        <v>-35</v>
      </c>
      <c r="G753" s="850"/>
      <c r="H753" s="849">
        <v>135750</v>
      </c>
    </row>
    <row r="754" spans="1:9" ht="15" customHeight="1">
      <c r="A754" s="940">
        <v>41962</v>
      </c>
      <c r="B754" s="591">
        <v>11180</v>
      </c>
      <c r="C754" s="599">
        <v>19705</v>
      </c>
      <c r="D754" s="601">
        <v>19705</v>
      </c>
      <c r="E754" s="465">
        <f t="shared" si="63"/>
        <v>130</v>
      </c>
      <c r="G754" s="850"/>
      <c r="H754" s="849">
        <v>135250</v>
      </c>
    </row>
    <row r="755" spans="1:9" ht="15" customHeight="1">
      <c r="A755" s="941">
        <v>41963</v>
      </c>
      <c r="B755" s="591">
        <v>11645</v>
      </c>
      <c r="C755" s="599">
        <v>19775</v>
      </c>
      <c r="D755" s="601">
        <v>19800</v>
      </c>
      <c r="E755" s="465">
        <f t="shared" si="63"/>
        <v>70</v>
      </c>
      <c r="G755" s="850"/>
      <c r="H755" s="849">
        <v>134750</v>
      </c>
      <c r="I755" s="581"/>
    </row>
    <row r="756" spans="1:9" ht="15" customHeight="1">
      <c r="A756" s="943">
        <v>41964</v>
      </c>
      <c r="B756" s="591">
        <v>11580</v>
      </c>
      <c r="C756" s="599">
        <v>20250</v>
      </c>
      <c r="D756" s="601">
        <v>20155</v>
      </c>
      <c r="E756" s="465">
        <f t="shared" si="63"/>
        <v>475</v>
      </c>
      <c r="G756" s="850"/>
      <c r="H756" s="849">
        <v>134750</v>
      </c>
      <c r="I756" s="581"/>
    </row>
    <row r="757" spans="1:9" ht="15" customHeight="1">
      <c r="A757" s="946">
        <v>41967</v>
      </c>
      <c r="B757" s="591">
        <v>11715</v>
      </c>
      <c r="C757" s="599">
        <v>20480</v>
      </c>
      <c r="D757" s="601">
        <v>20500</v>
      </c>
      <c r="E757" s="465">
        <f t="shared" si="63"/>
        <v>230</v>
      </c>
      <c r="G757" s="850"/>
      <c r="H757" s="849">
        <v>135250</v>
      </c>
    </row>
    <row r="758" spans="1:9" ht="15" customHeight="1">
      <c r="A758" s="946">
        <v>41968</v>
      </c>
      <c r="B758" s="591">
        <v>11865</v>
      </c>
      <c r="C758" s="599">
        <v>20210</v>
      </c>
      <c r="D758" s="601">
        <v>20275</v>
      </c>
      <c r="E758" s="465">
        <f t="shared" si="63"/>
        <v>-270</v>
      </c>
      <c r="G758" s="850"/>
      <c r="H758" s="849">
        <v>135250</v>
      </c>
    </row>
    <row r="759" spans="1:9" ht="15" customHeight="1">
      <c r="A759" s="947">
        <v>41969</v>
      </c>
      <c r="B759" s="591">
        <v>12010</v>
      </c>
      <c r="C759" s="599">
        <v>20375</v>
      </c>
      <c r="D759" s="601">
        <v>20325</v>
      </c>
      <c r="E759" s="465">
        <f t="shared" ref="E759:E776" si="64">C759-C758</f>
        <v>165</v>
      </c>
      <c r="G759" s="850"/>
      <c r="H759" s="849">
        <v>135250</v>
      </c>
    </row>
    <row r="760" spans="1:9" ht="15" customHeight="1">
      <c r="A760" s="948">
        <v>41970</v>
      </c>
      <c r="B760" s="591">
        <v>11760</v>
      </c>
      <c r="C760" s="599">
        <v>20375</v>
      </c>
      <c r="D760" s="601">
        <v>20355</v>
      </c>
      <c r="E760" s="465">
        <f t="shared" si="64"/>
        <v>0</v>
      </c>
      <c r="G760" s="850"/>
      <c r="H760" s="849">
        <v>135250</v>
      </c>
    </row>
    <row r="761" spans="1:9" ht="15" customHeight="1" thickBot="1">
      <c r="A761" s="950">
        <v>41971</v>
      </c>
      <c r="B761" s="142">
        <v>11850</v>
      </c>
      <c r="C761" s="317">
        <v>20175</v>
      </c>
      <c r="D761" s="449">
        <v>20225</v>
      </c>
      <c r="E761" s="449">
        <f t="shared" si="64"/>
        <v>-200</v>
      </c>
      <c r="F761" s="441">
        <f>AVERAGE(C742:C761)</f>
        <v>19969</v>
      </c>
      <c r="G761" s="844">
        <f>AVERAGE(C525:C761)</f>
        <v>22079.741379310344</v>
      </c>
      <c r="H761" s="878">
        <v>135250</v>
      </c>
    </row>
    <row r="762" spans="1:9" ht="15" customHeight="1">
      <c r="A762" s="928">
        <v>41974</v>
      </c>
      <c r="B762" s="591">
        <v>11700</v>
      </c>
      <c r="C762" s="599">
        <v>20135</v>
      </c>
      <c r="D762" s="601">
        <v>20200</v>
      </c>
      <c r="E762" s="465">
        <f t="shared" si="64"/>
        <v>-40</v>
      </c>
      <c r="G762" s="853"/>
      <c r="H762" s="849">
        <v>135000</v>
      </c>
    </row>
    <row r="763" spans="1:9" ht="15" customHeight="1">
      <c r="A763" s="952">
        <v>41975</v>
      </c>
      <c r="B763" s="591">
        <v>11525</v>
      </c>
      <c r="C763" s="599">
        <v>20250</v>
      </c>
      <c r="D763" s="601">
        <v>20250</v>
      </c>
      <c r="E763" s="465">
        <f t="shared" si="64"/>
        <v>115</v>
      </c>
      <c r="G763" s="850"/>
      <c r="H763" s="849">
        <v>135000</v>
      </c>
    </row>
    <row r="764" spans="1:9" ht="15" customHeight="1">
      <c r="A764" s="956">
        <v>41976</v>
      </c>
      <c r="B764" s="591">
        <v>11550</v>
      </c>
      <c r="C764" s="599">
        <v>20455</v>
      </c>
      <c r="D764" s="601">
        <v>20450</v>
      </c>
      <c r="E764" s="465">
        <f t="shared" si="64"/>
        <v>205</v>
      </c>
      <c r="G764" s="850"/>
      <c r="H764" s="849">
        <v>134750</v>
      </c>
    </row>
    <row r="765" spans="1:9" ht="15" customHeight="1">
      <c r="A765" s="957">
        <v>41977</v>
      </c>
      <c r="B765" s="591">
        <v>11495</v>
      </c>
      <c r="C765" s="599">
        <v>20415</v>
      </c>
      <c r="D765" s="601">
        <v>20410</v>
      </c>
      <c r="E765" s="465">
        <f t="shared" si="64"/>
        <v>-40</v>
      </c>
      <c r="G765" s="850"/>
      <c r="H765" s="849">
        <v>134250</v>
      </c>
    </row>
    <row r="766" spans="1:9" ht="15" customHeight="1">
      <c r="A766" s="958">
        <v>41978</v>
      </c>
      <c r="B766" s="591">
        <v>11515</v>
      </c>
      <c r="C766" s="599">
        <v>20260</v>
      </c>
      <c r="D766" s="601">
        <v>20450</v>
      </c>
      <c r="E766" s="465">
        <f t="shared" si="64"/>
        <v>-155</v>
      </c>
      <c r="G766" s="850"/>
      <c r="H766" s="849">
        <v>134250</v>
      </c>
    </row>
    <row r="767" spans="1:9" ht="15" customHeight="1">
      <c r="A767" s="959">
        <v>41981</v>
      </c>
      <c r="B767" s="591">
        <v>11070</v>
      </c>
      <c r="C767" s="599">
        <v>20305</v>
      </c>
      <c r="D767" s="601">
        <v>20205</v>
      </c>
      <c r="E767" s="465">
        <f t="shared" si="64"/>
        <v>45</v>
      </c>
      <c r="G767" s="850"/>
      <c r="H767" s="849">
        <v>134250</v>
      </c>
    </row>
    <row r="768" spans="1:9" ht="15" customHeight="1">
      <c r="A768" s="960">
        <v>41982</v>
      </c>
      <c r="B768" s="591">
        <v>11045</v>
      </c>
      <c r="C768" s="599">
        <v>20390</v>
      </c>
      <c r="D768" s="601">
        <v>20425</v>
      </c>
      <c r="E768" s="465">
        <f t="shared" si="64"/>
        <v>85</v>
      </c>
      <c r="G768" s="850"/>
      <c r="H768" s="849">
        <v>133250</v>
      </c>
    </row>
    <row r="769" spans="1:8" ht="15" customHeight="1">
      <c r="A769" s="961">
        <v>41983</v>
      </c>
      <c r="B769" s="591">
        <v>11145</v>
      </c>
      <c r="C769" s="599">
        <v>20470</v>
      </c>
      <c r="D769" s="601">
        <v>20490</v>
      </c>
      <c r="E769" s="465">
        <f t="shared" si="64"/>
        <v>80</v>
      </c>
      <c r="H769" s="575">
        <v>133250</v>
      </c>
    </row>
    <row r="770" spans="1:8" ht="15" customHeight="1">
      <c r="A770" s="962">
        <v>41984</v>
      </c>
      <c r="B770" s="591">
        <v>11245</v>
      </c>
      <c r="C770" s="599">
        <v>20370</v>
      </c>
      <c r="D770" s="601">
        <v>20375</v>
      </c>
      <c r="E770" s="465">
        <f t="shared" si="64"/>
        <v>-100</v>
      </c>
      <c r="H770" s="575">
        <v>133250</v>
      </c>
    </row>
    <row r="771" spans="1:8" ht="15" customHeight="1">
      <c r="A771" s="963">
        <v>41985</v>
      </c>
      <c r="B771" s="591">
        <v>11270</v>
      </c>
      <c r="C771" s="599">
        <v>20425</v>
      </c>
      <c r="D771" s="601">
        <v>20400</v>
      </c>
      <c r="E771" s="465">
        <f t="shared" si="64"/>
        <v>55</v>
      </c>
      <c r="H771" s="575">
        <v>133000</v>
      </c>
    </row>
    <row r="772" spans="1:8" ht="15" customHeight="1">
      <c r="A772" s="964">
        <v>41988</v>
      </c>
      <c r="B772" s="591">
        <v>11245</v>
      </c>
      <c r="C772" s="599">
        <v>20380</v>
      </c>
      <c r="D772" s="601">
        <v>20475</v>
      </c>
      <c r="E772" s="465">
        <f t="shared" si="64"/>
        <v>-45</v>
      </c>
      <c r="H772" s="575">
        <v>133000</v>
      </c>
    </row>
    <row r="773" spans="1:8" ht="15" customHeight="1">
      <c r="A773" s="965">
        <v>41989</v>
      </c>
      <c r="B773" s="591">
        <v>12190</v>
      </c>
      <c r="C773" s="599">
        <v>20355</v>
      </c>
      <c r="D773" s="601">
        <v>20330</v>
      </c>
      <c r="E773" s="465">
        <f t="shared" si="64"/>
        <v>-25</v>
      </c>
      <c r="H773" s="575">
        <v>132250</v>
      </c>
    </row>
    <row r="774" spans="1:8" ht="15" customHeight="1">
      <c r="A774" s="966">
        <v>41990</v>
      </c>
      <c r="B774" s="591">
        <v>12190</v>
      </c>
      <c r="C774" s="599">
        <v>19460</v>
      </c>
      <c r="D774" s="601">
        <v>19500</v>
      </c>
      <c r="E774" s="465">
        <f t="shared" si="64"/>
        <v>-895</v>
      </c>
      <c r="H774" s="575">
        <v>132250</v>
      </c>
    </row>
    <row r="775" spans="1:8" ht="15" customHeight="1">
      <c r="A775" s="967">
        <v>41991</v>
      </c>
      <c r="B775" s="591">
        <v>12190</v>
      </c>
      <c r="C775" s="599">
        <v>19200</v>
      </c>
      <c r="D775" s="601">
        <v>19225</v>
      </c>
      <c r="E775" s="465">
        <f t="shared" si="64"/>
        <v>-260</v>
      </c>
      <c r="H775" s="575">
        <v>131250</v>
      </c>
    </row>
    <row r="776" spans="1:8" ht="15" customHeight="1">
      <c r="A776" s="968">
        <v>41992</v>
      </c>
      <c r="B776" s="591">
        <v>12180</v>
      </c>
      <c r="C776" s="599">
        <v>19400</v>
      </c>
      <c r="D776" s="601">
        <v>19375</v>
      </c>
      <c r="E776" s="465">
        <f t="shared" si="64"/>
        <v>200</v>
      </c>
      <c r="H776" s="575">
        <v>130250</v>
      </c>
    </row>
    <row r="777" spans="1:8" ht="15" customHeight="1">
      <c r="A777" s="969">
        <v>41995</v>
      </c>
      <c r="B777" s="591">
        <v>12130</v>
      </c>
      <c r="C777" s="599">
        <v>19100</v>
      </c>
      <c r="D777" s="601">
        <v>19075</v>
      </c>
      <c r="E777" s="465">
        <f>C777-C776</f>
        <v>-300</v>
      </c>
      <c r="H777" s="575">
        <v>129750</v>
      </c>
    </row>
    <row r="778" spans="1:8" ht="15" customHeight="1">
      <c r="A778" s="970">
        <v>41996</v>
      </c>
      <c r="B778" s="591">
        <v>12145</v>
      </c>
      <c r="C778" s="599">
        <v>18530</v>
      </c>
      <c r="D778" s="601">
        <v>18500</v>
      </c>
      <c r="E778" s="465">
        <f>C778-C777</f>
        <v>-570</v>
      </c>
      <c r="H778" s="575">
        <v>130000</v>
      </c>
    </row>
    <row r="779" spans="1:8" ht="15" customHeight="1">
      <c r="A779" s="971">
        <v>41997</v>
      </c>
      <c r="B779" s="591">
        <v>12145</v>
      </c>
      <c r="C779" s="599">
        <v>18795</v>
      </c>
      <c r="D779" s="601">
        <v>18750</v>
      </c>
      <c r="E779" s="465">
        <f>C779-C778</f>
        <v>265</v>
      </c>
      <c r="H779" s="575">
        <v>128250</v>
      </c>
    </row>
    <row r="780" spans="1:8" ht="15" customHeight="1">
      <c r="A780" s="972">
        <v>41998</v>
      </c>
      <c r="B780" s="1085" t="s">
        <v>193</v>
      </c>
      <c r="C780" s="1085"/>
      <c r="D780" s="1085"/>
      <c r="E780" s="1085"/>
      <c r="H780" s="575">
        <v>124750</v>
      </c>
    </row>
    <row r="781" spans="1:8" ht="15" customHeight="1">
      <c r="A781" s="972">
        <v>41999</v>
      </c>
      <c r="B781" s="1085"/>
      <c r="C781" s="1085"/>
      <c r="D781" s="1085"/>
      <c r="E781" s="1085"/>
      <c r="H781" s="575">
        <v>128000</v>
      </c>
    </row>
    <row r="782" spans="1:8" ht="15" customHeight="1">
      <c r="A782" s="973">
        <v>42002</v>
      </c>
      <c r="B782" s="591">
        <v>12120</v>
      </c>
      <c r="C782" s="599">
        <v>19145</v>
      </c>
      <c r="D782" s="601">
        <v>19150</v>
      </c>
      <c r="E782" s="465">
        <f>C782-C779</f>
        <v>350</v>
      </c>
      <c r="H782" s="575">
        <v>127000</v>
      </c>
    </row>
    <row r="783" spans="1:8" ht="15" customHeight="1">
      <c r="A783" s="974">
        <v>42003</v>
      </c>
      <c r="B783" s="591">
        <v>12045</v>
      </c>
      <c r="C783" s="599">
        <v>19000</v>
      </c>
      <c r="D783" s="601">
        <v>19000</v>
      </c>
      <c r="E783" s="465">
        <f>C783-C782</f>
        <v>-145</v>
      </c>
      <c r="H783" s="575">
        <v>127000</v>
      </c>
    </row>
    <row r="784" spans="1:8" ht="15" customHeight="1" thickBot="1">
      <c r="A784" s="976">
        <v>42004</v>
      </c>
      <c r="B784" s="142">
        <v>12045</v>
      </c>
      <c r="C784" s="317">
        <v>19500</v>
      </c>
      <c r="D784" s="449">
        <v>19400</v>
      </c>
      <c r="E784" s="449">
        <f>C784-C783</f>
        <v>500</v>
      </c>
      <c r="F784" s="441">
        <f>AVERAGE(C762:C784)</f>
        <v>19825.714285714286</v>
      </c>
      <c r="G784" s="844">
        <f>AVERAGE(C525:C784)</f>
        <v>21892.648221343872</v>
      </c>
      <c r="H784" s="576">
        <v>127500</v>
      </c>
    </row>
    <row r="785" spans="1:8" ht="15" customHeight="1">
      <c r="A785" s="975">
        <v>42006</v>
      </c>
      <c r="B785" s="591">
        <v>12135</v>
      </c>
      <c r="C785" s="599">
        <v>19400</v>
      </c>
      <c r="D785" s="601">
        <v>19325</v>
      </c>
      <c r="E785" s="465">
        <f>C785-C784</f>
        <v>-100</v>
      </c>
      <c r="H785" s="575">
        <v>129000</v>
      </c>
    </row>
    <row r="786" spans="1:8" ht="15" customHeight="1">
      <c r="A786" s="977">
        <v>42009</v>
      </c>
      <c r="B786" s="591">
        <v>12110</v>
      </c>
      <c r="C786" s="599">
        <v>19650</v>
      </c>
      <c r="D786" s="601">
        <v>19600</v>
      </c>
      <c r="E786" s="465">
        <f>C786-C785</f>
        <v>250</v>
      </c>
      <c r="H786" s="575">
        <v>129000</v>
      </c>
    </row>
    <row r="787" spans="1:8" ht="15" customHeight="1">
      <c r="A787" s="978">
        <v>42010</v>
      </c>
      <c r="B787" s="591">
        <v>12110</v>
      </c>
      <c r="C787" s="599">
        <v>19560</v>
      </c>
      <c r="D787" s="601">
        <v>19630</v>
      </c>
      <c r="E787" s="465">
        <f>C787-C786</f>
        <v>-90</v>
      </c>
      <c r="H787" s="575">
        <v>129000</v>
      </c>
    </row>
    <row r="788" spans="1:8" ht="15" customHeight="1">
      <c r="A788" s="979">
        <v>42011</v>
      </c>
      <c r="B788" s="591">
        <v>12120</v>
      </c>
      <c r="C788" s="599">
        <v>19680</v>
      </c>
      <c r="D788" s="601">
        <v>19670</v>
      </c>
      <c r="E788" s="465">
        <f>C788-C787</f>
        <v>120</v>
      </c>
      <c r="F788" s="954">
        <f>AVERAGE(C785:C788)</f>
        <v>19572.5</v>
      </c>
      <c r="G788" s="955">
        <f>AVERAGE(C785:C788)</f>
        <v>19572.5</v>
      </c>
      <c r="H788" s="575">
        <v>128750</v>
      </c>
    </row>
    <row r="789" spans="1:8" ht="15" customHeight="1">
      <c r="B789" s="591"/>
      <c r="C789" s="599"/>
      <c r="D789" s="601"/>
      <c r="E789" s="601"/>
      <c r="H789" s="575"/>
    </row>
    <row r="790" spans="1:8" ht="15" customHeight="1">
      <c r="B790" s="591"/>
      <c r="C790" s="599"/>
      <c r="D790" s="601"/>
      <c r="E790" s="601"/>
      <c r="H790" s="575"/>
    </row>
    <row r="791" spans="1:8" ht="15" customHeight="1">
      <c r="B791" s="591"/>
      <c r="C791" s="599"/>
      <c r="D791" s="601"/>
      <c r="E791" s="601"/>
      <c r="H791" s="575"/>
    </row>
    <row r="792" spans="1:8" ht="15" customHeight="1">
      <c r="B792" s="591"/>
      <c r="C792" s="599"/>
      <c r="D792" s="601"/>
      <c r="E792" s="601"/>
      <c r="H792" s="575"/>
    </row>
    <row r="793" spans="1:8" ht="15" customHeight="1">
      <c r="B793" s="591"/>
      <c r="C793" s="599"/>
      <c r="D793" s="601"/>
      <c r="E793" s="601"/>
      <c r="H793" s="575"/>
    </row>
    <row r="794" spans="1:8" ht="15" customHeight="1">
      <c r="B794" s="591"/>
      <c r="C794" s="599"/>
      <c r="D794" s="601"/>
      <c r="E794" s="601"/>
      <c r="H794" s="575"/>
    </row>
    <row r="795" spans="1:8" ht="15" customHeight="1">
      <c r="B795" s="591"/>
      <c r="C795" s="599"/>
      <c r="D795" s="601"/>
      <c r="E795" s="601"/>
      <c r="H795" s="575"/>
    </row>
    <row r="796" spans="1:8" ht="15" customHeight="1">
      <c r="B796" s="591"/>
      <c r="C796" s="599"/>
      <c r="D796" s="601"/>
      <c r="E796" s="601"/>
      <c r="H796" s="575"/>
    </row>
    <row r="797" spans="1:8" ht="15" customHeight="1">
      <c r="B797" s="591"/>
      <c r="C797" s="599"/>
      <c r="D797" s="601"/>
      <c r="E797" s="601"/>
      <c r="H797" s="575"/>
    </row>
    <row r="798" spans="1:8" ht="15" customHeight="1">
      <c r="B798" s="591"/>
      <c r="C798" s="599"/>
      <c r="D798" s="601"/>
      <c r="E798" s="601"/>
      <c r="H798" s="575"/>
    </row>
    <row r="799" spans="1:8" ht="15" customHeight="1">
      <c r="B799" s="591"/>
      <c r="C799" s="599"/>
      <c r="D799" s="601"/>
      <c r="E799" s="601"/>
      <c r="H799" s="575"/>
    </row>
    <row r="800" spans="1:8" ht="15" customHeight="1">
      <c r="B800" s="591"/>
      <c r="C800" s="599"/>
      <c r="D800" s="601"/>
      <c r="E800" s="601"/>
      <c r="H800" s="575"/>
    </row>
    <row r="801" spans="2:8" ht="15" customHeight="1">
      <c r="B801" s="591"/>
      <c r="C801" s="599"/>
      <c r="D801" s="601"/>
      <c r="E801" s="601"/>
      <c r="H801" s="575"/>
    </row>
    <row r="802" spans="2:8" ht="15" customHeight="1">
      <c r="B802" s="591"/>
      <c r="C802" s="599"/>
      <c r="D802" s="601"/>
      <c r="E802" s="601"/>
      <c r="H802" s="575"/>
    </row>
    <row r="803" spans="2:8" ht="15" customHeight="1">
      <c r="B803" s="591"/>
      <c r="C803" s="599"/>
      <c r="D803" s="601"/>
      <c r="E803" s="601"/>
      <c r="H803" s="575"/>
    </row>
    <row r="804" spans="2:8" ht="15" customHeight="1">
      <c r="B804" s="591"/>
      <c r="C804" s="599"/>
      <c r="D804" s="601"/>
      <c r="E804" s="601"/>
    </row>
    <row r="805" spans="2:8" ht="15" customHeight="1">
      <c r="B805" s="591"/>
      <c r="C805" s="599"/>
      <c r="D805" s="601"/>
      <c r="E805" s="601"/>
    </row>
    <row r="806" spans="2:8" ht="15" customHeight="1">
      <c r="B806" s="591"/>
      <c r="C806" s="599"/>
      <c r="D806" s="601"/>
      <c r="E806" s="601"/>
    </row>
    <row r="807" spans="2:8" ht="15" customHeight="1">
      <c r="B807" s="591"/>
      <c r="C807" s="599"/>
      <c r="D807" s="601"/>
      <c r="E807" s="601"/>
    </row>
    <row r="808" spans="2:8" ht="15" customHeight="1">
      <c r="B808" s="591"/>
      <c r="C808" s="599"/>
      <c r="D808" s="601"/>
      <c r="E808" s="601"/>
    </row>
    <row r="809" spans="2:8" ht="15" customHeight="1">
      <c r="B809" s="591"/>
      <c r="C809" s="599"/>
      <c r="D809" s="601"/>
      <c r="E809" s="601"/>
    </row>
    <row r="810" spans="2:8" ht="15" customHeight="1">
      <c r="B810" s="591"/>
      <c r="C810" s="599"/>
      <c r="D810" s="601"/>
      <c r="E810" s="601"/>
    </row>
    <row r="811" spans="2:8" ht="15" customHeight="1">
      <c r="B811" s="591"/>
      <c r="C811" s="599"/>
      <c r="D811" s="601"/>
      <c r="E811" s="601"/>
    </row>
    <row r="812" spans="2:8" ht="15" customHeight="1">
      <c r="B812" s="591"/>
      <c r="C812" s="599"/>
      <c r="D812" s="601"/>
      <c r="E812" s="601"/>
    </row>
    <row r="813" spans="2:8" ht="15" customHeight="1">
      <c r="B813" s="591"/>
      <c r="C813" s="599"/>
      <c r="D813" s="601"/>
      <c r="E813" s="601"/>
    </row>
    <row r="814" spans="2:8" ht="15" customHeight="1">
      <c r="B814" s="591"/>
      <c r="C814" s="599"/>
      <c r="D814" s="601"/>
      <c r="E814" s="601"/>
    </row>
    <row r="815" spans="2:8" ht="15" customHeight="1">
      <c r="B815" s="591"/>
      <c r="C815" s="599"/>
      <c r="D815" s="601"/>
      <c r="E815" s="601"/>
    </row>
    <row r="816" spans="2:8" ht="15" customHeight="1">
      <c r="B816" s="591"/>
      <c r="C816" s="599"/>
      <c r="D816" s="601"/>
      <c r="E816" s="601"/>
    </row>
    <row r="817" spans="2:5" ht="15" customHeight="1">
      <c r="B817" s="591"/>
      <c r="C817" s="599"/>
      <c r="D817" s="601"/>
      <c r="E817" s="601"/>
    </row>
    <row r="818" spans="2:5" ht="15" customHeight="1">
      <c r="B818" s="591"/>
      <c r="C818" s="599"/>
      <c r="D818" s="601"/>
      <c r="E818" s="601"/>
    </row>
    <row r="819" spans="2:5" ht="15" customHeight="1">
      <c r="B819" s="591"/>
      <c r="C819" s="599"/>
      <c r="D819" s="601"/>
      <c r="E819" s="601"/>
    </row>
    <row r="820" spans="2:5" ht="15" customHeight="1">
      <c r="B820" s="591"/>
      <c r="C820" s="599"/>
      <c r="D820" s="601"/>
      <c r="E820" s="601"/>
    </row>
    <row r="821" spans="2:5" ht="15" customHeight="1">
      <c r="B821" s="591"/>
      <c r="C821" s="599"/>
      <c r="D821" s="601"/>
      <c r="E821" s="601"/>
    </row>
    <row r="822" spans="2:5" ht="15" customHeight="1">
      <c r="B822" s="591"/>
      <c r="C822" s="599"/>
      <c r="D822" s="601"/>
      <c r="E822" s="601"/>
    </row>
    <row r="823" spans="2:5" ht="15" customHeight="1">
      <c r="B823" s="591"/>
      <c r="C823" s="599"/>
      <c r="D823" s="601"/>
      <c r="E823" s="601"/>
    </row>
    <row r="824" spans="2:5" ht="15" customHeight="1">
      <c r="B824" s="591"/>
      <c r="C824" s="599"/>
      <c r="D824" s="601"/>
      <c r="E824" s="601"/>
    </row>
    <row r="825" spans="2:5" ht="15" customHeight="1">
      <c r="B825" s="591"/>
      <c r="C825" s="599"/>
      <c r="D825" s="601"/>
      <c r="E825" s="601"/>
    </row>
    <row r="826" spans="2:5" ht="15" customHeight="1">
      <c r="B826" s="591"/>
      <c r="C826" s="599"/>
      <c r="D826" s="601"/>
      <c r="E826" s="601"/>
    </row>
    <row r="827" spans="2:5" ht="15" customHeight="1">
      <c r="B827" s="591"/>
      <c r="C827" s="599"/>
      <c r="D827" s="601"/>
      <c r="E827" s="601"/>
    </row>
    <row r="828" spans="2:5" ht="15" customHeight="1">
      <c r="B828" s="591"/>
      <c r="C828" s="599"/>
      <c r="D828" s="601"/>
      <c r="E828" s="601"/>
    </row>
    <row r="829" spans="2:5" ht="15" customHeight="1">
      <c r="B829" s="591"/>
      <c r="C829" s="599"/>
      <c r="D829" s="601"/>
      <c r="E829" s="601"/>
    </row>
    <row r="830" spans="2:5" ht="15" customHeight="1">
      <c r="B830" s="591"/>
      <c r="C830" s="599"/>
      <c r="D830" s="601"/>
      <c r="E830" s="601"/>
    </row>
    <row r="831" spans="2:5" ht="15" customHeight="1">
      <c r="B831" s="591"/>
      <c r="C831" s="599"/>
      <c r="D831" s="601"/>
      <c r="E831" s="601"/>
    </row>
    <row r="832" spans="2:5" ht="15" customHeight="1">
      <c r="B832" s="591"/>
      <c r="C832" s="599"/>
      <c r="D832" s="601"/>
      <c r="E832" s="601"/>
    </row>
    <row r="833" spans="2:5" ht="15" customHeight="1">
      <c r="B833" s="591"/>
      <c r="C833" s="599"/>
      <c r="D833" s="601"/>
      <c r="E833" s="601"/>
    </row>
    <row r="834" spans="2:5" ht="15" customHeight="1">
      <c r="B834" s="591"/>
      <c r="C834" s="599"/>
      <c r="D834" s="601"/>
      <c r="E834" s="601"/>
    </row>
    <row r="835" spans="2:5" ht="15" customHeight="1">
      <c r="B835" s="591"/>
      <c r="C835" s="599"/>
      <c r="D835" s="601"/>
      <c r="E835" s="601"/>
    </row>
    <row r="836" spans="2:5" ht="15" customHeight="1">
      <c r="B836" s="591"/>
      <c r="C836" s="599"/>
      <c r="D836" s="601"/>
      <c r="E836" s="601"/>
    </row>
    <row r="837" spans="2:5" ht="15" customHeight="1">
      <c r="B837" s="591"/>
      <c r="C837" s="599"/>
      <c r="D837" s="601"/>
      <c r="E837" s="601"/>
    </row>
    <row r="838" spans="2:5" ht="15" customHeight="1">
      <c r="B838" s="591"/>
      <c r="C838" s="599"/>
      <c r="D838" s="601"/>
      <c r="E838" s="601"/>
    </row>
    <row r="839" spans="2:5" ht="15" customHeight="1">
      <c r="B839" s="591"/>
      <c r="C839" s="599"/>
      <c r="D839" s="601"/>
      <c r="E839" s="601"/>
    </row>
    <row r="840" spans="2:5" ht="15" customHeight="1">
      <c r="B840" s="591"/>
      <c r="C840" s="599"/>
      <c r="D840" s="601"/>
      <c r="E840" s="601"/>
    </row>
    <row r="841" spans="2:5" ht="15" customHeight="1">
      <c r="B841" s="591"/>
      <c r="C841" s="599"/>
      <c r="D841" s="601"/>
      <c r="E841" s="601"/>
    </row>
    <row r="842" spans="2:5" ht="15" customHeight="1">
      <c r="B842" s="591"/>
      <c r="C842" s="599"/>
      <c r="D842" s="601"/>
      <c r="E842" s="601"/>
    </row>
    <row r="843" spans="2:5" ht="15" customHeight="1">
      <c r="B843" s="591"/>
      <c r="C843" s="599"/>
      <c r="D843" s="601"/>
      <c r="E843" s="601"/>
    </row>
    <row r="844" spans="2:5" ht="15" customHeight="1">
      <c r="B844" s="591"/>
      <c r="C844" s="599"/>
      <c r="D844" s="601"/>
      <c r="E844" s="601"/>
    </row>
    <row r="845" spans="2:5" ht="15" customHeight="1">
      <c r="B845" s="591"/>
      <c r="C845" s="599"/>
      <c r="D845" s="601"/>
      <c r="E845" s="601"/>
    </row>
    <row r="846" spans="2:5" ht="15" customHeight="1">
      <c r="B846" s="591"/>
      <c r="C846" s="599"/>
      <c r="D846" s="601"/>
      <c r="E846" s="601"/>
    </row>
    <row r="847" spans="2:5" ht="15" customHeight="1">
      <c r="B847" s="591"/>
      <c r="C847" s="599"/>
      <c r="D847" s="601"/>
      <c r="E847" s="601"/>
    </row>
    <row r="848" spans="2:5" ht="15" customHeight="1">
      <c r="B848" s="591"/>
      <c r="C848" s="599"/>
      <c r="D848" s="601"/>
      <c r="E848" s="601"/>
    </row>
    <row r="849" spans="2:5" ht="15" customHeight="1">
      <c r="B849" s="591"/>
      <c r="C849" s="599"/>
      <c r="D849" s="601"/>
      <c r="E849" s="601"/>
    </row>
    <row r="850" spans="2:5" ht="15" customHeight="1">
      <c r="B850" s="591"/>
      <c r="C850" s="599"/>
      <c r="D850" s="601"/>
      <c r="E850" s="601"/>
    </row>
    <row r="851" spans="2:5" ht="15" customHeight="1">
      <c r="B851" s="591"/>
      <c r="C851" s="599"/>
      <c r="D851" s="601"/>
      <c r="E851" s="601"/>
    </row>
    <row r="852" spans="2:5" ht="15" customHeight="1">
      <c r="B852" s="591"/>
      <c r="C852" s="599"/>
      <c r="D852" s="601"/>
      <c r="E852" s="601"/>
    </row>
    <row r="853" spans="2:5" ht="15" customHeight="1">
      <c r="B853" s="591"/>
      <c r="C853" s="599"/>
      <c r="D853" s="601"/>
      <c r="E853" s="601"/>
    </row>
    <row r="854" spans="2:5" ht="15" customHeight="1">
      <c r="B854" s="591"/>
      <c r="C854" s="599"/>
      <c r="D854" s="601"/>
      <c r="E854" s="601"/>
    </row>
    <row r="855" spans="2:5" ht="15" customHeight="1">
      <c r="B855" s="591"/>
      <c r="C855" s="599"/>
      <c r="D855" s="601"/>
      <c r="E855" s="601"/>
    </row>
    <row r="856" spans="2:5" ht="15" customHeight="1">
      <c r="B856" s="591"/>
      <c r="C856" s="599"/>
      <c r="D856" s="601"/>
      <c r="E856" s="601"/>
    </row>
    <row r="857" spans="2:5" ht="15" customHeight="1">
      <c r="B857" s="591"/>
      <c r="C857" s="599"/>
      <c r="D857" s="601"/>
      <c r="E857" s="601"/>
    </row>
    <row r="858" spans="2:5" ht="15" customHeight="1">
      <c r="B858" s="591"/>
      <c r="C858" s="599"/>
      <c r="D858" s="601"/>
      <c r="E858" s="601"/>
    </row>
    <row r="859" spans="2:5" ht="15" customHeight="1">
      <c r="B859" s="591"/>
      <c r="C859" s="599"/>
      <c r="D859" s="601"/>
      <c r="E859" s="601"/>
    </row>
    <row r="860" spans="2:5" ht="15" customHeight="1">
      <c r="B860" s="591"/>
      <c r="C860" s="599"/>
      <c r="D860" s="601"/>
      <c r="E860" s="601"/>
    </row>
    <row r="861" spans="2:5" ht="15" customHeight="1">
      <c r="B861" s="591"/>
      <c r="C861" s="599"/>
      <c r="D861" s="601"/>
      <c r="E861" s="601"/>
    </row>
    <row r="862" spans="2:5" ht="15" customHeight="1">
      <c r="B862" s="591"/>
      <c r="C862" s="599"/>
      <c r="D862" s="601"/>
      <c r="E862" s="601"/>
    </row>
    <row r="863" spans="2:5" ht="15" customHeight="1">
      <c r="B863" s="591"/>
      <c r="C863" s="599"/>
      <c r="D863" s="601"/>
      <c r="E863" s="601"/>
    </row>
    <row r="864" spans="2:5" ht="15" customHeight="1">
      <c r="B864" s="591"/>
      <c r="C864" s="599"/>
      <c r="D864" s="601"/>
      <c r="E864" s="601"/>
    </row>
    <row r="865" spans="2:5" ht="15" customHeight="1">
      <c r="B865" s="591"/>
      <c r="C865" s="599"/>
      <c r="D865" s="601"/>
      <c r="E865" s="601"/>
    </row>
    <row r="866" spans="2:5" ht="15" customHeight="1">
      <c r="B866" s="591"/>
      <c r="C866" s="599"/>
      <c r="D866" s="601"/>
      <c r="E866" s="601"/>
    </row>
    <row r="867" spans="2:5" ht="15" customHeight="1">
      <c r="B867" s="591"/>
      <c r="C867" s="599"/>
      <c r="D867" s="601"/>
      <c r="E867" s="601"/>
    </row>
    <row r="868" spans="2:5" ht="15" customHeight="1">
      <c r="B868" s="591"/>
      <c r="C868" s="599"/>
      <c r="D868" s="601"/>
      <c r="E868" s="601"/>
    </row>
    <row r="869" spans="2:5" ht="15" customHeight="1">
      <c r="B869" s="591"/>
      <c r="C869" s="599"/>
      <c r="D869" s="601"/>
      <c r="E869" s="601"/>
    </row>
    <row r="870" spans="2:5" ht="15" customHeight="1">
      <c r="B870" s="591"/>
      <c r="C870" s="599"/>
      <c r="D870" s="601"/>
      <c r="E870" s="601"/>
    </row>
    <row r="871" spans="2:5" ht="15" customHeight="1">
      <c r="B871" s="591"/>
      <c r="C871" s="599"/>
      <c r="D871" s="601"/>
      <c r="E871" s="601"/>
    </row>
    <row r="872" spans="2:5" ht="15" customHeight="1">
      <c r="B872" s="591"/>
      <c r="C872" s="599"/>
      <c r="D872" s="601"/>
      <c r="E872" s="601"/>
    </row>
    <row r="873" spans="2:5" ht="15" customHeight="1">
      <c r="B873" s="591"/>
      <c r="C873" s="599"/>
      <c r="D873" s="601"/>
      <c r="E873" s="601"/>
    </row>
    <row r="874" spans="2:5" ht="15" customHeight="1">
      <c r="B874" s="591"/>
      <c r="C874" s="599"/>
      <c r="D874" s="601"/>
      <c r="E874" s="601"/>
    </row>
    <row r="875" spans="2:5" ht="15" customHeight="1">
      <c r="B875" s="591"/>
      <c r="C875" s="599"/>
      <c r="D875" s="601"/>
      <c r="E875" s="601"/>
    </row>
    <row r="876" spans="2:5" ht="15" customHeight="1">
      <c r="B876" s="591"/>
      <c r="C876" s="599"/>
      <c r="D876" s="601"/>
      <c r="E876" s="601"/>
    </row>
    <row r="877" spans="2:5" ht="15" customHeight="1">
      <c r="B877" s="591"/>
      <c r="C877" s="599"/>
      <c r="D877" s="601"/>
      <c r="E877" s="601"/>
    </row>
    <row r="878" spans="2:5" ht="15" customHeight="1">
      <c r="B878" s="591"/>
      <c r="C878" s="599"/>
      <c r="D878" s="601"/>
      <c r="E878" s="601"/>
    </row>
    <row r="879" spans="2:5" ht="15" customHeight="1">
      <c r="B879" s="591"/>
      <c r="C879" s="599"/>
      <c r="D879" s="601"/>
      <c r="E879" s="601"/>
    </row>
    <row r="880" spans="2:5" ht="15" customHeight="1">
      <c r="B880" s="591"/>
      <c r="C880" s="599"/>
      <c r="D880" s="601"/>
      <c r="E880" s="601"/>
    </row>
    <row r="881" spans="2:5" ht="15" customHeight="1">
      <c r="B881" s="591"/>
      <c r="C881" s="599"/>
      <c r="D881" s="601"/>
      <c r="E881" s="601"/>
    </row>
    <row r="882" spans="2:5" ht="15" customHeight="1">
      <c r="B882" s="591"/>
      <c r="C882" s="599"/>
      <c r="D882" s="601"/>
      <c r="E882" s="601"/>
    </row>
    <row r="883" spans="2:5" ht="15" customHeight="1">
      <c r="B883" s="591"/>
      <c r="C883" s="599"/>
      <c r="D883" s="601"/>
      <c r="E883" s="601"/>
    </row>
    <row r="884" spans="2:5" ht="15" customHeight="1">
      <c r="B884" s="591"/>
      <c r="C884" s="599"/>
      <c r="D884" s="601"/>
      <c r="E884" s="601"/>
    </row>
    <row r="885" spans="2:5" ht="15" customHeight="1">
      <c r="B885" s="591"/>
      <c r="C885" s="599"/>
      <c r="D885" s="601"/>
      <c r="E885" s="601"/>
    </row>
    <row r="886" spans="2:5" ht="15" customHeight="1">
      <c r="B886" s="591"/>
      <c r="C886" s="599"/>
      <c r="D886" s="601"/>
      <c r="E886" s="601"/>
    </row>
    <row r="887" spans="2:5" ht="15" customHeight="1">
      <c r="B887" s="591"/>
      <c r="C887" s="599"/>
      <c r="D887" s="601"/>
      <c r="E887" s="601"/>
    </row>
    <row r="888" spans="2:5" ht="15" customHeight="1">
      <c r="B888" s="591"/>
      <c r="C888" s="599"/>
      <c r="D888" s="601"/>
      <c r="E888" s="601"/>
    </row>
    <row r="889" spans="2:5" ht="15" customHeight="1">
      <c r="B889" s="591"/>
      <c r="C889" s="599"/>
      <c r="D889" s="601"/>
      <c r="E889" s="601"/>
    </row>
    <row r="890" spans="2:5" ht="15" customHeight="1">
      <c r="B890" s="591"/>
      <c r="C890" s="599"/>
      <c r="D890" s="601"/>
      <c r="E890" s="601"/>
    </row>
    <row r="891" spans="2:5" ht="15" customHeight="1">
      <c r="B891" s="591"/>
      <c r="C891" s="599"/>
      <c r="D891" s="601"/>
      <c r="E891" s="601"/>
    </row>
    <row r="892" spans="2:5" ht="15" customHeight="1">
      <c r="B892" s="591"/>
      <c r="C892" s="599"/>
      <c r="D892" s="601"/>
      <c r="E892" s="601"/>
    </row>
    <row r="893" spans="2:5" ht="15" customHeight="1">
      <c r="B893" s="591"/>
      <c r="C893" s="599"/>
      <c r="D893" s="601"/>
      <c r="E893" s="601"/>
    </row>
    <row r="894" spans="2:5" ht="15" customHeight="1">
      <c r="B894" s="591"/>
      <c r="C894" s="599"/>
      <c r="D894" s="601"/>
      <c r="E894" s="601"/>
    </row>
    <row r="895" spans="2:5" ht="15" customHeight="1">
      <c r="B895" s="591"/>
      <c r="C895" s="599"/>
      <c r="D895" s="601"/>
      <c r="E895" s="601"/>
    </row>
    <row r="896" spans="2:5" ht="15" customHeight="1">
      <c r="B896" s="591"/>
      <c r="C896" s="599"/>
      <c r="D896" s="601"/>
      <c r="E896" s="601"/>
    </row>
    <row r="897" spans="2:5" ht="15" customHeight="1">
      <c r="B897" s="591"/>
      <c r="C897" s="599"/>
      <c r="D897" s="601"/>
      <c r="E897" s="601"/>
    </row>
    <row r="898" spans="2:5" ht="15" customHeight="1">
      <c r="B898" s="591"/>
      <c r="C898" s="599"/>
      <c r="D898" s="601"/>
      <c r="E898" s="601"/>
    </row>
    <row r="899" spans="2:5" ht="15" customHeight="1">
      <c r="B899" s="591"/>
      <c r="C899" s="599"/>
      <c r="D899" s="601"/>
      <c r="E899" s="601"/>
    </row>
    <row r="900" spans="2:5" ht="15" customHeight="1">
      <c r="B900" s="591"/>
      <c r="C900" s="599"/>
      <c r="D900" s="601"/>
      <c r="E900" s="601"/>
    </row>
    <row r="901" spans="2:5" ht="15" customHeight="1">
      <c r="B901" s="591"/>
      <c r="C901" s="599"/>
      <c r="D901" s="601"/>
      <c r="E901" s="601"/>
    </row>
    <row r="902" spans="2:5" ht="15" customHeight="1">
      <c r="B902" s="591"/>
      <c r="C902" s="599"/>
      <c r="D902" s="601"/>
      <c r="E902" s="601"/>
    </row>
    <row r="903" spans="2:5" ht="15" customHeight="1">
      <c r="B903" s="591"/>
      <c r="C903" s="599"/>
      <c r="D903" s="601"/>
      <c r="E903" s="601"/>
    </row>
    <row r="904" spans="2:5" ht="15" customHeight="1">
      <c r="B904" s="591"/>
      <c r="C904" s="599"/>
      <c r="D904" s="601"/>
      <c r="E904" s="601"/>
    </row>
    <row r="905" spans="2:5" ht="15" customHeight="1">
      <c r="B905" s="591"/>
      <c r="C905" s="599"/>
      <c r="D905" s="601"/>
      <c r="E905" s="601"/>
    </row>
    <row r="906" spans="2:5" ht="15" customHeight="1">
      <c r="B906" s="591"/>
      <c r="C906" s="599"/>
      <c r="D906" s="601"/>
      <c r="E906" s="601"/>
    </row>
    <row r="907" spans="2:5" ht="15" customHeight="1">
      <c r="B907" s="591"/>
      <c r="C907" s="599"/>
      <c r="D907" s="601"/>
      <c r="E907" s="601"/>
    </row>
    <row r="908" spans="2:5" ht="15" customHeight="1">
      <c r="B908" s="591"/>
      <c r="C908" s="599"/>
      <c r="D908" s="601"/>
      <c r="E908" s="601"/>
    </row>
    <row r="909" spans="2:5" ht="15" customHeight="1">
      <c r="B909" s="591"/>
      <c r="C909" s="599"/>
      <c r="D909" s="601"/>
      <c r="E909" s="601"/>
    </row>
    <row r="910" spans="2:5" ht="15" customHeight="1">
      <c r="B910" s="591"/>
      <c r="C910" s="599"/>
      <c r="D910" s="601"/>
      <c r="E910" s="601"/>
    </row>
    <row r="911" spans="2:5" ht="15" customHeight="1">
      <c r="B911" s="591"/>
      <c r="C911" s="599"/>
      <c r="D911" s="601"/>
      <c r="E911" s="601"/>
    </row>
    <row r="912" spans="2:5" ht="15" customHeight="1">
      <c r="B912" s="591"/>
      <c r="C912" s="599"/>
      <c r="D912" s="601"/>
      <c r="E912" s="601"/>
    </row>
    <row r="913" spans="2:5" ht="15" customHeight="1">
      <c r="B913" s="591"/>
      <c r="C913" s="599"/>
      <c r="D913" s="601"/>
      <c r="E913" s="601"/>
    </row>
    <row r="914" spans="2:5" ht="15" customHeight="1">
      <c r="B914" s="591"/>
      <c r="C914" s="599"/>
      <c r="D914" s="601"/>
      <c r="E914" s="601"/>
    </row>
    <row r="915" spans="2:5" ht="15" customHeight="1">
      <c r="B915" s="591"/>
      <c r="C915" s="599"/>
      <c r="D915" s="601"/>
      <c r="E915" s="601"/>
    </row>
    <row r="916" spans="2:5" ht="15" customHeight="1">
      <c r="B916" s="591"/>
      <c r="C916" s="599"/>
      <c r="D916" s="601"/>
      <c r="E916" s="601"/>
    </row>
    <row r="917" spans="2:5" ht="15" customHeight="1">
      <c r="B917" s="591"/>
      <c r="C917" s="599"/>
      <c r="D917" s="601"/>
      <c r="E917" s="601"/>
    </row>
    <row r="918" spans="2:5" ht="15" customHeight="1">
      <c r="B918" s="591"/>
      <c r="C918" s="599"/>
      <c r="D918" s="601"/>
      <c r="E918" s="601"/>
    </row>
    <row r="919" spans="2:5" ht="15" customHeight="1">
      <c r="B919" s="591"/>
      <c r="C919" s="599"/>
      <c r="D919" s="601"/>
      <c r="E919" s="601"/>
    </row>
    <row r="920" spans="2:5" ht="15" customHeight="1">
      <c r="B920" s="591"/>
      <c r="C920" s="599"/>
      <c r="D920" s="601"/>
      <c r="E920" s="601"/>
    </row>
    <row r="921" spans="2:5" ht="15" customHeight="1">
      <c r="B921" s="591"/>
      <c r="C921" s="599"/>
      <c r="D921" s="601"/>
      <c r="E921" s="601"/>
    </row>
    <row r="922" spans="2:5" ht="15" customHeight="1">
      <c r="B922" s="591"/>
      <c r="C922" s="599"/>
      <c r="D922" s="601"/>
      <c r="E922" s="601"/>
    </row>
    <row r="923" spans="2:5" ht="15" customHeight="1">
      <c r="B923" s="591"/>
      <c r="C923" s="599"/>
      <c r="D923" s="601"/>
      <c r="E923" s="601"/>
    </row>
    <row r="924" spans="2:5" ht="15" customHeight="1">
      <c r="B924" s="591"/>
      <c r="C924" s="599"/>
      <c r="D924" s="601"/>
      <c r="E924" s="601"/>
    </row>
    <row r="925" spans="2:5" ht="15" customHeight="1">
      <c r="B925" s="591"/>
      <c r="C925" s="599"/>
      <c r="D925" s="601"/>
      <c r="E925" s="601"/>
    </row>
    <row r="926" spans="2:5" ht="15" customHeight="1">
      <c r="B926" s="591"/>
      <c r="C926" s="599"/>
      <c r="D926" s="601"/>
      <c r="E926" s="601"/>
    </row>
    <row r="927" spans="2:5" ht="15" customHeight="1">
      <c r="B927" s="591"/>
      <c r="C927" s="599"/>
      <c r="D927" s="601"/>
      <c r="E927" s="601"/>
    </row>
    <row r="928" spans="2:5" ht="15" customHeight="1">
      <c r="B928" s="591"/>
      <c r="C928" s="599"/>
      <c r="D928" s="601"/>
      <c r="E928" s="601"/>
    </row>
    <row r="929" spans="2:5" ht="15" customHeight="1">
      <c r="B929" s="591"/>
      <c r="C929" s="599"/>
      <c r="D929" s="601"/>
      <c r="E929" s="601"/>
    </row>
    <row r="930" spans="2:5" ht="15" customHeight="1">
      <c r="B930" s="591"/>
      <c r="C930" s="599"/>
      <c r="D930" s="601"/>
      <c r="E930" s="601"/>
    </row>
    <row r="931" spans="2:5" ht="15" customHeight="1">
      <c r="B931" s="591"/>
      <c r="C931" s="599"/>
      <c r="D931" s="601"/>
      <c r="E931" s="601"/>
    </row>
    <row r="932" spans="2:5" ht="15" customHeight="1">
      <c r="B932" s="591"/>
      <c r="C932" s="599"/>
      <c r="D932" s="601"/>
      <c r="E932" s="601"/>
    </row>
    <row r="933" spans="2:5" ht="15" customHeight="1">
      <c r="B933" s="591"/>
      <c r="C933" s="599"/>
      <c r="D933" s="601"/>
      <c r="E933" s="601"/>
    </row>
    <row r="934" spans="2:5" ht="15" customHeight="1">
      <c r="B934" s="591"/>
      <c r="C934" s="599"/>
      <c r="D934" s="601"/>
      <c r="E934" s="601"/>
    </row>
    <row r="935" spans="2:5" ht="15" customHeight="1">
      <c r="B935" s="591"/>
      <c r="C935" s="599"/>
      <c r="D935" s="601"/>
      <c r="E935" s="601"/>
    </row>
    <row r="936" spans="2:5" ht="15" customHeight="1">
      <c r="B936" s="591"/>
      <c r="C936" s="599"/>
      <c r="D936" s="601"/>
      <c r="E936" s="601"/>
    </row>
    <row r="937" spans="2:5" ht="15" customHeight="1">
      <c r="B937" s="591"/>
      <c r="C937" s="599"/>
      <c r="D937" s="601"/>
      <c r="E937" s="601"/>
    </row>
    <row r="938" spans="2:5" ht="15" customHeight="1">
      <c r="B938" s="591"/>
      <c r="C938" s="599"/>
      <c r="D938" s="601"/>
      <c r="E938" s="601"/>
    </row>
    <row r="939" spans="2:5" ht="15" customHeight="1">
      <c r="B939" s="591"/>
      <c r="C939" s="599"/>
      <c r="D939" s="601"/>
      <c r="E939" s="601"/>
    </row>
    <row r="940" spans="2:5" ht="15" customHeight="1">
      <c r="B940" s="591"/>
      <c r="C940" s="599"/>
      <c r="D940" s="601"/>
      <c r="E940" s="601"/>
    </row>
    <row r="941" spans="2:5" ht="15" customHeight="1">
      <c r="B941" s="591"/>
      <c r="C941" s="599"/>
      <c r="D941" s="601"/>
      <c r="E941" s="601"/>
    </row>
    <row r="942" spans="2:5" ht="15" customHeight="1">
      <c r="B942" s="591"/>
      <c r="C942" s="599"/>
      <c r="D942" s="601"/>
      <c r="E942" s="601"/>
    </row>
    <row r="943" spans="2:5" ht="15" customHeight="1">
      <c r="B943" s="591"/>
      <c r="C943" s="599"/>
      <c r="D943" s="601"/>
      <c r="E943" s="601"/>
    </row>
    <row r="944" spans="2:5" ht="15" customHeight="1">
      <c r="B944" s="591"/>
      <c r="C944" s="599"/>
      <c r="D944" s="601"/>
      <c r="E944" s="601"/>
    </row>
    <row r="945" spans="2:5" ht="15" customHeight="1">
      <c r="B945" s="591"/>
      <c r="C945" s="599"/>
      <c r="D945" s="601"/>
      <c r="E945" s="601"/>
    </row>
    <row r="946" spans="2:5" ht="15" customHeight="1">
      <c r="B946" s="591"/>
      <c r="C946" s="599"/>
      <c r="D946" s="601"/>
      <c r="E946" s="601"/>
    </row>
    <row r="947" spans="2:5" ht="15" customHeight="1">
      <c r="B947" s="591"/>
      <c r="C947" s="599"/>
      <c r="D947" s="601"/>
      <c r="E947" s="601"/>
    </row>
    <row r="948" spans="2:5" ht="15" customHeight="1">
      <c r="B948" s="591"/>
      <c r="C948" s="599"/>
      <c r="D948" s="601"/>
      <c r="E948" s="601"/>
    </row>
    <row r="949" spans="2:5" ht="15" customHeight="1">
      <c r="B949" s="591"/>
      <c r="C949" s="599"/>
      <c r="D949" s="601"/>
      <c r="E949" s="601"/>
    </row>
    <row r="950" spans="2:5" ht="15" customHeight="1">
      <c r="B950" s="591"/>
      <c r="C950" s="599"/>
      <c r="D950" s="601"/>
      <c r="E950" s="601"/>
    </row>
    <row r="951" spans="2:5" ht="15" customHeight="1">
      <c r="B951" s="591"/>
      <c r="C951" s="599"/>
      <c r="D951" s="601"/>
      <c r="E951" s="601"/>
    </row>
    <row r="952" spans="2:5" ht="15" customHeight="1">
      <c r="B952" s="591"/>
      <c r="C952" s="599"/>
      <c r="D952" s="601"/>
      <c r="E952" s="601"/>
    </row>
    <row r="953" spans="2:5" ht="15" customHeight="1">
      <c r="B953" s="591"/>
      <c r="C953" s="599"/>
      <c r="D953" s="601"/>
      <c r="E953" s="601"/>
    </row>
    <row r="954" spans="2:5" ht="15" customHeight="1">
      <c r="B954" s="591"/>
      <c r="C954" s="599"/>
      <c r="D954" s="601"/>
      <c r="E954" s="601"/>
    </row>
    <row r="955" spans="2:5" ht="15" customHeight="1">
      <c r="B955" s="591"/>
      <c r="C955" s="599"/>
      <c r="D955" s="601"/>
      <c r="E955" s="601"/>
    </row>
    <row r="956" spans="2:5" ht="15" customHeight="1">
      <c r="B956" s="591"/>
      <c r="C956" s="599"/>
      <c r="D956" s="601"/>
      <c r="E956" s="601"/>
    </row>
    <row r="957" spans="2:5" ht="15" customHeight="1">
      <c r="B957" s="591"/>
      <c r="C957" s="599"/>
      <c r="D957" s="601"/>
      <c r="E957" s="601"/>
    </row>
    <row r="958" spans="2:5" ht="15" customHeight="1">
      <c r="B958" s="591"/>
      <c r="C958" s="599"/>
      <c r="D958" s="601"/>
      <c r="E958" s="601"/>
    </row>
    <row r="959" spans="2:5" ht="15" customHeight="1">
      <c r="B959" s="591"/>
      <c r="C959" s="599"/>
      <c r="D959" s="601"/>
      <c r="E959" s="601"/>
    </row>
    <row r="960" spans="2:5" ht="15" customHeight="1">
      <c r="B960" s="591"/>
      <c r="C960" s="599"/>
      <c r="D960" s="601"/>
      <c r="E960" s="601"/>
    </row>
    <row r="961" spans="2:5" ht="15" customHeight="1">
      <c r="B961" s="591"/>
      <c r="C961" s="599"/>
      <c r="D961" s="601"/>
      <c r="E961" s="601"/>
    </row>
    <row r="962" spans="2:5" ht="15" customHeight="1">
      <c r="B962" s="591"/>
      <c r="C962" s="599"/>
      <c r="D962" s="601"/>
      <c r="E962" s="601"/>
    </row>
    <row r="963" spans="2:5" ht="15" customHeight="1">
      <c r="B963" s="591"/>
      <c r="C963" s="599"/>
      <c r="D963" s="601"/>
      <c r="E963" s="601"/>
    </row>
    <row r="964" spans="2:5" ht="15" customHeight="1">
      <c r="B964" s="591"/>
      <c r="C964" s="599"/>
      <c r="D964" s="601"/>
      <c r="E964" s="601"/>
    </row>
    <row r="965" spans="2:5" ht="15" customHeight="1">
      <c r="B965" s="591"/>
      <c r="C965" s="599"/>
      <c r="D965" s="601"/>
      <c r="E965" s="601"/>
    </row>
    <row r="966" spans="2:5" ht="15" customHeight="1">
      <c r="B966" s="591"/>
      <c r="C966" s="599"/>
      <c r="D966" s="601"/>
      <c r="E966" s="601"/>
    </row>
    <row r="967" spans="2:5" ht="15" customHeight="1">
      <c r="B967" s="591"/>
      <c r="C967" s="599"/>
      <c r="D967" s="601"/>
      <c r="E967" s="601"/>
    </row>
    <row r="968" spans="2:5" ht="15" customHeight="1">
      <c r="B968" s="591"/>
      <c r="C968" s="599"/>
      <c r="D968" s="601"/>
      <c r="E968" s="601"/>
    </row>
    <row r="969" spans="2:5" ht="15" customHeight="1">
      <c r="B969" s="591"/>
      <c r="C969" s="599"/>
      <c r="D969" s="601"/>
      <c r="E969" s="601"/>
    </row>
    <row r="970" spans="2:5" ht="15" customHeight="1">
      <c r="B970" s="591"/>
      <c r="C970" s="599"/>
      <c r="D970" s="601"/>
      <c r="E970" s="601"/>
    </row>
    <row r="971" spans="2:5" ht="15" customHeight="1">
      <c r="B971" s="591"/>
      <c r="C971" s="599"/>
      <c r="D971" s="601"/>
      <c r="E971" s="601"/>
    </row>
    <row r="972" spans="2:5" ht="15" customHeight="1">
      <c r="B972" s="591"/>
      <c r="C972" s="599"/>
      <c r="D972" s="601"/>
      <c r="E972" s="601"/>
    </row>
    <row r="973" spans="2:5" ht="15" customHeight="1">
      <c r="B973" s="591"/>
      <c r="C973" s="599"/>
      <c r="D973" s="601"/>
      <c r="E973" s="601"/>
    </row>
    <row r="974" spans="2:5" ht="15" customHeight="1">
      <c r="B974" s="591"/>
      <c r="C974" s="599"/>
      <c r="D974" s="601"/>
      <c r="E974" s="601"/>
    </row>
    <row r="975" spans="2:5" ht="15" customHeight="1">
      <c r="B975" s="591"/>
      <c r="C975" s="599"/>
      <c r="D975" s="601"/>
      <c r="E975" s="601"/>
    </row>
    <row r="976" spans="2:5" ht="15" customHeight="1">
      <c r="B976" s="591"/>
      <c r="C976" s="599"/>
      <c r="D976" s="601"/>
      <c r="E976" s="601"/>
    </row>
    <row r="977" spans="2:5" ht="15" customHeight="1">
      <c r="B977" s="591"/>
      <c r="C977" s="599"/>
      <c r="D977" s="601"/>
      <c r="E977" s="601"/>
    </row>
    <row r="978" spans="2:5" ht="15" customHeight="1">
      <c r="B978" s="591"/>
      <c r="C978" s="599"/>
      <c r="D978" s="601"/>
      <c r="E978" s="601"/>
    </row>
    <row r="979" spans="2:5" ht="15" customHeight="1">
      <c r="B979" s="591"/>
      <c r="C979" s="599"/>
      <c r="D979" s="601"/>
      <c r="E979" s="601"/>
    </row>
    <row r="980" spans="2:5" ht="15" customHeight="1">
      <c r="B980" s="591"/>
      <c r="C980" s="599"/>
      <c r="D980" s="601"/>
      <c r="E980" s="601"/>
    </row>
    <row r="981" spans="2:5" ht="15" customHeight="1">
      <c r="B981" s="591"/>
      <c r="C981" s="599"/>
      <c r="D981" s="601"/>
      <c r="E981" s="601"/>
    </row>
    <row r="982" spans="2:5" ht="15" customHeight="1">
      <c r="B982" s="591"/>
      <c r="C982" s="599"/>
      <c r="D982" s="601"/>
      <c r="E982" s="601"/>
    </row>
    <row r="983" spans="2:5" ht="15" customHeight="1">
      <c r="B983" s="591"/>
      <c r="C983" s="599"/>
      <c r="D983" s="601"/>
      <c r="E983" s="601"/>
    </row>
    <row r="984" spans="2:5" ht="15" customHeight="1">
      <c r="B984" s="591"/>
      <c r="C984" s="599"/>
      <c r="D984" s="601"/>
      <c r="E984" s="601"/>
    </row>
    <row r="985" spans="2:5" ht="15" customHeight="1">
      <c r="B985" s="591"/>
      <c r="C985" s="599"/>
      <c r="D985" s="601"/>
      <c r="E985" s="601"/>
    </row>
    <row r="986" spans="2:5" ht="15" customHeight="1">
      <c r="B986" s="591"/>
      <c r="C986" s="599"/>
      <c r="D986" s="601"/>
      <c r="E986" s="601"/>
    </row>
    <row r="987" spans="2:5" ht="15" customHeight="1">
      <c r="B987" s="591"/>
      <c r="C987" s="599"/>
      <c r="D987" s="601"/>
      <c r="E987" s="601"/>
    </row>
    <row r="988" spans="2:5" ht="15" customHeight="1">
      <c r="B988" s="591"/>
      <c r="C988" s="599"/>
      <c r="D988" s="601"/>
      <c r="E988" s="601"/>
    </row>
    <row r="989" spans="2:5" ht="15" customHeight="1">
      <c r="B989" s="591"/>
      <c r="C989" s="599"/>
      <c r="D989" s="601"/>
      <c r="E989" s="601"/>
    </row>
    <row r="990" spans="2:5" ht="15" customHeight="1">
      <c r="B990" s="591"/>
      <c r="C990" s="599"/>
      <c r="D990" s="601"/>
      <c r="E990" s="601"/>
    </row>
    <row r="991" spans="2:5" ht="15" customHeight="1">
      <c r="B991" s="591"/>
      <c r="C991" s="599"/>
      <c r="D991" s="601"/>
      <c r="E991" s="601"/>
    </row>
    <row r="992" spans="2:5" ht="15" customHeight="1">
      <c r="B992" s="591"/>
      <c r="C992" s="599"/>
      <c r="D992" s="601"/>
      <c r="E992" s="601"/>
    </row>
    <row r="993" spans="2:5" ht="15" customHeight="1">
      <c r="B993" s="591"/>
      <c r="C993" s="599"/>
      <c r="D993" s="601"/>
      <c r="E993" s="601"/>
    </row>
    <row r="994" spans="2:5" ht="15" customHeight="1">
      <c r="B994" s="591"/>
      <c r="C994" s="599"/>
      <c r="D994" s="601"/>
      <c r="E994" s="601"/>
    </row>
    <row r="995" spans="2:5" ht="15" customHeight="1">
      <c r="B995" s="591"/>
      <c r="C995" s="599"/>
      <c r="D995" s="601"/>
      <c r="E995" s="601"/>
    </row>
    <row r="996" spans="2:5" ht="15" customHeight="1">
      <c r="B996" s="591"/>
      <c r="C996" s="599"/>
      <c r="D996" s="601"/>
      <c r="E996" s="601"/>
    </row>
    <row r="997" spans="2:5" ht="15" customHeight="1">
      <c r="B997" s="591"/>
      <c r="C997" s="599"/>
      <c r="D997" s="601"/>
      <c r="E997" s="601"/>
    </row>
    <row r="998" spans="2:5" ht="15" customHeight="1">
      <c r="B998" s="591"/>
      <c r="C998" s="599"/>
      <c r="D998" s="601"/>
      <c r="E998" s="601"/>
    </row>
    <row r="999" spans="2:5" ht="15" customHeight="1">
      <c r="B999" s="591"/>
      <c r="C999" s="599"/>
      <c r="D999" s="601"/>
      <c r="E999" s="601"/>
    </row>
    <row r="1000" spans="2:5" ht="15" customHeight="1">
      <c r="B1000" s="591"/>
      <c r="C1000" s="599"/>
      <c r="D1000" s="601"/>
      <c r="E1000" s="601"/>
    </row>
    <row r="1001" spans="2:5" ht="15" customHeight="1">
      <c r="B1001" s="591"/>
      <c r="C1001" s="599"/>
      <c r="D1001" s="601"/>
      <c r="E1001" s="601"/>
    </row>
    <row r="1002" spans="2:5" ht="15" customHeight="1">
      <c r="B1002" s="591"/>
      <c r="C1002" s="599"/>
      <c r="D1002" s="601"/>
      <c r="E1002" s="601"/>
    </row>
    <row r="1003" spans="2:5" ht="15" customHeight="1">
      <c r="B1003" s="591"/>
      <c r="C1003" s="599"/>
      <c r="D1003" s="601"/>
      <c r="E1003" s="601"/>
    </row>
    <row r="1004" spans="2:5" ht="15" customHeight="1">
      <c r="B1004" s="591"/>
      <c r="C1004" s="599"/>
      <c r="D1004" s="601"/>
      <c r="E1004" s="601"/>
    </row>
    <row r="1005" spans="2:5" ht="15" customHeight="1">
      <c r="B1005" s="591"/>
      <c r="C1005" s="599"/>
      <c r="D1005" s="601"/>
      <c r="E1005" s="601"/>
    </row>
    <row r="1006" spans="2:5" ht="15" customHeight="1">
      <c r="B1006" s="591"/>
      <c r="C1006" s="599"/>
      <c r="D1006" s="601"/>
      <c r="E1006" s="601"/>
    </row>
    <row r="1007" spans="2:5" ht="15" customHeight="1">
      <c r="B1007" s="591"/>
      <c r="C1007" s="599"/>
      <c r="D1007" s="601"/>
      <c r="E1007" s="601"/>
    </row>
    <row r="1008" spans="2:5" ht="15" customHeight="1">
      <c r="B1008" s="591"/>
      <c r="C1008" s="599"/>
      <c r="D1008" s="601"/>
      <c r="E1008" s="601"/>
    </row>
    <row r="1009" spans="2:5" ht="15" customHeight="1">
      <c r="B1009" s="591"/>
      <c r="C1009" s="599"/>
      <c r="D1009" s="601"/>
      <c r="E1009" s="601"/>
    </row>
    <row r="1010" spans="2:5" ht="15" customHeight="1">
      <c r="B1010" s="591"/>
      <c r="C1010" s="599"/>
      <c r="D1010" s="601"/>
      <c r="E1010" s="601"/>
    </row>
    <row r="1011" spans="2:5" ht="15" customHeight="1">
      <c r="B1011" s="591"/>
      <c r="C1011" s="599"/>
      <c r="D1011" s="601"/>
      <c r="E1011" s="601"/>
    </row>
    <row r="1012" spans="2:5" ht="15" customHeight="1">
      <c r="B1012" s="591"/>
      <c r="C1012" s="599"/>
      <c r="D1012" s="601"/>
      <c r="E1012" s="601"/>
    </row>
    <row r="1013" spans="2:5" ht="15" customHeight="1">
      <c r="B1013" s="591"/>
      <c r="C1013" s="599"/>
      <c r="D1013" s="601"/>
      <c r="E1013" s="601"/>
    </row>
    <row r="1014" spans="2:5" ht="15" customHeight="1">
      <c r="B1014" s="591"/>
      <c r="C1014" s="599"/>
      <c r="D1014" s="601"/>
      <c r="E1014" s="601"/>
    </row>
    <row r="1015" spans="2:5" ht="15" customHeight="1">
      <c r="B1015" s="591"/>
      <c r="C1015" s="599"/>
      <c r="D1015" s="601"/>
      <c r="E1015" s="601"/>
    </row>
    <row r="1016" spans="2:5" ht="15" customHeight="1">
      <c r="B1016" s="591"/>
      <c r="C1016" s="599"/>
      <c r="D1016" s="601"/>
      <c r="E1016" s="601"/>
    </row>
    <row r="1017" spans="2:5" ht="15" customHeight="1">
      <c r="B1017" s="591"/>
      <c r="C1017" s="599"/>
      <c r="D1017" s="601"/>
      <c r="E1017" s="601"/>
    </row>
    <row r="1018" spans="2:5" ht="15" customHeight="1">
      <c r="B1018" s="591"/>
      <c r="C1018" s="599"/>
      <c r="D1018" s="601"/>
      <c r="E1018" s="601"/>
    </row>
    <row r="1019" spans="2:5" ht="15" customHeight="1">
      <c r="B1019" s="591"/>
      <c r="C1019" s="599"/>
      <c r="D1019" s="601"/>
      <c r="E1019" s="601"/>
    </row>
    <row r="1020" spans="2:5" ht="15" customHeight="1">
      <c r="B1020" s="591"/>
      <c r="C1020" s="599"/>
      <c r="D1020" s="601"/>
      <c r="E1020" s="601"/>
    </row>
    <row r="1021" spans="2:5" ht="15" customHeight="1">
      <c r="B1021" s="591"/>
      <c r="C1021" s="599"/>
      <c r="D1021" s="601"/>
      <c r="E1021" s="601"/>
    </row>
    <row r="1022" spans="2:5" ht="15" customHeight="1">
      <c r="B1022" s="591"/>
      <c r="C1022" s="599"/>
      <c r="D1022" s="601"/>
      <c r="E1022" s="601"/>
    </row>
    <row r="1023" spans="2:5" ht="15" customHeight="1">
      <c r="B1023" s="591"/>
      <c r="C1023" s="599"/>
      <c r="D1023" s="601"/>
      <c r="E1023" s="601"/>
    </row>
    <row r="1024" spans="2:5" ht="15" customHeight="1">
      <c r="B1024" s="591"/>
      <c r="C1024" s="599"/>
      <c r="D1024" s="601"/>
      <c r="E1024" s="601"/>
    </row>
    <row r="1025" spans="2:5" ht="15" customHeight="1">
      <c r="B1025" s="591"/>
      <c r="C1025" s="599"/>
      <c r="D1025" s="601"/>
      <c r="E1025" s="601"/>
    </row>
    <row r="1026" spans="2:5" ht="15" customHeight="1">
      <c r="B1026" s="591"/>
      <c r="C1026" s="599"/>
      <c r="D1026" s="601"/>
      <c r="E1026" s="601"/>
    </row>
    <row r="1027" spans="2:5" ht="15" customHeight="1">
      <c r="B1027" s="591"/>
      <c r="C1027" s="599"/>
      <c r="D1027" s="601"/>
      <c r="E1027" s="601"/>
    </row>
    <row r="1028" spans="2:5" ht="15" customHeight="1">
      <c r="B1028" s="591"/>
      <c r="C1028" s="599"/>
      <c r="D1028" s="601"/>
      <c r="E1028" s="601"/>
    </row>
    <row r="1029" spans="2:5" ht="15" customHeight="1">
      <c r="B1029" s="591"/>
      <c r="C1029" s="599"/>
      <c r="D1029" s="601"/>
      <c r="E1029" s="601"/>
    </row>
    <row r="1030" spans="2:5" ht="15" customHeight="1">
      <c r="B1030" s="591"/>
      <c r="C1030" s="599"/>
      <c r="D1030" s="601"/>
      <c r="E1030" s="601"/>
    </row>
    <row r="1031" spans="2:5" ht="15" customHeight="1">
      <c r="B1031" s="591"/>
      <c r="C1031" s="599"/>
      <c r="D1031" s="601"/>
      <c r="E1031" s="601"/>
    </row>
    <row r="1032" spans="2:5" ht="15" customHeight="1">
      <c r="B1032" s="591"/>
      <c r="C1032" s="599"/>
      <c r="D1032" s="601"/>
      <c r="E1032" s="601"/>
    </row>
    <row r="1033" spans="2:5" ht="15" customHeight="1">
      <c r="B1033" s="591"/>
      <c r="C1033" s="599"/>
      <c r="D1033" s="601"/>
      <c r="E1033" s="601"/>
    </row>
    <row r="1034" spans="2:5" ht="15" customHeight="1">
      <c r="B1034" s="591"/>
      <c r="C1034" s="599"/>
      <c r="D1034" s="601"/>
      <c r="E1034" s="601"/>
    </row>
    <row r="1035" spans="2:5" ht="15" customHeight="1">
      <c r="B1035" s="591"/>
      <c r="C1035" s="599"/>
      <c r="D1035" s="601"/>
      <c r="E1035" s="601"/>
    </row>
    <row r="1036" spans="2:5" ht="15" customHeight="1">
      <c r="B1036" s="591"/>
      <c r="C1036" s="599"/>
      <c r="D1036" s="601"/>
      <c r="E1036" s="601"/>
    </row>
    <row r="1037" spans="2:5" ht="15" customHeight="1">
      <c r="B1037" s="591"/>
      <c r="C1037" s="599"/>
      <c r="D1037" s="601"/>
      <c r="E1037" s="601"/>
    </row>
    <row r="1038" spans="2:5" ht="15" customHeight="1">
      <c r="B1038" s="591"/>
      <c r="C1038" s="599"/>
      <c r="D1038" s="601"/>
      <c r="E1038" s="601"/>
    </row>
    <row r="1039" spans="2:5" ht="15" customHeight="1">
      <c r="B1039" s="591"/>
      <c r="C1039" s="599"/>
      <c r="D1039" s="601"/>
      <c r="E1039" s="601"/>
    </row>
    <row r="1040" spans="2:5" ht="15" customHeight="1">
      <c r="B1040" s="591"/>
      <c r="C1040" s="599"/>
      <c r="D1040" s="601"/>
      <c r="E1040" s="601"/>
    </row>
    <row r="1041" spans="2:5" ht="15" customHeight="1">
      <c r="B1041" s="591"/>
      <c r="C1041" s="599"/>
      <c r="D1041" s="601"/>
      <c r="E1041" s="601"/>
    </row>
    <row r="1042" spans="2:5" ht="15" customHeight="1">
      <c r="B1042" s="591"/>
      <c r="C1042" s="599"/>
      <c r="D1042" s="601"/>
      <c r="E1042" s="601"/>
    </row>
    <row r="1043" spans="2:5" ht="15" customHeight="1">
      <c r="B1043" s="591"/>
      <c r="C1043" s="599"/>
      <c r="D1043" s="601"/>
      <c r="E1043" s="601"/>
    </row>
    <row r="1044" spans="2:5" ht="15" customHeight="1">
      <c r="B1044" s="591"/>
      <c r="C1044" s="599"/>
      <c r="D1044" s="601"/>
      <c r="E1044" s="601"/>
    </row>
    <row r="1045" spans="2:5" ht="15" customHeight="1">
      <c r="B1045" s="591"/>
      <c r="C1045" s="599"/>
      <c r="D1045" s="601"/>
      <c r="E1045" s="601"/>
    </row>
    <row r="1046" spans="2:5" ht="15" customHeight="1">
      <c r="B1046" s="591"/>
      <c r="C1046" s="599"/>
      <c r="D1046" s="601"/>
      <c r="E1046" s="601"/>
    </row>
    <row r="1047" spans="2:5" ht="15" customHeight="1">
      <c r="B1047" s="591"/>
      <c r="C1047" s="599"/>
      <c r="D1047" s="601"/>
      <c r="E1047" s="601"/>
    </row>
    <row r="1048" spans="2:5" ht="15" customHeight="1">
      <c r="B1048" s="591"/>
      <c r="C1048" s="599"/>
      <c r="D1048" s="601"/>
      <c r="E1048" s="601"/>
    </row>
    <row r="1049" spans="2:5" ht="15" customHeight="1">
      <c r="B1049" s="591"/>
      <c r="C1049" s="599"/>
      <c r="D1049" s="601"/>
      <c r="E1049" s="601"/>
    </row>
    <row r="1050" spans="2:5" ht="15" customHeight="1">
      <c r="B1050" s="591"/>
      <c r="C1050" s="599"/>
      <c r="D1050" s="601"/>
      <c r="E1050" s="601"/>
    </row>
    <row r="1051" spans="2:5" ht="15" customHeight="1">
      <c r="B1051" s="591"/>
      <c r="C1051" s="599"/>
      <c r="D1051" s="601"/>
      <c r="E1051" s="601"/>
    </row>
    <row r="1052" spans="2:5" ht="15" customHeight="1">
      <c r="B1052" s="591"/>
      <c r="C1052" s="599"/>
      <c r="D1052" s="601"/>
      <c r="E1052" s="601"/>
    </row>
    <row r="1053" spans="2:5" ht="15" customHeight="1">
      <c r="B1053" s="591"/>
      <c r="C1053" s="599"/>
      <c r="D1053" s="601"/>
      <c r="E1053" s="601"/>
    </row>
    <row r="1054" spans="2:5" ht="15" customHeight="1">
      <c r="B1054" s="591"/>
      <c r="C1054" s="599"/>
      <c r="D1054" s="601"/>
      <c r="E1054" s="601"/>
    </row>
  </sheetData>
  <mergeCells count="37">
    <mergeCell ref="B780:E781"/>
    <mergeCell ref="B521:E521"/>
    <mergeCell ref="H719:H724"/>
    <mergeCell ref="B113:E114"/>
    <mergeCell ref="H264:H266"/>
    <mergeCell ref="B433:E433"/>
    <mergeCell ref="B328:E328"/>
    <mergeCell ref="H378:H380"/>
    <mergeCell ref="B368:E368"/>
    <mergeCell ref="B353:E353"/>
    <mergeCell ref="H348:H349"/>
    <mergeCell ref="H331:H332"/>
    <mergeCell ref="H459:H463"/>
    <mergeCell ref="H451:H452"/>
    <mergeCell ref="C692:D692"/>
    <mergeCell ref="C601:C602"/>
    <mergeCell ref="H547:H550"/>
    <mergeCell ref="B520:E520"/>
    <mergeCell ref="A1:A2"/>
    <mergeCell ref="C1:C2"/>
    <mergeCell ref="D1:D2"/>
    <mergeCell ref="E1:E2"/>
    <mergeCell ref="B3:E3"/>
    <mergeCell ref="B327:E327"/>
    <mergeCell ref="H293:H297"/>
    <mergeCell ref="B264:E264"/>
    <mergeCell ref="B259:E259"/>
    <mergeCell ref="B93:E93"/>
    <mergeCell ref="H198:H202"/>
    <mergeCell ref="B173:E173"/>
    <mergeCell ref="F1:F2"/>
    <mergeCell ref="B260:E260"/>
    <mergeCell ref="G1:G2"/>
    <mergeCell ref="H68:H70"/>
    <mergeCell ref="H18:H22"/>
    <mergeCell ref="H3:H4"/>
    <mergeCell ref="B72:E7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00B0F0"/>
  </sheetPr>
  <dimension ref="A1:N18"/>
  <sheetViews>
    <sheetView showGridLines="0" zoomScaleNormal="100" workbookViewId="0">
      <selection activeCell="M10" sqref="M10"/>
    </sheetView>
  </sheetViews>
  <sheetFormatPr defaultRowHeight="13.5"/>
  <cols>
    <col min="3" max="3" width="10.33203125" bestFit="1" customWidth="1"/>
  </cols>
  <sheetData>
    <row r="1" spans="1:14" s="53" customFormat="1" ht="15" customHeight="1">
      <c r="A1" s="65" t="s">
        <v>88</v>
      </c>
    </row>
    <row r="2" spans="1:14" s="68" customFormat="1" ht="16.5" customHeight="1">
      <c r="A2" s="186" t="s">
        <v>8</v>
      </c>
      <c r="B2" s="185" t="s">
        <v>21</v>
      </c>
      <c r="C2" s="185" t="s">
        <v>22</v>
      </c>
      <c r="D2" s="185" t="s">
        <v>23</v>
      </c>
      <c r="E2" s="185" t="s">
        <v>24</v>
      </c>
      <c r="F2" s="185" t="s">
        <v>25</v>
      </c>
      <c r="G2" s="185" t="s">
        <v>26</v>
      </c>
      <c r="H2" s="185" t="s">
        <v>27</v>
      </c>
      <c r="I2" s="185" t="s">
        <v>28</v>
      </c>
      <c r="J2" s="185" t="s">
        <v>29</v>
      </c>
      <c r="K2" s="185" t="s">
        <v>30</v>
      </c>
      <c r="L2" s="185" t="s">
        <v>31</v>
      </c>
      <c r="M2" s="185" t="s">
        <v>32</v>
      </c>
      <c r="N2" s="185" t="s">
        <v>9</v>
      </c>
    </row>
    <row r="3" spans="1:14" ht="16.5" customHeight="1">
      <c r="A3" s="58" t="s">
        <v>62</v>
      </c>
      <c r="B3" s="61">
        <v>17714.75</v>
      </c>
      <c r="C3" s="61">
        <v>16361.75</v>
      </c>
      <c r="D3" s="61">
        <v>17549.349999999999</v>
      </c>
      <c r="E3" s="61">
        <v>18683.5</v>
      </c>
      <c r="F3" s="61">
        <v>17566.05</v>
      </c>
      <c r="G3" s="61">
        <v>16517.5</v>
      </c>
      <c r="H3" s="226">
        <v>18191.36</v>
      </c>
      <c r="I3" s="226">
        <v>20754.759999999998</v>
      </c>
      <c r="J3" s="61">
        <v>22701.14</v>
      </c>
      <c r="K3" s="61">
        <v>26342.62</v>
      </c>
      <c r="L3" s="61">
        <v>25519.09</v>
      </c>
      <c r="M3" s="61">
        <v>26163.33</v>
      </c>
      <c r="N3" s="59">
        <v>21807.076327561299</v>
      </c>
    </row>
    <row r="4" spans="1:14" ht="16.5" customHeight="1">
      <c r="A4" s="56" t="s">
        <v>76</v>
      </c>
      <c r="B4" s="119">
        <v>27465.25</v>
      </c>
      <c r="C4" s="119">
        <v>31526</v>
      </c>
      <c r="D4" s="119">
        <v>30739.57</v>
      </c>
      <c r="E4" s="119">
        <v>32460.560000000001</v>
      </c>
      <c r="F4" s="119">
        <v>28733.5</v>
      </c>
      <c r="G4" s="119">
        <v>25576.36</v>
      </c>
      <c r="H4" s="119">
        <v>27312.86</v>
      </c>
      <c r="I4" s="119">
        <v>24418.639999999999</v>
      </c>
      <c r="J4" s="119">
        <v>22655.23</v>
      </c>
      <c r="K4" s="119">
        <v>21792.62</v>
      </c>
      <c r="L4" s="119">
        <v>21255.23</v>
      </c>
      <c r="M4" s="119">
        <v>19422.5</v>
      </c>
      <c r="N4" s="57">
        <v>22830.5378486056</v>
      </c>
    </row>
    <row r="5" spans="1:14" ht="16.5" customHeight="1">
      <c r="A5" s="980" t="s">
        <v>87</v>
      </c>
      <c r="B5" s="982">
        <v>21461.190476190477</v>
      </c>
      <c r="C5" s="982">
        <v>24342.619047619046</v>
      </c>
      <c r="D5" s="982">
        <v>23016.136363636364</v>
      </c>
      <c r="E5" s="982">
        <v>22091.57894736842</v>
      </c>
      <c r="F5" s="982">
        <v>20370.68181818182</v>
      </c>
      <c r="G5" s="982">
        <v>19262.63157894737</v>
      </c>
      <c r="H5" s="982">
        <v>18612.5</v>
      </c>
      <c r="I5" s="982">
        <v>18645.227272727301</v>
      </c>
      <c r="J5" s="982">
        <v>20696.75</v>
      </c>
      <c r="K5" s="982">
        <v>21320.652173913044</v>
      </c>
      <c r="L5" s="982">
        <v>20700.227272727272</v>
      </c>
      <c r="M5" s="992">
        <v>22844.21</v>
      </c>
      <c r="N5" s="981">
        <v>21093.43</v>
      </c>
    </row>
    <row r="6" spans="1:14" s="494" customFormat="1" ht="16.5" customHeight="1">
      <c r="A6" s="56" t="s">
        <v>163</v>
      </c>
      <c r="B6" s="119">
        <v>24659.32</v>
      </c>
      <c r="C6" s="119">
        <v>24326.25</v>
      </c>
      <c r="D6" s="119">
        <v>23337</v>
      </c>
      <c r="E6" s="119">
        <v>21694.047619047618</v>
      </c>
      <c r="F6" s="119">
        <v>20725</v>
      </c>
      <c r="G6" s="119">
        <v>20266</v>
      </c>
      <c r="H6" s="119">
        <v>19588.7</v>
      </c>
      <c r="I6" s="119">
        <v>21628.81</v>
      </c>
      <c r="J6" s="119">
        <v>22746.9</v>
      </c>
      <c r="K6" s="119">
        <v>23128.26</v>
      </c>
      <c r="L6" s="119">
        <v>22856.67</v>
      </c>
      <c r="M6" s="993">
        <v>22835</v>
      </c>
      <c r="N6" s="416">
        <v>22258.63</v>
      </c>
    </row>
    <row r="7" spans="1:14" ht="16.5" customHeight="1">
      <c r="A7" s="56" t="s">
        <v>162</v>
      </c>
      <c r="B7" s="119">
        <v>22071.59</v>
      </c>
      <c r="C7" s="119">
        <v>22809.25</v>
      </c>
      <c r="D7" s="119">
        <v>23098.33</v>
      </c>
      <c r="E7" s="119">
        <v>23421.75</v>
      </c>
      <c r="F7" s="119">
        <v>23313.75</v>
      </c>
      <c r="G7" s="119">
        <v>22773.81</v>
      </c>
      <c r="H7" s="119">
        <v>22382.83</v>
      </c>
      <c r="I7" s="119">
        <v>22294</v>
      </c>
      <c r="J7" s="119">
        <v>21124.55</v>
      </c>
      <c r="K7" s="119">
        <v>19909.13</v>
      </c>
      <c r="L7" s="119">
        <v>19969</v>
      </c>
      <c r="M7" s="119">
        <v>19825.71</v>
      </c>
      <c r="N7" s="57">
        <v>21892.65</v>
      </c>
    </row>
    <row r="8" spans="1:14" s="581" customFormat="1" ht="16.5" customHeight="1">
      <c r="A8" s="69" t="s">
        <v>194</v>
      </c>
      <c r="B8" s="120"/>
      <c r="C8" s="120"/>
      <c r="D8" s="120"/>
      <c r="E8" s="120"/>
      <c r="F8" s="120"/>
      <c r="G8" s="120"/>
      <c r="H8" s="120"/>
      <c r="I8" s="120"/>
      <c r="J8" s="120"/>
      <c r="K8" s="120"/>
      <c r="L8" s="120"/>
      <c r="M8" s="120"/>
      <c r="N8" s="994"/>
    </row>
    <row r="9" spans="1:14">
      <c r="A9" s="73" t="s">
        <v>12</v>
      </c>
      <c r="B9" s="122">
        <f>B8-M7</f>
        <v>-19825.71</v>
      </c>
      <c r="C9" s="122">
        <f t="shared" ref="C9:M9" si="0">C8-B8</f>
        <v>0</v>
      </c>
      <c r="D9" s="122">
        <f t="shared" si="0"/>
        <v>0</v>
      </c>
      <c r="E9" s="122">
        <f t="shared" si="0"/>
        <v>0</v>
      </c>
      <c r="F9" s="122">
        <f t="shared" si="0"/>
        <v>0</v>
      </c>
      <c r="G9" s="122">
        <f t="shared" si="0"/>
        <v>0</v>
      </c>
      <c r="H9" s="122">
        <f t="shared" si="0"/>
        <v>0</v>
      </c>
      <c r="I9" s="122">
        <f t="shared" si="0"/>
        <v>0</v>
      </c>
      <c r="J9" s="122">
        <f t="shared" si="0"/>
        <v>0</v>
      </c>
      <c r="K9" s="122">
        <f t="shared" si="0"/>
        <v>0</v>
      </c>
      <c r="L9" s="122">
        <f t="shared" si="0"/>
        <v>0</v>
      </c>
      <c r="M9" s="122">
        <f t="shared" si="0"/>
        <v>0</v>
      </c>
      <c r="N9" s="70"/>
    </row>
    <row r="10" spans="1:14">
      <c r="G10" s="150"/>
      <c r="J10" s="221"/>
    </row>
    <row r="18" spans="3:3">
      <c r="C18" s="633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3:I10"/>
  <sheetViews>
    <sheetView workbookViewId="0">
      <selection activeCell="G17" sqref="G17"/>
    </sheetView>
  </sheetViews>
  <sheetFormatPr defaultRowHeight="16.5"/>
  <cols>
    <col min="1" max="9" width="11.88671875" style="242" customWidth="1"/>
    <col min="10" max="16384" width="8.88671875" style="242"/>
  </cols>
  <sheetData>
    <row r="3" spans="1:9" ht="24" customHeight="1">
      <c r="A3" s="1109" t="s">
        <v>99</v>
      </c>
      <c r="B3" s="1109"/>
      <c r="C3" s="1109"/>
      <c r="D3" s="1109"/>
      <c r="E3" s="1109"/>
      <c r="F3" s="1109"/>
      <c r="G3" s="1109"/>
      <c r="H3" s="1109"/>
      <c r="I3" s="1109"/>
    </row>
    <row r="5" spans="1:9" ht="17.25" thickBot="1">
      <c r="A5" s="242" t="s">
        <v>96</v>
      </c>
    </row>
    <row r="6" spans="1:9" s="249" customFormat="1" ht="33.75" customHeight="1">
      <c r="A6" s="243" t="s">
        <v>94</v>
      </c>
      <c r="B6" s="244">
        <v>2000</v>
      </c>
      <c r="C6" s="244">
        <v>2050</v>
      </c>
      <c r="D6" s="244">
        <v>2100</v>
      </c>
      <c r="E6" s="244">
        <v>2150</v>
      </c>
      <c r="F6" s="244">
        <v>2200</v>
      </c>
      <c r="G6" s="244">
        <v>2250</v>
      </c>
      <c r="H6" s="244">
        <v>2300</v>
      </c>
      <c r="I6" s="245">
        <v>2350</v>
      </c>
    </row>
    <row r="7" spans="1:9" s="249" customFormat="1" ht="33.75" customHeight="1" thickBot="1">
      <c r="A7" s="246" t="s">
        <v>95</v>
      </c>
      <c r="B7" s="247">
        <v>1999.6</v>
      </c>
      <c r="C7" s="247">
        <v>2014.76</v>
      </c>
      <c r="D7" s="247">
        <v>2029.92</v>
      </c>
      <c r="E7" s="247">
        <v>2045.07</v>
      </c>
      <c r="F7" s="247">
        <v>2060.23</v>
      </c>
      <c r="G7" s="247">
        <v>2075.39</v>
      </c>
      <c r="H7" s="247">
        <v>2090.5500000000002</v>
      </c>
      <c r="I7" s="248">
        <v>2105.6999999999998</v>
      </c>
    </row>
    <row r="9" spans="1:9" ht="27" customHeight="1">
      <c r="A9" s="242" t="s">
        <v>97</v>
      </c>
    </row>
    <row r="10" spans="1:9" ht="27" customHeight="1">
      <c r="A10" s="242" t="s">
        <v>98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이름이 지정된 범위</vt:lpstr>
      </vt:variant>
      <vt:variant>
        <vt:i4>2</vt:i4>
      </vt:variant>
    </vt:vector>
  </HeadingPairs>
  <TitlesOfParts>
    <vt:vector size="12" baseType="lpstr">
      <vt:lpstr>Pb 가격및재고</vt:lpstr>
      <vt:lpstr>Pb 그래프</vt:lpstr>
      <vt:lpstr>Pb 월별평균</vt:lpstr>
      <vt:lpstr>Sb 안티모니</vt:lpstr>
      <vt:lpstr>Se 가격</vt:lpstr>
      <vt:lpstr>Ni 가격및재고</vt:lpstr>
      <vt:lpstr>Ni 월별평균</vt:lpstr>
      <vt:lpstr>Sn 가격및재고</vt:lpstr>
      <vt:lpstr>Sn 월별평균</vt:lpstr>
      <vt:lpstr>Sheet1</vt:lpstr>
      <vt:lpstr>'Pb 월별평균'!Print_Area</vt:lpstr>
      <vt:lpstr>'Sn 가격및재고'!Print_Titles</vt:lpstr>
    </vt:vector>
  </TitlesOfParts>
  <Company>세방전지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세방</dc:creator>
  <cp:lastModifiedBy>gbattery</cp:lastModifiedBy>
  <cp:lastPrinted>2015-01-06T23:47:01Z</cp:lastPrinted>
  <dcterms:created xsi:type="dcterms:W3CDTF">2002-04-26T04:09:18Z</dcterms:created>
  <dcterms:modified xsi:type="dcterms:W3CDTF">2015-01-07T23:39:22Z</dcterms:modified>
</cp:coreProperties>
</file>